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ellio\Desktop\Patent_Bot\"/>
    </mc:Choice>
  </mc:AlternateContent>
  <xr:revisionPtr revIDLastSave="0" documentId="8_{CBB0D53F-C156-4AD7-A2F9-CE57A5202ABF}" xr6:coauthVersionLast="37" xr6:coauthVersionMax="37" xr10:uidLastSave="{00000000-0000-0000-0000-000000000000}"/>
  <bookViews>
    <workbookView xWindow="0" yWindow="0" windowWidth="25200" windowHeight="11865"/>
  </bookViews>
  <sheets>
    <sheet name="PatentNumberResults" sheetId="1" r:id="rId1"/>
  </sheets>
  <calcPr calcId="0"/>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C447"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3" i="1"/>
  <c r="E504" i="1"/>
  <c r="E505" i="1"/>
  <c r="E506" i="1"/>
  <c r="E507" i="1"/>
  <c r="E508" i="1"/>
  <c r="E509" i="1"/>
  <c r="E510" i="1"/>
  <c r="E511"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2" i="1"/>
  <c r="E643" i="1"/>
  <c r="E644"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8" i="1"/>
  <c r="E809" i="1"/>
  <c r="E810" i="1"/>
  <c r="E811" i="1"/>
  <c r="E812" i="1"/>
  <c r="E813" i="1"/>
  <c r="E814" i="1"/>
  <c r="E815" i="1"/>
  <c r="E816" i="1"/>
  <c r="E817" i="1"/>
  <c r="E818" i="1"/>
  <c r="E819" i="1"/>
  <c r="E820" i="1"/>
  <c r="E821" i="1"/>
  <c r="E822" i="1"/>
  <c r="E823" i="1"/>
  <c r="E824" i="1"/>
  <c r="E825" i="1"/>
  <c r="E826" i="1"/>
  <c r="E827" i="1"/>
  <c r="E828" i="1"/>
  <c r="E829" i="1"/>
  <c r="E830" i="1"/>
  <c r="E840" i="1"/>
  <c r="E841" i="1"/>
  <c r="E842" i="1"/>
  <c r="E843" i="1"/>
  <c r="E844" i="1"/>
  <c r="E845" i="1"/>
  <c r="E846" i="1"/>
  <c r="E847" i="1"/>
  <c r="E848" i="1"/>
  <c r="E849" i="1"/>
  <c r="E850" i="1"/>
  <c r="E851" i="1"/>
  <c r="E853" i="1"/>
  <c r="E854" i="1"/>
  <c r="E856" i="1"/>
  <c r="E857" i="1"/>
  <c r="E858" i="1"/>
  <c r="E859" i="1"/>
  <c r="E861" i="1"/>
  <c r="E863" i="1"/>
  <c r="E864" i="1"/>
  <c r="E865" i="1"/>
  <c r="E866" i="1"/>
  <c r="E868" i="1"/>
  <c r="E871" i="1"/>
  <c r="E872" i="1"/>
  <c r="E873" i="1"/>
  <c r="E874" i="1"/>
  <c r="E875" i="1"/>
  <c r="E876" i="1"/>
  <c r="E877" i="1"/>
  <c r="E878" i="1"/>
  <c r="E879" i="1"/>
  <c r="E880" i="1"/>
  <c r="E881" i="1"/>
  <c r="E882" i="1"/>
  <c r="E883" i="1"/>
  <c r="E884" i="1"/>
  <c r="E885" i="1"/>
  <c r="E886" i="1"/>
  <c r="E887" i="1"/>
  <c r="E888" i="1"/>
  <c r="E889" i="1"/>
  <c r="E890" i="1"/>
  <c r="E891" i="1"/>
  <c r="E892"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6" i="1"/>
  <c r="E1387" i="1"/>
  <c r="E1388" i="1"/>
  <c r="E1389"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1" i="1"/>
  <c r="E2643" i="1"/>
  <c r="E2644" i="1"/>
  <c r="E2645" i="1"/>
  <c r="E2646" i="1"/>
  <c r="E2647" i="1"/>
  <c r="E2648" i="1"/>
  <c r="E2649" i="1"/>
  <c r="E2650" i="1"/>
  <c r="E2651" i="1"/>
  <c r="E2652" i="1"/>
  <c r="E2653" i="1"/>
  <c r="E2654" i="1"/>
  <c r="E2655" i="1"/>
  <c r="E2656" i="1"/>
  <c r="E2657" i="1"/>
  <c r="E2660"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7959" i="1"/>
  <c r="E7960" i="1"/>
  <c r="E7961" i="1"/>
  <c r="E7962" i="1"/>
  <c r="E7963" i="1"/>
  <c r="E7964" i="1"/>
  <c r="E7965" i="1"/>
  <c r="E7966" i="1"/>
  <c r="E7967" i="1"/>
  <c r="E7968" i="1"/>
  <c r="E7969" i="1"/>
  <c r="E7970" i="1"/>
  <c r="E7971" i="1"/>
  <c r="E7972" i="1"/>
  <c r="E7973" i="1"/>
  <c r="E7974" i="1"/>
  <c r="E7975" i="1"/>
  <c r="E7976" i="1"/>
  <c r="E7977" i="1"/>
  <c r="E7978" i="1"/>
  <c r="E7979" i="1"/>
  <c r="E7980" i="1"/>
  <c r="E7981" i="1"/>
  <c r="E7982" i="1"/>
  <c r="E7983" i="1"/>
  <c r="E7984" i="1"/>
  <c r="E7985" i="1"/>
  <c r="E7986" i="1"/>
  <c r="E7987" i="1"/>
  <c r="E7988" i="1"/>
  <c r="E7989" i="1"/>
  <c r="E7990" i="1"/>
  <c r="E7991" i="1"/>
  <c r="E7992" i="1"/>
  <c r="E7993" i="1"/>
  <c r="E7994" i="1"/>
  <c r="E7995" i="1"/>
  <c r="E7996" i="1"/>
  <c r="E7997" i="1"/>
  <c r="E7998" i="1"/>
  <c r="E7999" i="1"/>
  <c r="E8000" i="1"/>
  <c r="E8001" i="1"/>
  <c r="E8002" i="1"/>
  <c r="E8003" i="1"/>
  <c r="E8004" i="1"/>
  <c r="E8005" i="1"/>
  <c r="E8006" i="1"/>
  <c r="E8007" i="1"/>
  <c r="E8008" i="1"/>
  <c r="E8009" i="1"/>
  <c r="E8010" i="1"/>
  <c r="E8011" i="1"/>
  <c r="E8012" i="1"/>
  <c r="E8013" i="1"/>
  <c r="E8014" i="1"/>
  <c r="E8015" i="1"/>
  <c r="E8016" i="1"/>
  <c r="E8017" i="1"/>
  <c r="E8018" i="1"/>
  <c r="E8019" i="1"/>
  <c r="E8020" i="1"/>
  <c r="E8021" i="1"/>
  <c r="E8022" i="1"/>
  <c r="E8023" i="1"/>
  <c r="E8024" i="1"/>
  <c r="E8025" i="1"/>
  <c r="E8026" i="1"/>
  <c r="E8027" i="1"/>
  <c r="E8028" i="1"/>
  <c r="E8029" i="1"/>
  <c r="E8030" i="1"/>
  <c r="E8031" i="1"/>
  <c r="E8032" i="1"/>
  <c r="E8033" i="1"/>
  <c r="E8034" i="1"/>
  <c r="E8035" i="1"/>
  <c r="E8036" i="1"/>
  <c r="E8037" i="1"/>
  <c r="E8038" i="1"/>
  <c r="E8039" i="1"/>
  <c r="E8040" i="1"/>
  <c r="E8041" i="1"/>
  <c r="E8042" i="1"/>
  <c r="E8043" i="1"/>
  <c r="E8044" i="1"/>
  <c r="E8045" i="1"/>
  <c r="E8046" i="1"/>
  <c r="E8047" i="1"/>
  <c r="E8048" i="1"/>
  <c r="E8049" i="1"/>
  <c r="E8050" i="1"/>
  <c r="E8051" i="1"/>
  <c r="E8052" i="1"/>
  <c r="E8053" i="1"/>
  <c r="E8054" i="1"/>
  <c r="E8055" i="1"/>
  <c r="E8056" i="1"/>
  <c r="E8057" i="1"/>
  <c r="E8058" i="1"/>
  <c r="E8059" i="1"/>
  <c r="E8060" i="1"/>
  <c r="E8061" i="1"/>
  <c r="E8062" i="1"/>
  <c r="E8063" i="1"/>
  <c r="E8064" i="1"/>
  <c r="E8065" i="1"/>
  <c r="E8066" i="1"/>
  <c r="E8067" i="1"/>
  <c r="E8068" i="1"/>
  <c r="E8069" i="1"/>
  <c r="E8070" i="1"/>
  <c r="E8071" i="1"/>
  <c r="E8072" i="1"/>
  <c r="E8073" i="1"/>
  <c r="E8074" i="1"/>
  <c r="E8075" i="1"/>
  <c r="E8076" i="1"/>
  <c r="E8077" i="1"/>
  <c r="E8078" i="1"/>
  <c r="E8079" i="1"/>
  <c r="E8080" i="1"/>
  <c r="E8081" i="1"/>
  <c r="E8082" i="1"/>
  <c r="E8083" i="1"/>
  <c r="E8084" i="1"/>
  <c r="E8085" i="1"/>
  <c r="E8086" i="1"/>
  <c r="E8087" i="1"/>
  <c r="E8088" i="1"/>
  <c r="E8089" i="1"/>
  <c r="E8090" i="1"/>
  <c r="E8091" i="1"/>
  <c r="E8092" i="1"/>
  <c r="E8093" i="1"/>
  <c r="E8094" i="1"/>
  <c r="E8095" i="1"/>
  <c r="E8096" i="1"/>
  <c r="E8097" i="1"/>
  <c r="E8098" i="1"/>
  <c r="E8099" i="1"/>
  <c r="E8100" i="1"/>
  <c r="E8101" i="1"/>
  <c r="E8102" i="1"/>
  <c r="E8103" i="1"/>
  <c r="E8104" i="1"/>
  <c r="E8105" i="1"/>
  <c r="E8106" i="1"/>
  <c r="E8107" i="1"/>
  <c r="E8108" i="1"/>
  <c r="E8109" i="1"/>
  <c r="E8110" i="1"/>
  <c r="E8111" i="1"/>
  <c r="E8112" i="1"/>
  <c r="E8113" i="1"/>
  <c r="E8114" i="1"/>
  <c r="E8116" i="1"/>
  <c r="E8117" i="1"/>
  <c r="E8118" i="1"/>
  <c r="E8119" i="1"/>
  <c r="E8120" i="1"/>
  <c r="E8121" i="1"/>
  <c r="E8122" i="1"/>
  <c r="E8123" i="1"/>
  <c r="E8124" i="1"/>
  <c r="E8125" i="1"/>
  <c r="E8126" i="1"/>
  <c r="E8127" i="1"/>
  <c r="E8128" i="1"/>
  <c r="E8129" i="1"/>
  <c r="E8130" i="1"/>
  <c r="E8131" i="1"/>
  <c r="E8132" i="1"/>
  <c r="E8133" i="1"/>
  <c r="E8134" i="1"/>
  <c r="E8135" i="1"/>
  <c r="E8136" i="1"/>
  <c r="E8137" i="1"/>
  <c r="E8138" i="1"/>
  <c r="E8139" i="1"/>
  <c r="E8140" i="1"/>
  <c r="E8141" i="1"/>
  <c r="E8142" i="1"/>
  <c r="E8143" i="1"/>
  <c r="E8144" i="1"/>
  <c r="E8145" i="1"/>
  <c r="E8146" i="1"/>
  <c r="E8147" i="1"/>
  <c r="E8148" i="1"/>
  <c r="E8149" i="1"/>
  <c r="E8150" i="1"/>
  <c r="E8151" i="1"/>
  <c r="E8152" i="1"/>
  <c r="E8153" i="1"/>
  <c r="E8154" i="1"/>
  <c r="E8155" i="1"/>
  <c r="E8156" i="1"/>
  <c r="E8157" i="1"/>
  <c r="E8158" i="1"/>
  <c r="E8159" i="1"/>
  <c r="E8160" i="1"/>
  <c r="E8161" i="1"/>
  <c r="E8162" i="1"/>
  <c r="E8163" i="1"/>
  <c r="E8164" i="1"/>
  <c r="E8165" i="1"/>
  <c r="E8166" i="1"/>
  <c r="E8167" i="1"/>
  <c r="E8168" i="1"/>
  <c r="E8169" i="1"/>
  <c r="E8170" i="1"/>
  <c r="E8171" i="1"/>
  <c r="E8172" i="1"/>
  <c r="E8173" i="1"/>
  <c r="E8174" i="1"/>
  <c r="E8175" i="1"/>
  <c r="E8176" i="1"/>
  <c r="E8177" i="1"/>
  <c r="E8178" i="1"/>
  <c r="E8179" i="1"/>
  <c r="E8180" i="1"/>
  <c r="E8181" i="1"/>
  <c r="E8182" i="1"/>
  <c r="E8183" i="1"/>
  <c r="E8184" i="1"/>
  <c r="E8185" i="1"/>
  <c r="E8186" i="1"/>
  <c r="E8187" i="1"/>
  <c r="E8188" i="1"/>
  <c r="E8189" i="1"/>
  <c r="E8190" i="1"/>
  <c r="E8191" i="1"/>
  <c r="E8192" i="1"/>
  <c r="E8193" i="1"/>
  <c r="E8194" i="1"/>
  <c r="E8195" i="1"/>
  <c r="E8196" i="1"/>
  <c r="E8197" i="1"/>
  <c r="E8198" i="1"/>
  <c r="E8199" i="1"/>
  <c r="E8200" i="1"/>
  <c r="E8201" i="1"/>
  <c r="E8202" i="1"/>
  <c r="E8203" i="1"/>
  <c r="E8204" i="1"/>
  <c r="E8205" i="1"/>
  <c r="E8206" i="1"/>
  <c r="E8207" i="1"/>
  <c r="E8208" i="1"/>
  <c r="E8209" i="1"/>
  <c r="E8210" i="1"/>
  <c r="E8211" i="1"/>
  <c r="E8212" i="1"/>
  <c r="E8213" i="1"/>
  <c r="E8214" i="1"/>
  <c r="E8215" i="1"/>
  <c r="E8216" i="1"/>
  <c r="E8217" i="1"/>
  <c r="E8218" i="1"/>
  <c r="E8219" i="1"/>
  <c r="E8220" i="1"/>
  <c r="E8221" i="1"/>
  <c r="E8222" i="1"/>
  <c r="E8223" i="1"/>
  <c r="E8224" i="1"/>
  <c r="E8225" i="1"/>
  <c r="E8226" i="1"/>
  <c r="E8227" i="1"/>
  <c r="E8228" i="1"/>
  <c r="E8229" i="1"/>
  <c r="E8230" i="1"/>
  <c r="E8231" i="1"/>
  <c r="E8232" i="1"/>
  <c r="E8233" i="1"/>
  <c r="E8234" i="1"/>
  <c r="E8235" i="1"/>
  <c r="E8237" i="1"/>
  <c r="E8238" i="1"/>
  <c r="E8239" i="1"/>
  <c r="E8240" i="1"/>
  <c r="E8241" i="1"/>
  <c r="E8242" i="1"/>
  <c r="E8243" i="1"/>
  <c r="E8244" i="1"/>
  <c r="E8245" i="1"/>
  <c r="E8246" i="1"/>
  <c r="E8247" i="1"/>
  <c r="E8248" i="1"/>
  <c r="E8249" i="1"/>
  <c r="E8250" i="1"/>
  <c r="E8251" i="1"/>
  <c r="E8252" i="1"/>
  <c r="E8253" i="1"/>
  <c r="E8254" i="1"/>
  <c r="E8255" i="1"/>
  <c r="E8256" i="1"/>
  <c r="E8257" i="1"/>
  <c r="E8258" i="1"/>
  <c r="E8259" i="1"/>
  <c r="E8260" i="1"/>
  <c r="E8261" i="1"/>
  <c r="E8262" i="1"/>
  <c r="E8263" i="1"/>
  <c r="E8264" i="1"/>
  <c r="E8265" i="1"/>
  <c r="E8266" i="1"/>
  <c r="E8267" i="1"/>
  <c r="E8268" i="1"/>
  <c r="E8269" i="1"/>
  <c r="E8270" i="1"/>
  <c r="E8271" i="1"/>
  <c r="E8272" i="1"/>
  <c r="E8273" i="1"/>
  <c r="E8274" i="1"/>
  <c r="E8275" i="1"/>
  <c r="E8276" i="1"/>
  <c r="E8277" i="1"/>
  <c r="E8278" i="1"/>
  <c r="E8279" i="1"/>
  <c r="E8280" i="1"/>
  <c r="E8281" i="1"/>
  <c r="E8282" i="1"/>
  <c r="E8283" i="1"/>
  <c r="E8284" i="1"/>
  <c r="E8285" i="1"/>
  <c r="E8286" i="1"/>
  <c r="E8287" i="1"/>
  <c r="E8288" i="1"/>
  <c r="E8289" i="1"/>
  <c r="E8290" i="1"/>
  <c r="E8291" i="1"/>
  <c r="E8292" i="1"/>
  <c r="E8293" i="1"/>
  <c r="E8294" i="1"/>
  <c r="E8295" i="1"/>
  <c r="E8296" i="1"/>
  <c r="E8297" i="1"/>
  <c r="E8298" i="1"/>
  <c r="E8299" i="1"/>
  <c r="E8300" i="1"/>
  <c r="E8301" i="1"/>
  <c r="E8302" i="1"/>
  <c r="E8303" i="1"/>
  <c r="E8304" i="1"/>
  <c r="E8305" i="1"/>
  <c r="E8306" i="1"/>
  <c r="E8307" i="1"/>
  <c r="E8308" i="1"/>
  <c r="E8309" i="1"/>
  <c r="E8310" i="1"/>
  <c r="E8311" i="1"/>
  <c r="E8312" i="1"/>
  <c r="E8313" i="1"/>
  <c r="E8314" i="1"/>
  <c r="E8315" i="1"/>
  <c r="E8316" i="1"/>
  <c r="E8317" i="1"/>
  <c r="E8318" i="1"/>
  <c r="E8319" i="1"/>
  <c r="E8320" i="1"/>
  <c r="E8321" i="1"/>
  <c r="E8322" i="1"/>
  <c r="E8323" i="1"/>
  <c r="E8324" i="1"/>
  <c r="E8325" i="1"/>
  <c r="E8326" i="1"/>
  <c r="E8327" i="1"/>
  <c r="E8328" i="1"/>
  <c r="E8329" i="1"/>
  <c r="E8330" i="1"/>
  <c r="E8331" i="1"/>
  <c r="E8332" i="1"/>
  <c r="E8333" i="1"/>
  <c r="E8334" i="1"/>
  <c r="E8335" i="1"/>
  <c r="E8336" i="1"/>
  <c r="E8337" i="1"/>
  <c r="E8338" i="1"/>
  <c r="E8339" i="1"/>
  <c r="E8340" i="1"/>
  <c r="E8341" i="1"/>
  <c r="E8342" i="1"/>
  <c r="E8343" i="1"/>
  <c r="E8344" i="1"/>
  <c r="E8345" i="1"/>
  <c r="E8346" i="1"/>
  <c r="E8347" i="1"/>
  <c r="E8348" i="1"/>
  <c r="E8349" i="1"/>
  <c r="E8350" i="1"/>
  <c r="E8351" i="1"/>
  <c r="E8352" i="1"/>
  <c r="E8353" i="1"/>
  <c r="E8354" i="1"/>
  <c r="E8355" i="1"/>
  <c r="E8356" i="1"/>
  <c r="E8357" i="1"/>
  <c r="E8358" i="1"/>
  <c r="E8359" i="1"/>
  <c r="E8360" i="1"/>
  <c r="E8361" i="1"/>
  <c r="E8362" i="1"/>
  <c r="E8363" i="1"/>
  <c r="E8364" i="1"/>
  <c r="E8366" i="1"/>
  <c r="E8367" i="1"/>
  <c r="E8368" i="1"/>
  <c r="E8369" i="1"/>
  <c r="E8370" i="1"/>
  <c r="E8371" i="1"/>
  <c r="E8372" i="1"/>
  <c r="E8373" i="1"/>
  <c r="E8374" i="1"/>
  <c r="E8375" i="1"/>
  <c r="E8376" i="1"/>
  <c r="E8377" i="1"/>
  <c r="E8378" i="1"/>
  <c r="E8379" i="1"/>
  <c r="E8380" i="1"/>
  <c r="E8381" i="1"/>
  <c r="E8382" i="1"/>
  <c r="E8383" i="1"/>
  <c r="E8384" i="1"/>
  <c r="E8385" i="1"/>
  <c r="E8386" i="1"/>
  <c r="E8387" i="1"/>
  <c r="E8388" i="1"/>
  <c r="E8389" i="1"/>
  <c r="E8390" i="1"/>
  <c r="E8391" i="1"/>
  <c r="E8392" i="1"/>
  <c r="E8393" i="1"/>
  <c r="E8394" i="1"/>
  <c r="E8395" i="1"/>
  <c r="E8396" i="1"/>
  <c r="E8397" i="1"/>
  <c r="E8398" i="1"/>
  <c r="E8399" i="1"/>
  <c r="E8400" i="1"/>
  <c r="E8401" i="1"/>
  <c r="E8402" i="1"/>
  <c r="E8403" i="1"/>
  <c r="E8404" i="1"/>
  <c r="E8405" i="1"/>
  <c r="E8406" i="1"/>
  <c r="E8407" i="1"/>
  <c r="E8408" i="1"/>
  <c r="E8409" i="1"/>
  <c r="E8410" i="1"/>
  <c r="E8411" i="1"/>
  <c r="E8412" i="1"/>
  <c r="E8413" i="1"/>
  <c r="E8414" i="1"/>
  <c r="E8415" i="1"/>
  <c r="E8416" i="1"/>
  <c r="E8417" i="1"/>
  <c r="E8418" i="1"/>
  <c r="E8419" i="1"/>
  <c r="E8420" i="1"/>
  <c r="E8421" i="1"/>
  <c r="E8422" i="1"/>
  <c r="E8423" i="1"/>
  <c r="E8424" i="1"/>
  <c r="E8425" i="1"/>
  <c r="E8426" i="1"/>
  <c r="E8427" i="1"/>
  <c r="E8428" i="1"/>
  <c r="E8429" i="1"/>
  <c r="E8430" i="1"/>
  <c r="E8431" i="1"/>
  <c r="E8432" i="1"/>
  <c r="E8433" i="1"/>
  <c r="E8434" i="1"/>
  <c r="E8435" i="1"/>
  <c r="E8436" i="1"/>
  <c r="E8437" i="1"/>
  <c r="E8438" i="1"/>
  <c r="E8439" i="1"/>
  <c r="E8440" i="1"/>
  <c r="E8441" i="1"/>
  <c r="E8442" i="1"/>
  <c r="E8443" i="1"/>
  <c r="E8444" i="1"/>
  <c r="E8445" i="1"/>
  <c r="E8446" i="1"/>
  <c r="E8447" i="1"/>
  <c r="E8448" i="1"/>
  <c r="E8449" i="1"/>
  <c r="E8450" i="1"/>
  <c r="E8451" i="1"/>
  <c r="E8452" i="1"/>
  <c r="E8453" i="1"/>
  <c r="E8454" i="1"/>
  <c r="E8455" i="1"/>
  <c r="E8456" i="1"/>
  <c r="E8457" i="1"/>
  <c r="E8458" i="1"/>
  <c r="E8459" i="1"/>
  <c r="E8460" i="1"/>
  <c r="E8461" i="1"/>
  <c r="E8462" i="1"/>
  <c r="E8463" i="1"/>
  <c r="E8464" i="1"/>
  <c r="E8465" i="1"/>
  <c r="E8466" i="1"/>
  <c r="E8467" i="1"/>
  <c r="E8468" i="1"/>
  <c r="E8469" i="1"/>
  <c r="E8470" i="1"/>
  <c r="E8471" i="1"/>
  <c r="E8472" i="1"/>
  <c r="E8473" i="1"/>
  <c r="E8474" i="1"/>
  <c r="E8475" i="1"/>
  <c r="E8476" i="1"/>
  <c r="E8477" i="1"/>
  <c r="E8478" i="1"/>
  <c r="E8479" i="1"/>
  <c r="E8480" i="1"/>
  <c r="E8481" i="1"/>
  <c r="E8482" i="1"/>
  <c r="E8483" i="1"/>
  <c r="E8484" i="1"/>
  <c r="E8485" i="1"/>
  <c r="E8486" i="1"/>
  <c r="E8487" i="1"/>
  <c r="E8488" i="1"/>
  <c r="E8489" i="1"/>
  <c r="E8490" i="1"/>
  <c r="E8491" i="1"/>
  <c r="E8492" i="1"/>
  <c r="E8493" i="1"/>
  <c r="E8494" i="1"/>
  <c r="E8495" i="1"/>
  <c r="E8496" i="1"/>
  <c r="E8497" i="1"/>
  <c r="E8498" i="1"/>
  <c r="E8499" i="1"/>
  <c r="E8500" i="1"/>
  <c r="E8501" i="1"/>
  <c r="E8502" i="1"/>
  <c r="E8503" i="1"/>
  <c r="E8504" i="1"/>
  <c r="E8505" i="1"/>
  <c r="E8506" i="1"/>
  <c r="E8507" i="1"/>
  <c r="E8508" i="1"/>
  <c r="E8509" i="1"/>
  <c r="E8510" i="1"/>
  <c r="E8511" i="1"/>
  <c r="E8512" i="1"/>
  <c r="E8513" i="1"/>
  <c r="E8514" i="1"/>
  <c r="E8515" i="1"/>
  <c r="E8516" i="1"/>
  <c r="E8517" i="1"/>
  <c r="E8518" i="1"/>
  <c r="E8519" i="1"/>
  <c r="E8520" i="1"/>
  <c r="E8521" i="1"/>
  <c r="E8522" i="1"/>
  <c r="E8523" i="1"/>
  <c r="E8524" i="1"/>
  <c r="E8525" i="1"/>
  <c r="E8526" i="1"/>
  <c r="E8527" i="1"/>
  <c r="E8528" i="1"/>
  <c r="E8529" i="1"/>
  <c r="E8530" i="1"/>
  <c r="E8531" i="1"/>
  <c r="E8532" i="1"/>
  <c r="E8533" i="1"/>
  <c r="E8534" i="1"/>
  <c r="E8535" i="1"/>
  <c r="E8536" i="1"/>
  <c r="E8537" i="1"/>
  <c r="E8538" i="1"/>
  <c r="E8539" i="1"/>
  <c r="E8540" i="1"/>
  <c r="E8541" i="1"/>
  <c r="E8542" i="1"/>
  <c r="E8543" i="1"/>
  <c r="E8544" i="1"/>
  <c r="E8545" i="1"/>
  <c r="E8546" i="1"/>
  <c r="E8547" i="1"/>
  <c r="E8548" i="1"/>
  <c r="E8549" i="1"/>
  <c r="E8550" i="1"/>
  <c r="E8551" i="1"/>
  <c r="E8552" i="1"/>
  <c r="E8553" i="1"/>
  <c r="E8554" i="1"/>
  <c r="E8555" i="1"/>
  <c r="E8556" i="1"/>
  <c r="E8557" i="1"/>
  <c r="E8558" i="1"/>
  <c r="E8559" i="1"/>
  <c r="E8560" i="1"/>
  <c r="E8561" i="1"/>
  <c r="E8562" i="1"/>
  <c r="E8563" i="1"/>
  <c r="E8564" i="1"/>
  <c r="E8565" i="1"/>
  <c r="E8566" i="1"/>
  <c r="E8567" i="1"/>
  <c r="E8568" i="1"/>
  <c r="E8569" i="1"/>
  <c r="E8570" i="1"/>
  <c r="E8571" i="1"/>
  <c r="E8572" i="1"/>
  <c r="E8573" i="1"/>
  <c r="E8574" i="1"/>
  <c r="E8575" i="1"/>
  <c r="E8576" i="1"/>
  <c r="E8577" i="1"/>
  <c r="E8578" i="1"/>
  <c r="E8579" i="1"/>
  <c r="E8580" i="1"/>
  <c r="E8581" i="1"/>
  <c r="E8582" i="1"/>
  <c r="E8583" i="1"/>
  <c r="E8584" i="1"/>
  <c r="E8585" i="1"/>
  <c r="E8586" i="1"/>
  <c r="E8587" i="1"/>
  <c r="E8588" i="1"/>
  <c r="E8589" i="1"/>
  <c r="E8590" i="1"/>
  <c r="E8591" i="1"/>
  <c r="E8592" i="1"/>
  <c r="E8593" i="1"/>
  <c r="E8594" i="1"/>
  <c r="E8595" i="1"/>
  <c r="E8596" i="1"/>
  <c r="E8597" i="1"/>
  <c r="E8598" i="1"/>
  <c r="E8599" i="1"/>
  <c r="E8600" i="1"/>
  <c r="E8601" i="1"/>
  <c r="E8602" i="1"/>
  <c r="E8603" i="1"/>
  <c r="E8604" i="1"/>
  <c r="E8605" i="1"/>
  <c r="E8606" i="1"/>
  <c r="E8607" i="1"/>
  <c r="E8608" i="1"/>
  <c r="E8609" i="1"/>
  <c r="E8610" i="1"/>
  <c r="E8611" i="1"/>
  <c r="E8612" i="1"/>
  <c r="E8613" i="1"/>
  <c r="E8614" i="1"/>
  <c r="E8615" i="1"/>
  <c r="E8616" i="1"/>
  <c r="E8617" i="1"/>
  <c r="E8618" i="1"/>
  <c r="E8619" i="1"/>
  <c r="E8620" i="1"/>
  <c r="E8621" i="1"/>
  <c r="E8622" i="1"/>
  <c r="E8623" i="1"/>
  <c r="E8624" i="1"/>
  <c r="E8625" i="1"/>
  <c r="E8626" i="1"/>
  <c r="E8627" i="1"/>
  <c r="E8628" i="1"/>
  <c r="E8629" i="1"/>
  <c r="E8630" i="1"/>
  <c r="E8631" i="1"/>
  <c r="E8632" i="1"/>
  <c r="E8633" i="1"/>
  <c r="E8634" i="1"/>
  <c r="E8635" i="1"/>
  <c r="E8636" i="1"/>
  <c r="E8637" i="1"/>
  <c r="E8638" i="1"/>
  <c r="E8639" i="1"/>
  <c r="E8640" i="1"/>
  <c r="E8641" i="1"/>
  <c r="E8642" i="1"/>
  <c r="E8643" i="1"/>
  <c r="E8644" i="1"/>
  <c r="E8645" i="1"/>
  <c r="E8646" i="1"/>
  <c r="E8647" i="1"/>
  <c r="E8648" i="1"/>
  <c r="E8649" i="1"/>
  <c r="E8650" i="1"/>
  <c r="E8651" i="1"/>
  <c r="E8652" i="1"/>
  <c r="E8653" i="1"/>
  <c r="E8654" i="1"/>
  <c r="E8655" i="1"/>
  <c r="E8656" i="1"/>
  <c r="E8657" i="1"/>
  <c r="E8658" i="1"/>
  <c r="E8659" i="1"/>
  <c r="E8660" i="1"/>
  <c r="E8661" i="1"/>
  <c r="E8662" i="1"/>
  <c r="E8663" i="1"/>
  <c r="E8664" i="1"/>
  <c r="E8665" i="1"/>
  <c r="E8666" i="1"/>
  <c r="E8667" i="1"/>
  <c r="E8668" i="1"/>
  <c r="E8669" i="1"/>
  <c r="E8670" i="1"/>
  <c r="E8671" i="1"/>
  <c r="E8672" i="1"/>
  <c r="E8673" i="1"/>
  <c r="E8674" i="1"/>
  <c r="E8675" i="1"/>
  <c r="E8676" i="1"/>
  <c r="E8677" i="1"/>
  <c r="E8678" i="1"/>
  <c r="E8679" i="1"/>
  <c r="E8680" i="1"/>
  <c r="E8681" i="1"/>
  <c r="E8682" i="1"/>
  <c r="E8683" i="1"/>
  <c r="E8684" i="1"/>
  <c r="E8685" i="1"/>
  <c r="E8686" i="1"/>
  <c r="E8687" i="1"/>
  <c r="E8688" i="1"/>
  <c r="E8689" i="1"/>
  <c r="E8690" i="1"/>
  <c r="E8691" i="1"/>
  <c r="E8692" i="1"/>
  <c r="E8693" i="1"/>
  <c r="E8694" i="1"/>
  <c r="E8695" i="1"/>
  <c r="E8696" i="1"/>
  <c r="E8697" i="1"/>
  <c r="E8698" i="1"/>
  <c r="E8699" i="1"/>
  <c r="E8700" i="1"/>
  <c r="E8701" i="1"/>
  <c r="E8702" i="1"/>
  <c r="E8703" i="1"/>
  <c r="E8704" i="1"/>
  <c r="E8705" i="1"/>
  <c r="E8706" i="1"/>
  <c r="E8707" i="1"/>
  <c r="E8708" i="1"/>
  <c r="E8709" i="1"/>
  <c r="E8710" i="1"/>
  <c r="E8711" i="1"/>
  <c r="E8712" i="1"/>
  <c r="E8713" i="1"/>
  <c r="E8714" i="1"/>
  <c r="E8715" i="1"/>
  <c r="E8716" i="1"/>
  <c r="E8717" i="1"/>
  <c r="E8718" i="1"/>
  <c r="E8719" i="1"/>
  <c r="E8720" i="1"/>
  <c r="E8721" i="1"/>
  <c r="E8722" i="1"/>
  <c r="E8723" i="1"/>
  <c r="E8724" i="1"/>
  <c r="E8725" i="1"/>
  <c r="E8726" i="1"/>
  <c r="E8727" i="1"/>
  <c r="E8728" i="1"/>
  <c r="E8729" i="1"/>
  <c r="E8730" i="1"/>
  <c r="E8731" i="1"/>
  <c r="E8732" i="1"/>
  <c r="E8733" i="1"/>
  <c r="E8734" i="1"/>
  <c r="E8735" i="1"/>
  <c r="E8736" i="1"/>
  <c r="E8737" i="1"/>
  <c r="E8738" i="1"/>
  <c r="E8739" i="1"/>
  <c r="E8740" i="1"/>
  <c r="E8741" i="1"/>
  <c r="E8742" i="1"/>
  <c r="E8743" i="1"/>
  <c r="E8744" i="1"/>
  <c r="E8745" i="1"/>
  <c r="E8746" i="1"/>
  <c r="E8747" i="1"/>
  <c r="E8748" i="1"/>
  <c r="E8749" i="1"/>
  <c r="E8750" i="1"/>
  <c r="E8751" i="1"/>
  <c r="E8752" i="1"/>
  <c r="E8753" i="1"/>
  <c r="E8754" i="1"/>
  <c r="E8755" i="1"/>
  <c r="E8756" i="1"/>
  <c r="E8757" i="1"/>
  <c r="E8758" i="1"/>
  <c r="E8759" i="1"/>
  <c r="E8760" i="1"/>
  <c r="E8761" i="1"/>
  <c r="E8762" i="1"/>
  <c r="E8763" i="1"/>
  <c r="E8764" i="1"/>
  <c r="E8765" i="1"/>
  <c r="E8766" i="1"/>
  <c r="E8767" i="1"/>
  <c r="E8768" i="1"/>
  <c r="E8769" i="1"/>
  <c r="E8770" i="1"/>
  <c r="E8771" i="1"/>
  <c r="E8772" i="1"/>
  <c r="E8773" i="1"/>
  <c r="E8774" i="1"/>
  <c r="E8775" i="1"/>
  <c r="E8776" i="1"/>
  <c r="E8777" i="1"/>
  <c r="E8778" i="1"/>
  <c r="E8779" i="1"/>
  <c r="E8780" i="1"/>
  <c r="E8781" i="1"/>
  <c r="E8782" i="1"/>
  <c r="E8783" i="1"/>
  <c r="E8784" i="1"/>
  <c r="E8785" i="1"/>
  <c r="E8786" i="1"/>
  <c r="E8787" i="1"/>
  <c r="E8788" i="1"/>
  <c r="E8789" i="1"/>
  <c r="E8790" i="1"/>
  <c r="E8791" i="1"/>
  <c r="E8792" i="1"/>
  <c r="E8793" i="1"/>
  <c r="E8794" i="1"/>
  <c r="E8795" i="1"/>
  <c r="E8796" i="1"/>
  <c r="E8797" i="1"/>
  <c r="E8798" i="1"/>
  <c r="E8799" i="1"/>
  <c r="E8800" i="1"/>
  <c r="E8801" i="1"/>
  <c r="E8802" i="1"/>
  <c r="E8803" i="1"/>
  <c r="E8804" i="1"/>
  <c r="E8805" i="1"/>
  <c r="E8806" i="1"/>
  <c r="E8807" i="1"/>
  <c r="E8808" i="1"/>
  <c r="E8809" i="1"/>
  <c r="E8810" i="1"/>
  <c r="E8811" i="1"/>
  <c r="E8812" i="1"/>
  <c r="E8813" i="1"/>
  <c r="E8814" i="1"/>
  <c r="E8815" i="1"/>
  <c r="E8816" i="1"/>
  <c r="E8817" i="1"/>
  <c r="E8818" i="1"/>
  <c r="E8819" i="1"/>
  <c r="E8820" i="1"/>
  <c r="E8821" i="1"/>
  <c r="E8822" i="1"/>
  <c r="E8823" i="1"/>
  <c r="E8824" i="1"/>
  <c r="E8825" i="1"/>
  <c r="E8826" i="1"/>
  <c r="E8827" i="1"/>
  <c r="E8828" i="1"/>
  <c r="E8829" i="1"/>
  <c r="E8830" i="1"/>
  <c r="E8831" i="1"/>
  <c r="E8832" i="1"/>
  <c r="E8833" i="1"/>
  <c r="E8834" i="1"/>
  <c r="E8835" i="1"/>
  <c r="E8836" i="1"/>
  <c r="E8837" i="1"/>
  <c r="E8838" i="1"/>
  <c r="E8839" i="1"/>
  <c r="E8840" i="1"/>
  <c r="E8841" i="1"/>
  <c r="E8842" i="1"/>
  <c r="E8844" i="1"/>
  <c r="E8845" i="1"/>
  <c r="E8846" i="1"/>
  <c r="E8847" i="1"/>
  <c r="E8848" i="1"/>
  <c r="E8849" i="1"/>
  <c r="E8850" i="1"/>
  <c r="E8851" i="1"/>
  <c r="E8852" i="1"/>
  <c r="E8853" i="1"/>
  <c r="E8854" i="1"/>
  <c r="E8855" i="1"/>
  <c r="E8856" i="1"/>
  <c r="E8857" i="1"/>
  <c r="E8858" i="1"/>
  <c r="E8859" i="1"/>
  <c r="E8860" i="1"/>
  <c r="E8861" i="1"/>
  <c r="E8862" i="1"/>
  <c r="E8863" i="1"/>
  <c r="E8864" i="1"/>
  <c r="E8865" i="1"/>
  <c r="E8866" i="1"/>
  <c r="E8867" i="1"/>
  <c r="E8868" i="1"/>
  <c r="E8869" i="1"/>
  <c r="E8870" i="1"/>
  <c r="E8871" i="1"/>
  <c r="E8872" i="1"/>
  <c r="E8873" i="1"/>
  <c r="E8874" i="1"/>
  <c r="E8875" i="1"/>
  <c r="E8876" i="1"/>
  <c r="E8877" i="1"/>
  <c r="E8878" i="1"/>
  <c r="E8879" i="1"/>
  <c r="E8880" i="1"/>
  <c r="E8881" i="1"/>
  <c r="E8882" i="1"/>
  <c r="E8883" i="1"/>
  <c r="E8884" i="1"/>
  <c r="E8885" i="1"/>
  <c r="E8886" i="1"/>
  <c r="E8887" i="1"/>
  <c r="E8888" i="1"/>
  <c r="E8889" i="1"/>
  <c r="E8890" i="1"/>
  <c r="E8891" i="1"/>
  <c r="E8892" i="1"/>
  <c r="E8893" i="1"/>
  <c r="E8894" i="1"/>
  <c r="E8895" i="1"/>
  <c r="E8896" i="1"/>
  <c r="E8897" i="1"/>
  <c r="E8898" i="1"/>
  <c r="E8899" i="1"/>
  <c r="E8900" i="1"/>
  <c r="E8901" i="1"/>
  <c r="E8902" i="1"/>
  <c r="E8903" i="1"/>
  <c r="E8904" i="1"/>
  <c r="E8905" i="1"/>
  <c r="E8906" i="1"/>
  <c r="E8907" i="1"/>
  <c r="E8908" i="1"/>
  <c r="E8909" i="1"/>
  <c r="E8910" i="1"/>
  <c r="E8911" i="1"/>
  <c r="E8912" i="1"/>
  <c r="E8913" i="1"/>
  <c r="E8914" i="1"/>
  <c r="E8915" i="1"/>
  <c r="E8916" i="1"/>
  <c r="E8917" i="1"/>
  <c r="E8918" i="1"/>
  <c r="E8919" i="1"/>
  <c r="E8920" i="1"/>
  <c r="E8921" i="1"/>
  <c r="E8922" i="1"/>
  <c r="E8923" i="1"/>
  <c r="E8924" i="1"/>
  <c r="E8925" i="1"/>
  <c r="E8926" i="1"/>
  <c r="E8927" i="1"/>
  <c r="E8928" i="1"/>
  <c r="E8929" i="1"/>
  <c r="E8930" i="1"/>
  <c r="E8931" i="1"/>
  <c r="E8932" i="1"/>
  <c r="E8933" i="1"/>
  <c r="E8934" i="1"/>
  <c r="E8935" i="1"/>
  <c r="E8936" i="1"/>
  <c r="E8937" i="1"/>
  <c r="E8938" i="1"/>
  <c r="E8939" i="1"/>
  <c r="E8940" i="1"/>
  <c r="E8941" i="1"/>
  <c r="E8942" i="1"/>
  <c r="E8943" i="1"/>
  <c r="E8944" i="1"/>
  <c r="E8945" i="1"/>
  <c r="E8946" i="1"/>
  <c r="E8947" i="1"/>
  <c r="E8948" i="1"/>
  <c r="E8949" i="1"/>
  <c r="E8950" i="1"/>
  <c r="E8951" i="1"/>
  <c r="E8952" i="1"/>
  <c r="E8953" i="1"/>
  <c r="E8954" i="1"/>
  <c r="E8955" i="1"/>
  <c r="E8956" i="1"/>
  <c r="E8957" i="1"/>
  <c r="E8958" i="1"/>
  <c r="E8959" i="1"/>
  <c r="E8960" i="1"/>
  <c r="E8961" i="1"/>
  <c r="E8962" i="1"/>
  <c r="E8963" i="1"/>
  <c r="E8964" i="1"/>
  <c r="E8965" i="1"/>
  <c r="E8966" i="1"/>
  <c r="E8967" i="1"/>
  <c r="E8968" i="1"/>
  <c r="E8969" i="1"/>
  <c r="E8970" i="1"/>
  <c r="E8971" i="1"/>
  <c r="E8972" i="1"/>
  <c r="E8973" i="1"/>
  <c r="E8974" i="1"/>
  <c r="E8975" i="1"/>
  <c r="E8976" i="1"/>
  <c r="E8977" i="1"/>
  <c r="E8978" i="1"/>
  <c r="E8979" i="1"/>
  <c r="E8980" i="1"/>
  <c r="E8981" i="1"/>
  <c r="E8982" i="1"/>
  <c r="E8983" i="1"/>
  <c r="E8984" i="1"/>
  <c r="E8985" i="1"/>
  <c r="E8986" i="1"/>
  <c r="E8987" i="1"/>
  <c r="E8988" i="1"/>
  <c r="E8989" i="1"/>
  <c r="E8990" i="1"/>
  <c r="E8991" i="1"/>
  <c r="E8992" i="1"/>
  <c r="E8993" i="1"/>
  <c r="E8994" i="1"/>
  <c r="E8995" i="1"/>
  <c r="E8996" i="1"/>
  <c r="E8997" i="1"/>
  <c r="E8998" i="1"/>
  <c r="E8999" i="1"/>
  <c r="E9000" i="1"/>
  <c r="E9001" i="1"/>
  <c r="E9002" i="1"/>
  <c r="E9003" i="1"/>
  <c r="E9004" i="1"/>
  <c r="E9005" i="1"/>
  <c r="E9006" i="1"/>
  <c r="E9007" i="1"/>
  <c r="E9008" i="1"/>
  <c r="E9009" i="1"/>
  <c r="E9010" i="1"/>
  <c r="E9011" i="1"/>
  <c r="E9012" i="1"/>
  <c r="E9013" i="1"/>
  <c r="E9014" i="1"/>
  <c r="E9015" i="1"/>
  <c r="E9016" i="1"/>
  <c r="E9017" i="1"/>
  <c r="E9018" i="1"/>
  <c r="E9019" i="1"/>
  <c r="E9020" i="1"/>
  <c r="E9021" i="1"/>
  <c r="E9022" i="1"/>
  <c r="E9023" i="1"/>
  <c r="E9024" i="1"/>
  <c r="E9025" i="1"/>
  <c r="E9026" i="1"/>
  <c r="E9027" i="1"/>
  <c r="E9028" i="1"/>
  <c r="E9029" i="1"/>
  <c r="E9030" i="1"/>
  <c r="E9031" i="1"/>
  <c r="E9032" i="1"/>
  <c r="E9033" i="1"/>
  <c r="E9034" i="1"/>
  <c r="E9035" i="1"/>
  <c r="E9036" i="1"/>
  <c r="E9037" i="1"/>
  <c r="E9038" i="1"/>
  <c r="E9039" i="1"/>
  <c r="E9040" i="1"/>
  <c r="E9041" i="1"/>
  <c r="E9042" i="1"/>
  <c r="E9043" i="1"/>
  <c r="E9044" i="1"/>
  <c r="E9045" i="1"/>
  <c r="E9046" i="1"/>
  <c r="E9047" i="1"/>
  <c r="E9048" i="1"/>
  <c r="E9049" i="1"/>
  <c r="E9050" i="1"/>
  <c r="E9051" i="1"/>
  <c r="E9052" i="1"/>
  <c r="E9053" i="1"/>
  <c r="E9054" i="1"/>
  <c r="E9055" i="1"/>
  <c r="E9056" i="1"/>
  <c r="E9057" i="1"/>
  <c r="E9058" i="1"/>
  <c r="E9059" i="1"/>
  <c r="E9060" i="1"/>
  <c r="E9061" i="1"/>
  <c r="E9062" i="1"/>
  <c r="E9063" i="1"/>
  <c r="E9064" i="1"/>
  <c r="E9065" i="1"/>
  <c r="E9066" i="1"/>
  <c r="E9067" i="1"/>
  <c r="E9068" i="1"/>
  <c r="E9069" i="1"/>
  <c r="E9070" i="1"/>
  <c r="E9071" i="1"/>
  <c r="E9072" i="1"/>
  <c r="E9073" i="1"/>
  <c r="E9074" i="1"/>
  <c r="E9075" i="1"/>
  <c r="E9076" i="1"/>
  <c r="E9077" i="1"/>
  <c r="E9078" i="1"/>
  <c r="E9079" i="1"/>
  <c r="E9080" i="1"/>
  <c r="E9081" i="1"/>
  <c r="E9082" i="1"/>
  <c r="E9083" i="1"/>
  <c r="E9084" i="1"/>
  <c r="E9085" i="1"/>
  <c r="E9086" i="1"/>
  <c r="E9087" i="1"/>
  <c r="E9088" i="1"/>
  <c r="E9089" i="1"/>
  <c r="E9090" i="1"/>
  <c r="E9091" i="1"/>
  <c r="E9092" i="1"/>
  <c r="E9093" i="1"/>
  <c r="E9094" i="1"/>
  <c r="E9095" i="1"/>
  <c r="E9096" i="1"/>
  <c r="E9097" i="1"/>
  <c r="E9098" i="1"/>
  <c r="E9099" i="1"/>
  <c r="E9100" i="1"/>
  <c r="E9101" i="1"/>
  <c r="E9102" i="1"/>
  <c r="E9103" i="1"/>
  <c r="E9104" i="1"/>
  <c r="E9105" i="1"/>
  <c r="E9106" i="1"/>
  <c r="E9107" i="1"/>
  <c r="E9108" i="1"/>
  <c r="E9109" i="1"/>
  <c r="E9110" i="1"/>
  <c r="E9111" i="1"/>
  <c r="E9112" i="1"/>
  <c r="E9113" i="1"/>
  <c r="E9114" i="1"/>
  <c r="E9115" i="1"/>
  <c r="E9116" i="1"/>
  <c r="E9117" i="1"/>
  <c r="E9118" i="1"/>
  <c r="E9119" i="1"/>
  <c r="E9120" i="1"/>
  <c r="E9121" i="1"/>
  <c r="E9122" i="1"/>
  <c r="E9123" i="1"/>
  <c r="E9124" i="1"/>
  <c r="E9125" i="1"/>
  <c r="E9126" i="1"/>
  <c r="E9127" i="1"/>
  <c r="E9128" i="1"/>
  <c r="E9129" i="1"/>
  <c r="E9130" i="1"/>
  <c r="E9131" i="1"/>
  <c r="E9132" i="1"/>
  <c r="E9133" i="1"/>
  <c r="E9134" i="1"/>
  <c r="E9135" i="1"/>
  <c r="E9136" i="1"/>
  <c r="E9137" i="1"/>
  <c r="E9138" i="1"/>
  <c r="E9139" i="1"/>
  <c r="E9140" i="1"/>
  <c r="E9141" i="1"/>
  <c r="E9142" i="1"/>
  <c r="E9143" i="1"/>
  <c r="E9144" i="1"/>
  <c r="E9145" i="1"/>
  <c r="E9146" i="1"/>
  <c r="E9147" i="1"/>
  <c r="E9148" i="1"/>
  <c r="E9149" i="1"/>
  <c r="E9150" i="1"/>
  <c r="E9151" i="1"/>
  <c r="E9152" i="1"/>
  <c r="E9153" i="1"/>
  <c r="E9154" i="1"/>
  <c r="E9155" i="1"/>
  <c r="E9156" i="1"/>
  <c r="E9157" i="1"/>
  <c r="E9158" i="1"/>
  <c r="E9159" i="1"/>
  <c r="E9160" i="1"/>
  <c r="E9161" i="1"/>
  <c r="E9162" i="1"/>
  <c r="E9163" i="1"/>
  <c r="E9164" i="1"/>
  <c r="E9165" i="1"/>
  <c r="E9166" i="1"/>
  <c r="E9167" i="1"/>
  <c r="E9168" i="1"/>
  <c r="E9169" i="1"/>
  <c r="E9170" i="1"/>
  <c r="E9171" i="1"/>
  <c r="E9172" i="1"/>
  <c r="E9173" i="1"/>
  <c r="E9174" i="1"/>
  <c r="E9175" i="1"/>
  <c r="E9176" i="1"/>
  <c r="E9177" i="1"/>
  <c r="E9178" i="1"/>
  <c r="E9179" i="1"/>
  <c r="E9180" i="1"/>
  <c r="E9181" i="1"/>
  <c r="E9182" i="1"/>
  <c r="E9183" i="1"/>
  <c r="E9184" i="1"/>
  <c r="E9185" i="1"/>
  <c r="E9186" i="1"/>
  <c r="E9187" i="1"/>
  <c r="E9188" i="1"/>
  <c r="E9189" i="1"/>
  <c r="E9190" i="1"/>
  <c r="E9191" i="1"/>
  <c r="E9192" i="1"/>
  <c r="E9193" i="1"/>
  <c r="E9194" i="1"/>
  <c r="E9195" i="1"/>
  <c r="E9196" i="1"/>
  <c r="E9197" i="1"/>
  <c r="E9198" i="1"/>
  <c r="E9199" i="1"/>
  <c r="E9200" i="1"/>
  <c r="E9201" i="1"/>
  <c r="E9202" i="1"/>
  <c r="E9203" i="1"/>
  <c r="E9204" i="1"/>
  <c r="E9205" i="1"/>
  <c r="E9206" i="1"/>
  <c r="E9207" i="1"/>
  <c r="E9208" i="1"/>
  <c r="E9209" i="1"/>
  <c r="E9210" i="1"/>
  <c r="E9211" i="1"/>
  <c r="E9212" i="1"/>
  <c r="E9213" i="1"/>
  <c r="E9214" i="1"/>
  <c r="E9215" i="1"/>
  <c r="E9216" i="1"/>
  <c r="E9217" i="1"/>
  <c r="E9218" i="1"/>
  <c r="E9219" i="1"/>
  <c r="E9220" i="1"/>
  <c r="E9221" i="1"/>
  <c r="E9222" i="1"/>
  <c r="E9223" i="1"/>
  <c r="E9224" i="1"/>
  <c r="E9225" i="1"/>
  <c r="E9226" i="1"/>
  <c r="E9227" i="1"/>
  <c r="E9228" i="1"/>
  <c r="E9229" i="1"/>
  <c r="E9230" i="1"/>
  <c r="E9231" i="1"/>
  <c r="E9232" i="1"/>
  <c r="E9233" i="1"/>
  <c r="E9234" i="1"/>
  <c r="E9235" i="1"/>
  <c r="E9236" i="1"/>
  <c r="E9237" i="1"/>
  <c r="E9238" i="1"/>
  <c r="E9239" i="1"/>
  <c r="E9240" i="1"/>
  <c r="E9241" i="1"/>
  <c r="E9242" i="1"/>
  <c r="E9243" i="1"/>
  <c r="E9244" i="1"/>
  <c r="E9245" i="1"/>
  <c r="E9246" i="1"/>
  <c r="E9247" i="1"/>
  <c r="E9248" i="1"/>
  <c r="E9249" i="1"/>
  <c r="E9250" i="1"/>
  <c r="E9251" i="1"/>
  <c r="E9252" i="1"/>
  <c r="E9253" i="1"/>
  <c r="E9254" i="1"/>
  <c r="E9255" i="1"/>
  <c r="E9256" i="1"/>
  <c r="E9257" i="1"/>
  <c r="E9258" i="1"/>
  <c r="E9259" i="1"/>
  <c r="E9260" i="1"/>
  <c r="E9261" i="1"/>
  <c r="E9262" i="1"/>
  <c r="E9263" i="1"/>
  <c r="E9264" i="1"/>
  <c r="E9265" i="1"/>
  <c r="E9266" i="1"/>
  <c r="E9267" i="1"/>
  <c r="E9268" i="1"/>
  <c r="E9269" i="1"/>
  <c r="E9270" i="1"/>
  <c r="E9271" i="1"/>
  <c r="E9272" i="1"/>
  <c r="E9273" i="1"/>
  <c r="E9274" i="1"/>
  <c r="E9275" i="1"/>
  <c r="E9276" i="1"/>
  <c r="E9277" i="1"/>
  <c r="E9278" i="1"/>
  <c r="E9279" i="1"/>
  <c r="E9280" i="1"/>
  <c r="E9281" i="1"/>
  <c r="E9282" i="1"/>
  <c r="E9283" i="1"/>
  <c r="E9284" i="1"/>
  <c r="E9285" i="1"/>
  <c r="E9286" i="1"/>
  <c r="E9287" i="1"/>
  <c r="E9288" i="1"/>
  <c r="E9289" i="1"/>
  <c r="E9290" i="1"/>
  <c r="E9291" i="1"/>
  <c r="E9292" i="1"/>
  <c r="E9293" i="1"/>
  <c r="E9294" i="1"/>
  <c r="E9295" i="1"/>
  <c r="E9296" i="1"/>
  <c r="E9297" i="1"/>
  <c r="E9298" i="1"/>
  <c r="E9299" i="1"/>
  <c r="E9300" i="1"/>
  <c r="E9301" i="1"/>
  <c r="E9302" i="1"/>
  <c r="E9303" i="1"/>
  <c r="E9304" i="1"/>
  <c r="E9305" i="1"/>
  <c r="E9306" i="1"/>
  <c r="E9307" i="1"/>
  <c r="E9308" i="1"/>
  <c r="E9309" i="1"/>
  <c r="E9310" i="1"/>
  <c r="E9311" i="1"/>
  <c r="E9312" i="1"/>
  <c r="E9313" i="1"/>
  <c r="E9314" i="1"/>
  <c r="E9315" i="1"/>
  <c r="E9316" i="1"/>
  <c r="E9317" i="1"/>
  <c r="E9318" i="1"/>
  <c r="E9319" i="1"/>
  <c r="E9320" i="1"/>
  <c r="E9321" i="1"/>
  <c r="E9322" i="1"/>
  <c r="E9324" i="1"/>
  <c r="E9325" i="1"/>
  <c r="E9326" i="1"/>
  <c r="E9327" i="1"/>
  <c r="E9328" i="1"/>
  <c r="E9329" i="1"/>
  <c r="E9330" i="1"/>
  <c r="E9331" i="1"/>
  <c r="E9332" i="1"/>
  <c r="E9333" i="1"/>
  <c r="E9334" i="1"/>
  <c r="E9335" i="1"/>
  <c r="E9336" i="1"/>
  <c r="E9337" i="1"/>
  <c r="E9338" i="1"/>
  <c r="E9339" i="1"/>
  <c r="E9340" i="1"/>
  <c r="E9341" i="1"/>
  <c r="E9342" i="1"/>
  <c r="E9343" i="1"/>
  <c r="E9344" i="1"/>
  <c r="E9345" i="1"/>
  <c r="E9346" i="1"/>
  <c r="E9347" i="1"/>
  <c r="E9348" i="1"/>
  <c r="E9349" i="1"/>
  <c r="E9350" i="1"/>
  <c r="E9351" i="1"/>
  <c r="E9352" i="1"/>
  <c r="E9353" i="1"/>
  <c r="E9354" i="1"/>
  <c r="E9355" i="1"/>
  <c r="E9356" i="1"/>
  <c r="E9357" i="1"/>
  <c r="E9358" i="1"/>
  <c r="E9359" i="1"/>
  <c r="E9360" i="1"/>
  <c r="E9361" i="1"/>
  <c r="E9362" i="1"/>
  <c r="E9363" i="1"/>
  <c r="E9364" i="1"/>
  <c r="E9365" i="1"/>
  <c r="E9366" i="1"/>
  <c r="E9367" i="1"/>
  <c r="E9368" i="1"/>
  <c r="E9369" i="1"/>
  <c r="E9370" i="1"/>
  <c r="E9371" i="1"/>
  <c r="E9372" i="1"/>
  <c r="E9373" i="1"/>
  <c r="E9374" i="1"/>
  <c r="E9375" i="1"/>
  <c r="E9376" i="1"/>
  <c r="E9377" i="1"/>
  <c r="E9378" i="1"/>
  <c r="E9379" i="1"/>
  <c r="E9380" i="1"/>
  <c r="E9381" i="1"/>
  <c r="E9382" i="1"/>
  <c r="E9383" i="1"/>
  <c r="E9384" i="1"/>
  <c r="E9385" i="1"/>
  <c r="E9386" i="1"/>
  <c r="E9387" i="1"/>
  <c r="E9388" i="1"/>
  <c r="E9389" i="1"/>
  <c r="E9390" i="1"/>
  <c r="E9391" i="1"/>
  <c r="E9392" i="1"/>
  <c r="E9393" i="1"/>
  <c r="E9394" i="1"/>
  <c r="E9395" i="1"/>
  <c r="E9396" i="1"/>
  <c r="E9397" i="1"/>
  <c r="E9398" i="1"/>
  <c r="E9399" i="1"/>
  <c r="E9400" i="1"/>
  <c r="E9401" i="1"/>
  <c r="E9402" i="1"/>
  <c r="E9403" i="1"/>
  <c r="E9404" i="1"/>
  <c r="E9405" i="1"/>
  <c r="E9406" i="1"/>
  <c r="E9407" i="1"/>
  <c r="E9408" i="1"/>
  <c r="E9409" i="1"/>
  <c r="E9410" i="1"/>
  <c r="E9411" i="1"/>
  <c r="E9412" i="1"/>
  <c r="E9413" i="1"/>
  <c r="E9414" i="1"/>
  <c r="E9415" i="1"/>
  <c r="E9416" i="1"/>
  <c r="E9417" i="1"/>
  <c r="E9418" i="1"/>
  <c r="E9419" i="1"/>
  <c r="E9420" i="1"/>
  <c r="E9421" i="1"/>
  <c r="E9422" i="1"/>
  <c r="E9423" i="1"/>
  <c r="E9424" i="1"/>
  <c r="E9425" i="1"/>
  <c r="E9426" i="1"/>
  <c r="E9427" i="1"/>
  <c r="E9428" i="1"/>
  <c r="E9429" i="1"/>
  <c r="E9430" i="1"/>
  <c r="E9431" i="1"/>
  <c r="E9432" i="1"/>
  <c r="E9433" i="1"/>
  <c r="E9434" i="1"/>
  <c r="E9435" i="1"/>
  <c r="E9436" i="1"/>
  <c r="E9437" i="1"/>
  <c r="E9438" i="1"/>
  <c r="E9439" i="1"/>
  <c r="E9440" i="1"/>
  <c r="E9441" i="1"/>
  <c r="E9442" i="1"/>
  <c r="E9443" i="1"/>
  <c r="E9444" i="1"/>
  <c r="E9445" i="1"/>
  <c r="E9446" i="1"/>
  <c r="E9447" i="1"/>
  <c r="E9448" i="1"/>
  <c r="E9449" i="1"/>
  <c r="E9450" i="1"/>
  <c r="E9451" i="1"/>
  <c r="E9452" i="1"/>
  <c r="E9453" i="1"/>
  <c r="E9454" i="1"/>
  <c r="E9455" i="1"/>
  <c r="E9456" i="1"/>
  <c r="E9457" i="1"/>
  <c r="E9458" i="1"/>
  <c r="E9459" i="1"/>
  <c r="E9460" i="1"/>
  <c r="E9461" i="1"/>
  <c r="E9462" i="1"/>
  <c r="E9463" i="1"/>
  <c r="E9464" i="1"/>
  <c r="E9465" i="1"/>
  <c r="E9466" i="1"/>
  <c r="E9467" i="1"/>
  <c r="E9468" i="1"/>
  <c r="E9469" i="1"/>
  <c r="E9470" i="1"/>
  <c r="E9471" i="1"/>
  <c r="E9472" i="1"/>
  <c r="E9473" i="1"/>
  <c r="E9474" i="1"/>
  <c r="E9475" i="1"/>
  <c r="E9476" i="1"/>
  <c r="E9477" i="1"/>
  <c r="E9478" i="1"/>
  <c r="E9479" i="1"/>
  <c r="E9480" i="1"/>
  <c r="E9481" i="1"/>
  <c r="E9482" i="1"/>
  <c r="E9483" i="1"/>
  <c r="E9484" i="1"/>
  <c r="E9485" i="1"/>
  <c r="E9486" i="1"/>
  <c r="E9487" i="1"/>
  <c r="E9488" i="1"/>
  <c r="E9489" i="1"/>
  <c r="E9490" i="1"/>
  <c r="E9491" i="1"/>
  <c r="E9492" i="1"/>
  <c r="E9493" i="1"/>
  <c r="E9494" i="1"/>
  <c r="E9495" i="1"/>
  <c r="E9496" i="1"/>
  <c r="E9497" i="1"/>
  <c r="E9498" i="1"/>
  <c r="E9499" i="1"/>
  <c r="E9500" i="1"/>
  <c r="E9501" i="1"/>
  <c r="E9502" i="1"/>
  <c r="E9503" i="1"/>
  <c r="E9504" i="1"/>
  <c r="E9505" i="1"/>
  <c r="E9506" i="1"/>
  <c r="E9507" i="1"/>
  <c r="E9508" i="1"/>
  <c r="E9509" i="1"/>
  <c r="E9510" i="1"/>
  <c r="E9511" i="1"/>
  <c r="E9512" i="1"/>
  <c r="E9513" i="1"/>
  <c r="E9514" i="1"/>
  <c r="E9515" i="1"/>
  <c r="E9516" i="1"/>
  <c r="E9517" i="1"/>
  <c r="E9518" i="1"/>
  <c r="E9519" i="1"/>
  <c r="E9520" i="1"/>
  <c r="E9521" i="1"/>
  <c r="E9522" i="1"/>
  <c r="E9523" i="1"/>
  <c r="E9524" i="1"/>
  <c r="E9525" i="1"/>
  <c r="E9526" i="1"/>
  <c r="E9527" i="1"/>
  <c r="E9528" i="1"/>
  <c r="E9529" i="1"/>
  <c r="E9530" i="1"/>
  <c r="E9531" i="1"/>
  <c r="E9532" i="1"/>
  <c r="E9533" i="1"/>
  <c r="E9534" i="1"/>
  <c r="E9535" i="1"/>
  <c r="E9536" i="1"/>
  <c r="E9537" i="1"/>
  <c r="E9538" i="1"/>
  <c r="E9539" i="1"/>
  <c r="E9540" i="1"/>
  <c r="E9541" i="1"/>
  <c r="E9542" i="1"/>
  <c r="E9543" i="1"/>
  <c r="E9544" i="1"/>
  <c r="E9545" i="1"/>
  <c r="E9546" i="1"/>
  <c r="E9547" i="1"/>
  <c r="E9548" i="1"/>
  <c r="E9549" i="1"/>
  <c r="E9550" i="1"/>
  <c r="E9551" i="1"/>
  <c r="E9552" i="1"/>
  <c r="E9553" i="1"/>
  <c r="E9554" i="1"/>
  <c r="E9555" i="1"/>
  <c r="E9556" i="1"/>
  <c r="E9557" i="1"/>
  <c r="E9558" i="1"/>
  <c r="E9559" i="1"/>
  <c r="E9560" i="1"/>
  <c r="E9561" i="1"/>
  <c r="E9562" i="1"/>
  <c r="E9563" i="1"/>
  <c r="E9564" i="1"/>
  <c r="E9565" i="1"/>
  <c r="E9566" i="1"/>
  <c r="E9567" i="1"/>
  <c r="E9568" i="1"/>
  <c r="E9569" i="1"/>
  <c r="E9570" i="1"/>
  <c r="E9571" i="1"/>
  <c r="E9572" i="1"/>
  <c r="E9573" i="1"/>
  <c r="E9574" i="1"/>
  <c r="E9575" i="1"/>
  <c r="E9576" i="1"/>
  <c r="E9577" i="1"/>
  <c r="E9578" i="1"/>
  <c r="E9580" i="1"/>
  <c r="E9581" i="1"/>
  <c r="E9582" i="1"/>
  <c r="E9583" i="1"/>
  <c r="E9584" i="1"/>
  <c r="E9585" i="1"/>
  <c r="E9586" i="1"/>
  <c r="E9587" i="1"/>
  <c r="E9588" i="1"/>
  <c r="E9589" i="1"/>
  <c r="E9590" i="1"/>
  <c r="E9591" i="1"/>
  <c r="E9592" i="1"/>
  <c r="E9593" i="1"/>
  <c r="E9594" i="1"/>
  <c r="E9595" i="1"/>
  <c r="E9596" i="1"/>
  <c r="E9597" i="1"/>
  <c r="E9598" i="1"/>
  <c r="E9599" i="1"/>
  <c r="E9600" i="1"/>
  <c r="E9601" i="1"/>
  <c r="E9602" i="1"/>
  <c r="E9603" i="1"/>
  <c r="E9604" i="1"/>
  <c r="E9605" i="1"/>
  <c r="E9606" i="1"/>
  <c r="E9607" i="1"/>
  <c r="E9608" i="1"/>
  <c r="E9609" i="1"/>
  <c r="E9610" i="1"/>
  <c r="E9611" i="1"/>
  <c r="E9612" i="1"/>
  <c r="E9613" i="1"/>
  <c r="E9614" i="1"/>
  <c r="E9615" i="1"/>
  <c r="E9616" i="1"/>
  <c r="E9617" i="1"/>
  <c r="E9618" i="1"/>
  <c r="E9619" i="1"/>
  <c r="E9620" i="1"/>
  <c r="E9621" i="1"/>
  <c r="E9622" i="1"/>
  <c r="E9623" i="1"/>
  <c r="E9624" i="1"/>
  <c r="E9625" i="1"/>
  <c r="E9626" i="1"/>
  <c r="E9627" i="1"/>
  <c r="E9628" i="1"/>
  <c r="E9629" i="1"/>
  <c r="E9630" i="1"/>
  <c r="E9631" i="1"/>
  <c r="E9632" i="1"/>
  <c r="E9633" i="1"/>
  <c r="E9634" i="1"/>
  <c r="E9635" i="1"/>
  <c r="E9636" i="1"/>
  <c r="E9637" i="1"/>
  <c r="E9638" i="1"/>
  <c r="E9639" i="1"/>
  <c r="E9640" i="1"/>
  <c r="E9641" i="1"/>
  <c r="E9642" i="1"/>
  <c r="E9643" i="1"/>
  <c r="E9644" i="1"/>
  <c r="E9645" i="1"/>
  <c r="E9646" i="1"/>
  <c r="E9647" i="1"/>
  <c r="E9648" i="1"/>
  <c r="E9649" i="1"/>
  <c r="E9650" i="1"/>
  <c r="E9651" i="1"/>
  <c r="E9652" i="1"/>
  <c r="E9653" i="1"/>
  <c r="E9654" i="1"/>
  <c r="E9655" i="1"/>
  <c r="E9656" i="1"/>
  <c r="E9657" i="1"/>
  <c r="E9658" i="1"/>
  <c r="E9659" i="1"/>
  <c r="E9660" i="1"/>
  <c r="E9661" i="1"/>
  <c r="E9662" i="1"/>
  <c r="E9663" i="1"/>
  <c r="E9664" i="1"/>
  <c r="E9665" i="1"/>
  <c r="E9666" i="1"/>
  <c r="E9667" i="1"/>
  <c r="E9668" i="1"/>
  <c r="E9669" i="1"/>
  <c r="E9670" i="1"/>
  <c r="E9671" i="1"/>
  <c r="E9672" i="1"/>
  <c r="E9673" i="1"/>
  <c r="E9674" i="1"/>
  <c r="E9675" i="1"/>
  <c r="E9676" i="1"/>
  <c r="E9677" i="1"/>
  <c r="E9678" i="1"/>
  <c r="E9679" i="1"/>
  <c r="E9680" i="1"/>
  <c r="E9681" i="1"/>
  <c r="E9682" i="1"/>
  <c r="E9683" i="1"/>
  <c r="E9684" i="1"/>
  <c r="E9685" i="1"/>
  <c r="E9686" i="1"/>
  <c r="E9687" i="1"/>
  <c r="E9688" i="1"/>
  <c r="E9689" i="1"/>
  <c r="E9690" i="1"/>
  <c r="E9691" i="1"/>
  <c r="E9692" i="1"/>
  <c r="E9693" i="1"/>
  <c r="E9694" i="1"/>
  <c r="E9695" i="1"/>
  <c r="E9696" i="1"/>
  <c r="E9697" i="1"/>
  <c r="E9698" i="1"/>
  <c r="E9699" i="1"/>
  <c r="E9700" i="1"/>
  <c r="E9701" i="1"/>
  <c r="E9702" i="1"/>
  <c r="E9703" i="1"/>
  <c r="E9704" i="1"/>
  <c r="E9705" i="1"/>
  <c r="E9706" i="1"/>
  <c r="E9707" i="1"/>
  <c r="E9708" i="1"/>
  <c r="E9709" i="1"/>
  <c r="E9710" i="1"/>
  <c r="E9711" i="1"/>
  <c r="E9712" i="1"/>
  <c r="E9713" i="1"/>
  <c r="E9714" i="1"/>
  <c r="E9715" i="1"/>
  <c r="E9716" i="1"/>
  <c r="E9717" i="1"/>
  <c r="E9718" i="1"/>
  <c r="E9719" i="1"/>
  <c r="E9720" i="1"/>
  <c r="E9721" i="1"/>
  <c r="E9722" i="1"/>
  <c r="E9723" i="1"/>
  <c r="E9724" i="1"/>
  <c r="E9725" i="1"/>
  <c r="E9726" i="1"/>
  <c r="E9727" i="1"/>
  <c r="E9728" i="1"/>
  <c r="E9729" i="1"/>
  <c r="E9730" i="1"/>
  <c r="E9731" i="1"/>
  <c r="E9732" i="1"/>
  <c r="E9733" i="1"/>
  <c r="E9734" i="1"/>
  <c r="E9735" i="1"/>
  <c r="E9736" i="1"/>
  <c r="E9737" i="1"/>
  <c r="E9738" i="1"/>
  <c r="E9739" i="1"/>
  <c r="E9740" i="1"/>
  <c r="E9741" i="1"/>
  <c r="E9742" i="1"/>
  <c r="E9743" i="1"/>
  <c r="E9744" i="1"/>
  <c r="E9745" i="1"/>
  <c r="E9746" i="1"/>
  <c r="E9747" i="1"/>
  <c r="E9748" i="1"/>
  <c r="E9749" i="1"/>
  <c r="E9750" i="1"/>
  <c r="E9751" i="1"/>
  <c r="E9752" i="1"/>
  <c r="E9753" i="1"/>
  <c r="E9754" i="1"/>
  <c r="E9755" i="1"/>
  <c r="E9756" i="1"/>
  <c r="E9757" i="1"/>
  <c r="E9758" i="1"/>
  <c r="E9759" i="1"/>
  <c r="E9760" i="1"/>
  <c r="E9761" i="1"/>
  <c r="E9762" i="1"/>
  <c r="E9763" i="1"/>
  <c r="E9764" i="1"/>
  <c r="E9765" i="1"/>
  <c r="E9766" i="1"/>
  <c r="E9767" i="1"/>
  <c r="E9768" i="1"/>
  <c r="E9769" i="1"/>
  <c r="E9770" i="1"/>
  <c r="E9771" i="1"/>
  <c r="E9772" i="1"/>
  <c r="E9773" i="1"/>
  <c r="E9774" i="1"/>
  <c r="E9775" i="1"/>
  <c r="E9776" i="1"/>
  <c r="E9777" i="1"/>
  <c r="E9778" i="1"/>
  <c r="E9779" i="1"/>
  <c r="E9780" i="1"/>
  <c r="E9781" i="1"/>
  <c r="E9782" i="1"/>
  <c r="E9783" i="1"/>
  <c r="E9784" i="1"/>
  <c r="E9785" i="1"/>
  <c r="E9786" i="1"/>
  <c r="E9787" i="1"/>
  <c r="E9788" i="1"/>
  <c r="E9789" i="1"/>
  <c r="E9790" i="1"/>
  <c r="E9791" i="1"/>
  <c r="E9792" i="1"/>
  <c r="E9793" i="1"/>
  <c r="E9794" i="1"/>
  <c r="E9795" i="1"/>
  <c r="E9796" i="1"/>
  <c r="E9797" i="1"/>
  <c r="E9798" i="1"/>
  <c r="E9799" i="1"/>
  <c r="E9800" i="1"/>
  <c r="E9801" i="1"/>
  <c r="E9802" i="1"/>
  <c r="E9803" i="1"/>
  <c r="E9804" i="1"/>
  <c r="E9805" i="1"/>
  <c r="E9806" i="1"/>
  <c r="E9807" i="1"/>
  <c r="E9808" i="1"/>
  <c r="E9809" i="1"/>
  <c r="E9810" i="1"/>
  <c r="E9811" i="1"/>
  <c r="E9812" i="1"/>
  <c r="E9813" i="1"/>
  <c r="E9814" i="1"/>
  <c r="E9815" i="1"/>
  <c r="E9816" i="1"/>
  <c r="E9817" i="1"/>
  <c r="E9818" i="1"/>
  <c r="E9819" i="1"/>
  <c r="E9820" i="1"/>
  <c r="E9821" i="1"/>
  <c r="E9822" i="1"/>
  <c r="E9823" i="1"/>
  <c r="E9824" i="1"/>
  <c r="E9825" i="1"/>
  <c r="E9826" i="1"/>
  <c r="E9827" i="1"/>
  <c r="E9828" i="1"/>
  <c r="E9829" i="1"/>
  <c r="E9830" i="1"/>
  <c r="E9831" i="1"/>
  <c r="E9832" i="1"/>
  <c r="E9833" i="1"/>
  <c r="E9834" i="1"/>
  <c r="E9835" i="1"/>
  <c r="E9836" i="1"/>
  <c r="E9837" i="1"/>
  <c r="E9838" i="1"/>
  <c r="E9839" i="1"/>
  <c r="E9840" i="1"/>
  <c r="E9841" i="1"/>
  <c r="E9842" i="1"/>
  <c r="E9843" i="1"/>
  <c r="E9844" i="1"/>
  <c r="E9845" i="1"/>
  <c r="E9846" i="1"/>
  <c r="E9847" i="1"/>
  <c r="E9849" i="1"/>
  <c r="E9850" i="1"/>
  <c r="E9851" i="1"/>
  <c r="E9852" i="1"/>
  <c r="E9853" i="1"/>
  <c r="E9854" i="1"/>
  <c r="E9855" i="1"/>
  <c r="E9856" i="1"/>
  <c r="E9857" i="1"/>
  <c r="E9858" i="1"/>
  <c r="E9859" i="1"/>
  <c r="E9860" i="1"/>
  <c r="E9861" i="1"/>
  <c r="E9862" i="1"/>
  <c r="E9863" i="1"/>
  <c r="E9864" i="1"/>
  <c r="E9865" i="1"/>
  <c r="E9866" i="1"/>
  <c r="E9867" i="1"/>
  <c r="E9868" i="1"/>
  <c r="E9869" i="1"/>
  <c r="E9870" i="1"/>
  <c r="E9871" i="1"/>
  <c r="E9872" i="1"/>
  <c r="E9873" i="1"/>
  <c r="E9874" i="1"/>
  <c r="E9875" i="1"/>
  <c r="E9876" i="1"/>
  <c r="E9877" i="1"/>
  <c r="E9878" i="1"/>
  <c r="E9879" i="1"/>
  <c r="E9880" i="1"/>
  <c r="E9881" i="1"/>
  <c r="E9882" i="1"/>
  <c r="E9883" i="1"/>
  <c r="E9884" i="1"/>
  <c r="E9885" i="1"/>
  <c r="E9886" i="1"/>
  <c r="E9887" i="1"/>
  <c r="E9888" i="1"/>
  <c r="E9889" i="1"/>
  <c r="E9890" i="1"/>
  <c r="E9891" i="1"/>
  <c r="E9892" i="1"/>
  <c r="E9893" i="1"/>
  <c r="E9894" i="1"/>
  <c r="E9895" i="1"/>
  <c r="E9896" i="1"/>
  <c r="E9897" i="1"/>
  <c r="E9898" i="1"/>
  <c r="E9899" i="1"/>
  <c r="E9900" i="1"/>
  <c r="E9901" i="1"/>
  <c r="E9902" i="1"/>
  <c r="E9903" i="1"/>
  <c r="E9904" i="1"/>
  <c r="E9905" i="1"/>
  <c r="E9906" i="1"/>
  <c r="E9907" i="1"/>
  <c r="E9908" i="1"/>
  <c r="E9909" i="1"/>
  <c r="E9910" i="1"/>
  <c r="E9911" i="1"/>
  <c r="E9912" i="1"/>
  <c r="E9913" i="1"/>
  <c r="E9914" i="1"/>
  <c r="E9915" i="1"/>
  <c r="E9916" i="1"/>
  <c r="E9917" i="1"/>
  <c r="E9918" i="1"/>
  <c r="E9919" i="1"/>
  <c r="E9920" i="1"/>
  <c r="E9921" i="1"/>
  <c r="E9922" i="1"/>
  <c r="E9923" i="1"/>
  <c r="E9924" i="1"/>
  <c r="E9925" i="1"/>
  <c r="E9926" i="1"/>
  <c r="E9927" i="1"/>
  <c r="E9928" i="1"/>
  <c r="E9929" i="1"/>
  <c r="E9930" i="1"/>
  <c r="E9931" i="1"/>
  <c r="E9932" i="1"/>
  <c r="E9933" i="1"/>
  <c r="E9934" i="1"/>
  <c r="E9935" i="1"/>
  <c r="E9936" i="1"/>
  <c r="E9937" i="1"/>
  <c r="E9938" i="1"/>
  <c r="E9939" i="1"/>
  <c r="E9940" i="1"/>
  <c r="E9941" i="1"/>
  <c r="E9942" i="1"/>
  <c r="E9943" i="1"/>
  <c r="E9944" i="1"/>
  <c r="E9945" i="1"/>
  <c r="E9946" i="1"/>
  <c r="E9947" i="1"/>
  <c r="E9948" i="1"/>
  <c r="E9949" i="1"/>
  <c r="E9950" i="1"/>
  <c r="E9951" i="1"/>
  <c r="E9952" i="1"/>
  <c r="E9953" i="1"/>
  <c r="E9954" i="1"/>
  <c r="E9955" i="1"/>
  <c r="E9956" i="1"/>
  <c r="E9957" i="1"/>
  <c r="E9958" i="1"/>
  <c r="E9959" i="1"/>
  <c r="E9960" i="1"/>
  <c r="E9961" i="1"/>
  <c r="E9962" i="1"/>
  <c r="E9963" i="1"/>
  <c r="E9964" i="1"/>
  <c r="E9965" i="1"/>
  <c r="E9966" i="1"/>
  <c r="E9967" i="1"/>
  <c r="E9968" i="1"/>
  <c r="E9969" i="1"/>
  <c r="E9970" i="1"/>
  <c r="E9971" i="1"/>
  <c r="E9972" i="1"/>
  <c r="E9973" i="1"/>
  <c r="E9974" i="1"/>
  <c r="E9975" i="1"/>
  <c r="E9976" i="1"/>
  <c r="E9977" i="1"/>
  <c r="E9978" i="1"/>
  <c r="E9979" i="1"/>
  <c r="E9980" i="1"/>
  <c r="E9981" i="1"/>
  <c r="E9982" i="1"/>
  <c r="E9983" i="1"/>
  <c r="E9984" i="1"/>
  <c r="E9985" i="1"/>
  <c r="E9986" i="1"/>
  <c r="E9987" i="1"/>
  <c r="E9988" i="1"/>
  <c r="E9989" i="1"/>
  <c r="E9990" i="1"/>
  <c r="E9991" i="1"/>
  <c r="E9992" i="1"/>
  <c r="E9993" i="1"/>
  <c r="E9994" i="1"/>
  <c r="E9995" i="1"/>
  <c r="E9996" i="1"/>
  <c r="E9997" i="1"/>
  <c r="E9998" i="1"/>
  <c r="E9999" i="1"/>
  <c r="E10000" i="1"/>
  <c r="E10001" i="1"/>
  <c r="E10002" i="1"/>
  <c r="E10003" i="1"/>
  <c r="E10004" i="1"/>
  <c r="E10005" i="1"/>
  <c r="E10006" i="1"/>
  <c r="E10007" i="1"/>
  <c r="E10008" i="1"/>
  <c r="E10009" i="1"/>
  <c r="E10010" i="1"/>
  <c r="E10011" i="1"/>
  <c r="E10012" i="1"/>
  <c r="E10013" i="1"/>
  <c r="E10014" i="1"/>
  <c r="E10015" i="1"/>
  <c r="E10016" i="1"/>
  <c r="E10017" i="1"/>
  <c r="E10018" i="1"/>
  <c r="E10019" i="1"/>
  <c r="E10020" i="1"/>
  <c r="E10021" i="1"/>
  <c r="E10022" i="1"/>
  <c r="E10023" i="1"/>
  <c r="E10024" i="1"/>
  <c r="E10025" i="1"/>
  <c r="E10026" i="1"/>
  <c r="E10027" i="1"/>
  <c r="E10028" i="1"/>
  <c r="E10029" i="1"/>
  <c r="E10030" i="1"/>
  <c r="E10031" i="1"/>
  <c r="E10032" i="1"/>
  <c r="E10033" i="1"/>
  <c r="E10034" i="1"/>
  <c r="E10035" i="1"/>
  <c r="E10036" i="1"/>
  <c r="E10037" i="1"/>
  <c r="E10038" i="1"/>
  <c r="E10039" i="1"/>
  <c r="E10040" i="1"/>
  <c r="E10041" i="1"/>
  <c r="E10042" i="1"/>
  <c r="E10043" i="1"/>
  <c r="E10044" i="1"/>
  <c r="E10045" i="1"/>
  <c r="E10046" i="1"/>
  <c r="E10047" i="1"/>
  <c r="E10048" i="1"/>
  <c r="E10049" i="1"/>
  <c r="E10050" i="1"/>
  <c r="E10051" i="1"/>
  <c r="E10052" i="1"/>
  <c r="E10053" i="1"/>
  <c r="E10054" i="1"/>
  <c r="E10055" i="1"/>
  <c r="E10056" i="1"/>
  <c r="E10057" i="1"/>
  <c r="E10059" i="1"/>
  <c r="E10060" i="1"/>
  <c r="E10061" i="1"/>
  <c r="E10062" i="1"/>
  <c r="E10063" i="1"/>
  <c r="E10064" i="1"/>
  <c r="E10065" i="1"/>
  <c r="E10066" i="1"/>
  <c r="E10067" i="1"/>
  <c r="E10068" i="1"/>
  <c r="E10069" i="1"/>
  <c r="E10070" i="1"/>
  <c r="E10071" i="1"/>
  <c r="E10072" i="1"/>
  <c r="E10073" i="1"/>
  <c r="E10074" i="1"/>
  <c r="E10075" i="1"/>
  <c r="E10076" i="1"/>
  <c r="E10077" i="1"/>
  <c r="E10078" i="1"/>
  <c r="E10079" i="1"/>
  <c r="E10080" i="1"/>
  <c r="E10081" i="1"/>
  <c r="E10082" i="1"/>
  <c r="E10083" i="1"/>
  <c r="E10084" i="1"/>
  <c r="E10085" i="1"/>
  <c r="E10086" i="1"/>
  <c r="E10087" i="1"/>
  <c r="E10088" i="1"/>
  <c r="E10089" i="1"/>
  <c r="E10090" i="1"/>
  <c r="E10091" i="1"/>
  <c r="E10092" i="1"/>
  <c r="E10093" i="1"/>
  <c r="E10094" i="1"/>
  <c r="E10095" i="1"/>
  <c r="E10096" i="1"/>
  <c r="E10097" i="1"/>
  <c r="E10098" i="1"/>
  <c r="E10099" i="1"/>
  <c r="E10100" i="1"/>
  <c r="E10101" i="1"/>
  <c r="E10102" i="1"/>
  <c r="E10103" i="1"/>
  <c r="E10104" i="1"/>
  <c r="E10105" i="1"/>
  <c r="E10106" i="1"/>
  <c r="E10107" i="1"/>
  <c r="E10108" i="1"/>
  <c r="E10109" i="1"/>
  <c r="E10110" i="1"/>
  <c r="E10111" i="1"/>
  <c r="E10112" i="1"/>
  <c r="E10113" i="1"/>
  <c r="E10114" i="1"/>
  <c r="E10115" i="1"/>
  <c r="E10116" i="1"/>
  <c r="E10117" i="1"/>
  <c r="E10118" i="1"/>
  <c r="E10119" i="1"/>
  <c r="E10120" i="1"/>
  <c r="E10121" i="1"/>
  <c r="E10122" i="1"/>
  <c r="E10123" i="1"/>
  <c r="E10124" i="1"/>
  <c r="E10125" i="1"/>
  <c r="E10126" i="1"/>
  <c r="E10127" i="1"/>
  <c r="E10128" i="1"/>
  <c r="E10129" i="1"/>
  <c r="E10130" i="1"/>
  <c r="E10131" i="1"/>
  <c r="E10132" i="1"/>
  <c r="E10133" i="1"/>
  <c r="E10134" i="1"/>
  <c r="E10135" i="1"/>
  <c r="E10136" i="1"/>
  <c r="E10137" i="1"/>
  <c r="E10138" i="1"/>
  <c r="E10139" i="1"/>
  <c r="E10140" i="1"/>
  <c r="E10141" i="1"/>
  <c r="E10142" i="1"/>
  <c r="E10143" i="1"/>
  <c r="E10144" i="1"/>
  <c r="E10145" i="1"/>
  <c r="E10146" i="1"/>
  <c r="E10147" i="1"/>
  <c r="E10148" i="1"/>
  <c r="E10149" i="1"/>
  <c r="E10150" i="1"/>
  <c r="E10151" i="1"/>
  <c r="E10152" i="1"/>
  <c r="E10153" i="1"/>
  <c r="E10154" i="1"/>
  <c r="E10155" i="1"/>
  <c r="E10156" i="1"/>
  <c r="E10157" i="1"/>
  <c r="E10158" i="1"/>
  <c r="E10159" i="1"/>
  <c r="E10160" i="1"/>
  <c r="E10161" i="1"/>
  <c r="E10162" i="1"/>
  <c r="E10163" i="1"/>
  <c r="E10164" i="1"/>
  <c r="E10165" i="1"/>
  <c r="E10166" i="1"/>
  <c r="E10167" i="1"/>
  <c r="E10168" i="1"/>
  <c r="E10169" i="1"/>
  <c r="E10170" i="1"/>
  <c r="E10171" i="1"/>
  <c r="E10172" i="1"/>
  <c r="E10173" i="1"/>
  <c r="E10174" i="1"/>
  <c r="E10175" i="1"/>
  <c r="E10176" i="1"/>
  <c r="E10177" i="1"/>
  <c r="E10178" i="1"/>
  <c r="E10179" i="1"/>
  <c r="E10180" i="1"/>
  <c r="E10181" i="1"/>
  <c r="E10182" i="1"/>
  <c r="E10183" i="1"/>
  <c r="E10184" i="1"/>
  <c r="E10185" i="1"/>
  <c r="E10186" i="1"/>
  <c r="E10187" i="1"/>
  <c r="E10188" i="1"/>
  <c r="E10189" i="1"/>
  <c r="E10190" i="1"/>
  <c r="E10191" i="1"/>
  <c r="E10192" i="1"/>
  <c r="E10193" i="1"/>
  <c r="E10194" i="1"/>
  <c r="E10195" i="1"/>
  <c r="E10196" i="1"/>
  <c r="E10197" i="1"/>
  <c r="E10198" i="1"/>
  <c r="E10199" i="1"/>
  <c r="E10200" i="1"/>
  <c r="E10201" i="1"/>
  <c r="E10202" i="1"/>
  <c r="E10203" i="1"/>
  <c r="E10204" i="1"/>
  <c r="E10205" i="1"/>
  <c r="E10206" i="1"/>
  <c r="E10207" i="1"/>
  <c r="E10208" i="1"/>
  <c r="E10209" i="1"/>
  <c r="E10210" i="1"/>
  <c r="E10211" i="1"/>
  <c r="E10212" i="1"/>
  <c r="E10213" i="1"/>
  <c r="E10214" i="1"/>
  <c r="E10215" i="1"/>
  <c r="E10216" i="1"/>
  <c r="E10217" i="1"/>
  <c r="E10218" i="1"/>
  <c r="E10219" i="1"/>
  <c r="E10220" i="1"/>
  <c r="E10221" i="1"/>
  <c r="E10222" i="1"/>
  <c r="E10223" i="1"/>
  <c r="E10224" i="1"/>
  <c r="E10225" i="1"/>
  <c r="E10226" i="1"/>
  <c r="E10227" i="1"/>
  <c r="E10228" i="1"/>
  <c r="E10229" i="1"/>
  <c r="E10230" i="1"/>
  <c r="E10231" i="1"/>
  <c r="E10232" i="1"/>
  <c r="E10233" i="1"/>
  <c r="E10234" i="1"/>
  <c r="E10235" i="1"/>
  <c r="E10236" i="1"/>
  <c r="E10237" i="1"/>
  <c r="E10238" i="1"/>
  <c r="E10239" i="1"/>
  <c r="E10240" i="1"/>
  <c r="E10241" i="1"/>
  <c r="E10242" i="1"/>
  <c r="E10243" i="1"/>
  <c r="E10244" i="1"/>
  <c r="E10245" i="1"/>
  <c r="E10246" i="1"/>
  <c r="E10247" i="1"/>
  <c r="E10248" i="1"/>
  <c r="E10249" i="1"/>
  <c r="E10250" i="1"/>
  <c r="E10251" i="1"/>
  <c r="E10252" i="1"/>
  <c r="E10253" i="1"/>
  <c r="E10254" i="1"/>
  <c r="E10255" i="1"/>
  <c r="E10256" i="1"/>
  <c r="E10257" i="1"/>
  <c r="E10258" i="1"/>
  <c r="E10259" i="1"/>
  <c r="E10260" i="1"/>
  <c r="E10261" i="1"/>
  <c r="E10262" i="1"/>
  <c r="E10263" i="1"/>
  <c r="E10264" i="1"/>
  <c r="E10265" i="1"/>
  <c r="E10266" i="1"/>
  <c r="E10267" i="1"/>
  <c r="E10268" i="1"/>
  <c r="E10269" i="1"/>
  <c r="E10270" i="1"/>
  <c r="E10271" i="1"/>
  <c r="E10272" i="1"/>
  <c r="E10273" i="1"/>
  <c r="E10274" i="1"/>
  <c r="E10275" i="1"/>
  <c r="E10276" i="1"/>
  <c r="E10277" i="1"/>
  <c r="E10278" i="1"/>
  <c r="E10279" i="1"/>
  <c r="E10280" i="1"/>
  <c r="E10281" i="1"/>
  <c r="E10282" i="1"/>
  <c r="E10283" i="1"/>
  <c r="E10284" i="1"/>
  <c r="E10285" i="1"/>
  <c r="E10286" i="1"/>
  <c r="E10287" i="1"/>
  <c r="E10288" i="1"/>
  <c r="E10289" i="1"/>
  <c r="E10290" i="1"/>
  <c r="E10291" i="1"/>
  <c r="E10292" i="1"/>
  <c r="E10293" i="1"/>
  <c r="E10294" i="1"/>
  <c r="E10295" i="1"/>
  <c r="E10296" i="1"/>
  <c r="E10297" i="1"/>
  <c r="E10298" i="1"/>
  <c r="E10299" i="1"/>
  <c r="E10300" i="1"/>
  <c r="E10301" i="1"/>
  <c r="E10302" i="1"/>
  <c r="E10303" i="1"/>
  <c r="E10304" i="1"/>
  <c r="E10305" i="1"/>
  <c r="E10306" i="1"/>
  <c r="E10307" i="1"/>
  <c r="E10308" i="1"/>
  <c r="E10309" i="1"/>
  <c r="E10310" i="1"/>
  <c r="E10311" i="1"/>
  <c r="E10312" i="1"/>
  <c r="E10313" i="1"/>
  <c r="E10314" i="1"/>
  <c r="E10315" i="1"/>
  <c r="E10316" i="1"/>
  <c r="E10317" i="1"/>
  <c r="E10318" i="1"/>
  <c r="E10319" i="1"/>
  <c r="E10320" i="1"/>
  <c r="E10321" i="1"/>
  <c r="E10322" i="1"/>
  <c r="E10323" i="1"/>
  <c r="E10324" i="1"/>
  <c r="E10325" i="1"/>
  <c r="E10326" i="1"/>
  <c r="E10327" i="1"/>
  <c r="E10328" i="1"/>
  <c r="E10329" i="1"/>
  <c r="E10330" i="1"/>
  <c r="E10331" i="1"/>
  <c r="E10332" i="1"/>
  <c r="E10333" i="1"/>
  <c r="E10334" i="1"/>
  <c r="E10335" i="1"/>
  <c r="E10336" i="1"/>
  <c r="E10337" i="1"/>
  <c r="E10338" i="1"/>
  <c r="E10339" i="1"/>
  <c r="E10340" i="1"/>
  <c r="E10341" i="1"/>
  <c r="E10342" i="1"/>
  <c r="E10343" i="1"/>
  <c r="E10344" i="1"/>
  <c r="E10345" i="1"/>
  <c r="E10346" i="1"/>
  <c r="E10347" i="1"/>
  <c r="E10348" i="1"/>
  <c r="E10349" i="1"/>
  <c r="E10350" i="1"/>
  <c r="E10351" i="1"/>
  <c r="E10352" i="1"/>
  <c r="E10353" i="1"/>
  <c r="E10354" i="1"/>
  <c r="E10355" i="1"/>
  <c r="E10356" i="1"/>
  <c r="E10357" i="1"/>
  <c r="E10358" i="1"/>
  <c r="E10359" i="1"/>
  <c r="E10360" i="1"/>
  <c r="E10361" i="1"/>
  <c r="E10362" i="1"/>
  <c r="E10363" i="1"/>
  <c r="E10364" i="1"/>
  <c r="E10365" i="1"/>
  <c r="E10366" i="1"/>
  <c r="E10367" i="1"/>
  <c r="E10368" i="1"/>
  <c r="E10369" i="1"/>
  <c r="E10370" i="1"/>
  <c r="E10371" i="1"/>
  <c r="E10372" i="1"/>
  <c r="E10373" i="1"/>
  <c r="E10374" i="1"/>
  <c r="E10375" i="1"/>
  <c r="E10376" i="1"/>
  <c r="E10377" i="1"/>
  <c r="E10378" i="1"/>
  <c r="E10379" i="1"/>
  <c r="E10380" i="1"/>
  <c r="E10381" i="1"/>
  <c r="E10382" i="1"/>
  <c r="E10383" i="1"/>
  <c r="E10384" i="1"/>
  <c r="E10385" i="1"/>
  <c r="E10386" i="1"/>
  <c r="E10387" i="1"/>
  <c r="E10388" i="1"/>
  <c r="E10389" i="1"/>
  <c r="E10390" i="1"/>
  <c r="E10391" i="1"/>
  <c r="E10392" i="1"/>
  <c r="E10393" i="1"/>
  <c r="E10394" i="1"/>
  <c r="E10395" i="1"/>
  <c r="E10396" i="1"/>
  <c r="E10397" i="1"/>
  <c r="E10398" i="1"/>
  <c r="E10399" i="1"/>
  <c r="E10400" i="1"/>
  <c r="E10401" i="1"/>
  <c r="E10402" i="1"/>
  <c r="E10403" i="1"/>
  <c r="E10404" i="1"/>
  <c r="E10405" i="1"/>
  <c r="E10406" i="1"/>
  <c r="E10407" i="1"/>
  <c r="E10408" i="1"/>
  <c r="E10409" i="1"/>
  <c r="E10410" i="1"/>
  <c r="E10411" i="1"/>
  <c r="E10412" i="1"/>
  <c r="E10413" i="1"/>
  <c r="E10414" i="1"/>
  <c r="E10415" i="1"/>
  <c r="E10416" i="1"/>
  <c r="E10417" i="1"/>
  <c r="E10418" i="1"/>
  <c r="E10419" i="1"/>
  <c r="E10420" i="1"/>
  <c r="E10421" i="1"/>
  <c r="E10422" i="1"/>
  <c r="E10423" i="1"/>
  <c r="E10424" i="1"/>
  <c r="E10425" i="1"/>
  <c r="E10426" i="1"/>
  <c r="E10427" i="1"/>
  <c r="E10428" i="1"/>
  <c r="E10429" i="1"/>
  <c r="E10430" i="1"/>
  <c r="E10431" i="1"/>
  <c r="E10432" i="1"/>
  <c r="E10433" i="1"/>
  <c r="E10434" i="1"/>
  <c r="E10435" i="1"/>
  <c r="E10436" i="1"/>
  <c r="E10437" i="1"/>
  <c r="E10438" i="1"/>
  <c r="E10439" i="1"/>
  <c r="E10440" i="1"/>
  <c r="E10441" i="1"/>
  <c r="E10442" i="1"/>
  <c r="E10443" i="1"/>
  <c r="E10444" i="1"/>
  <c r="E10445" i="1"/>
  <c r="E10446" i="1"/>
  <c r="E10447" i="1"/>
  <c r="E10448" i="1"/>
  <c r="E10449" i="1"/>
  <c r="E10450" i="1"/>
  <c r="E10451" i="1"/>
  <c r="E10452" i="1"/>
  <c r="E10453" i="1"/>
  <c r="E10454" i="1"/>
  <c r="E10455" i="1"/>
  <c r="E10456" i="1"/>
  <c r="E10457" i="1"/>
  <c r="E10458" i="1"/>
  <c r="E10459" i="1"/>
  <c r="E10460" i="1"/>
  <c r="E10461" i="1"/>
  <c r="E10462" i="1"/>
  <c r="E10463" i="1"/>
  <c r="E10464" i="1"/>
  <c r="E10465" i="1"/>
  <c r="E10466" i="1"/>
  <c r="E10467" i="1"/>
  <c r="E10468" i="1"/>
  <c r="E10469" i="1"/>
  <c r="E10470" i="1"/>
  <c r="E10471" i="1"/>
  <c r="E10472" i="1"/>
  <c r="E10473" i="1"/>
  <c r="E10474" i="1"/>
  <c r="E10475" i="1"/>
  <c r="E10476" i="1"/>
  <c r="E10477" i="1"/>
  <c r="E10478" i="1"/>
  <c r="E10479" i="1"/>
  <c r="E10480" i="1"/>
  <c r="E10481" i="1"/>
  <c r="E10482" i="1"/>
  <c r="E10483" i="1"/>
  <c r="E10484" i="1"/>
  <c r="E10485" i="1"/>
  <c r="E10486" i="1"/>
  <c r="E10487" i="1"/>
  <c r="E10489" i="1"/>
  <c r="E10490" i="1"/>
  <c r="E10491" i="1"/>
  <c r="E10492" i="1"/>
  <c r="E10493" i="1"/>
  <c r="E10494" i="1"/>
  <c r="E10495" i="1"/>
  <c r="E10496" i="1"/>
  <c r="E10497" i="1"/>
  <c r="E10498" i="1"/>
  <c r="E10499" i="1"/>
  <c r="E10500" i="1"/>
  <c r="E10501" i="1"/>
  <c r="E10502" i="1"/>
  <c r="E10503" i="1"/>
  <c r="E10504" i="1"/>
  <c r="E10505" i="1"/>
  <c r="E10506" i="1"/>
  <c r="E10507" i="1"/>
  <c r="E10508" i="1"/>
  <c r="E10509" i="1"/>
  <c r="E10510" i="1"/>
  <c r="E10511" i="1"/>
  <c r="E10512" i="1"/>
  <c r="E10513" i="1"/>
  <c r="E10514" i="1"/>
  <c r="E10515" i="1"/>
  <c r="E10516" i="1"/>
  <c r="E10517" i="1"/>
  <c r="E10518" i="1"/>
  <c r="E10519" i="1"/>
  <c r="E10520" i="1"/>
  <c r="E10521" i="1"/>
  <c r="E10522" i="1"/>
  <c r="E10523" i="1"/>
  <c r="E10524" i="1"/>
  <c r="E10525" i="1"/>
  <c r="E10526" i="1"/>
  <c r="E10527" i="1"/>
  <c r="E10528" i="1"/>
  <c r="E10529" i="1"/>
  <c r="E10530" i="1"/>
  <c r="E10531" i="1"/>
  <c r="E10532" i="1"/>
  <c r="E10533" i="1"/>
  <c r="E10534" i="1"/>
  <c r="E10535" i="1"/>
  <c r="E10536" i="1"/>
  <c r="E10537" i="1"/>
  <c r="E10538" i="1"/>
  <c r="E10539" i="1"/>
  <c r="E10540" i="1"/>
  <c r="E10541" i="1"/>
  <c r="E10542" i="1"/>
  <c r="E10543" i="1"/>
  <c r="E10544" i="1"/>
  <c r="E10545" i="1"/>
  <c r="E10546" i="1"/>
  <c r="E10547" i="1"/>
  <c r="E10548" i="1"/>
  <c r="E10549" i="1"/>
  <c r="E10550" i="1"/>
  <c r="E10551" i="1"/>
  <c r="E10552" i="1"/>
  <c r="E10553" i="1"/>
  <c r="E10554" i="1"/>
  <c r="E10555" i="1"/>
  <c r="E10556" i="1"/>
  <c r="E10557" i="1"/>
  <c r="E10558" i="1"/>
  <c r="E10559" i="1"/>
  <c r="E10560" i="1"/>
  <c r="E10561" i="1"/>
  <c r="E10562" i="1"/>
  <c r="E10563" i="1"/>
  <c r="E10564" i="1"/>
  <c r="E10565" i="1"/>
  <c r="E10566" i="1"/>
  <c r="E10567" i="1"/>
  <c r="E10568" i="1"/>
  <c r="E10569" i="1"/>
  <c r="E10570" i="1"/>
  <c r="E10571" i="1"/>
  <c r="E10572" i="1"/>
  <c r="E10573" i="1"/>
  <c r="E10574" i="1"/>
  <c r="E10575" i="1"/>
  <c r="E10576" i="1"/>
  <c r="E10577" i="1"/>
  <c r="E10578" i="1"/>
  <c r="E10579" i="1"/>
  <c r="E10580" i="1"/>
  <c r="E10581" i="1"/>
  <c r="E10582" i="1"/>
  <c r="E10583" i="1"/>
  <c r="E10584" i="1"/>
  <c r="E10585" i="1"/>
  <c r="E10586" i="1"/>
  <c r="E10587" i="1"/>
  <c r="E10588" i="1"/>
  <c r="E10589" i="1"/>
  <c r="E10590" i="1"/>
  <c r="E10591" i="1"/>
  <c r="E10592" i="1"/>
  <c r="E10593" i="1"/>
  <c r="E10594" i="1"/>
  <c r="E10595" i="1"/>
  <c r="E10596" i="1"/>
  <c r="E10597" i="1"/>
  <c r="E10598" i="1"/>
  <c r="E10599" i="1"/>
  <c r="E10600" i="1"/>
  <c r="E10601" i="1"/>
  <c r="E10602" i="1"/>
  <c r="E10603" i="1"/>
  <c r="E10604" i="1"/>
  <c r="E10605" i="1"/>
  <c r="E10606" i="1"/>
  <c r="E10607" i="1"/>
  <c r="E10608" i="1"/>
  <c r="E10609" i="1"/>
  <c r="E10610" i="1"/>
  <c r="E10611" i="1"/>
  <c r="E10612" i="1"/>
  <c r="E10613" i="1"/>
  <c r="E10614" i="1"/>
  <c r="E10615" i="1"/>
  <c r="E10616" i="1"/>
  <c r="E10617" i="1"/>
  <c r="E10618" i="1"/>
  <c r="E10619" i="1"/>
  <c r="E10620" i="1"/>
  <c r="E10621" i="1"/>
  <c r="E10622" i="1"/>
  <c r="E10623" i="1"/>
  <c r="E10624" i="1"/>
  <c r="E10625" i="1"/>
  <c r="E10626" i="1"/>
  <c r="E10627" i="1"/>
  <c r="E10628" i="1"/>
  <c r="E10629" i="1"/>
  <c r="E10630" i="1"/>
  <c r="E10631" i="1"/>
  <c r="E10632" i="1"/>
  <c r="E10633" i="1"/>
  <c r="E10634" i="1"/>
  <c r="E10635" i="1"/>
  <c r="E10636" i="1"/>
  <c r="E10637" i="1"/>
  <c r="E10638" i="1"/>
  <c r="E10639" i="1"/>
  <c r="E10640" i="1"/>
  <c r="E10641" i="1"/>
  <c r="E10642" i="1"/>
  <c r="E10643" i="1"/>
  <c r="E10644" i="1"/>
  <c r="E10645" i="1"/>
  <c r="E10646" i="1"/>
  <c r="E10647" i="1"/>
  <c r="E10648" i="1"/>
  <c r="E10649" i="1"/>
  <c r="E10650" i="1"/>
  <c r="E10651" i="1"/>
  <c r="E10652" i="1"/>
  <c r="E10653" i="1"/>
  <c r="E10654" i="1"/>
  <c r="E10655" i="1"/>
  <c r="E10656" i="1"/>
  <c r="E10657" i="1"/>
  <c r="E10658" i="1"/>
  <c r="E10659" i="1"/>
  <c r="E10660" i="1"/>
  <c r="E10661" i="1"/>
  <c r="E10662" i="1"/>
  <c r="E10663" i="1"/>
  <c r="E10664" i="1"/>
  <c r="E10665" i="1"/>
  <c r="E10666" i="1"/>
  <c r="E10667" i="1"/>
  <c r="E10668" i="1"/>
  <c r="E10669" i="1"/>
  <c r="E10670" i="1"/>
  <c r="E10671" i="1"/>
  <c r="E10672" i="1"/>
  <c r="E10673" i="1"/>
  <c r="E10674" i="1"/>
  <c r="E10675" i="1"/>
  <c r="E10676" i="1"/>
  <c r="E10677" i="1"/>
  <c r="E10678" i="1"/>
  <c r="E10679" i="1"/>
  <c r="E10680" i="1"/>
  <c r="E10681" i="1"/>
  <c r="E10682" i="1"/>
  <c r="E10683" i="1"/>
  <c r="E10684" i="1"/>
  <c r="E10685" i="1"/>
  <c r="E10686" i="1"/>
  <c r="E10687" i="1"/>
  <c r="E10688" i="1"/>
  <c r="E10689" i="1"/>
  <c r="E10690" i="1"/>
  <c r="E10691" i="1"/>
  <c r="E10692" i="1"/>
  <c r="E10693" i="1"/>
  <c r="E10694" i="1"/>
  <c r="E10695" i="1"/>
  <c r="E10696" i="1"/>
  <c r="E10697" i="1"/>
  <c r="E10698" i="1"/>
  <c r="E10699" i="1"/>
  <c r="E10700" i="1"/>
  <c r="E10701" i="1"/>
  <c r="E10702" i="1"/>
  <c r="E10703" i="1"/>
  <c r="E10704" i="1"/>
  <c r="E10705" i="1"/>
  <c r="E10706" i="1"/>
  <c r="E10707" i="1"/>
  <c r="E10708" i="1"/>
  <c r="E10709" i="1"/>
  <c r="E10710" i="1"/>
  <c r="E10711" i="1"/>
  <c r="E10712" i="1"/>
  <c r="E10713" i="1"/>
  <c r="E10714" i="1"/>
  <c r="E10715" i="1"/>
  <c r="E10716" i="1"/>
  <c r="E10717" i="1"/>
  <c r="E10718" i="1"/>
  <c r="E10719" i="1"/>
  <c r="E10720" i="1"/>
  <c r="E10721" i="1"/>
  <c r="E10722" i="1"/>
  <c r="E10723" i="1"/>
  <c r="E10724" i="1"/>
  <c r="E10725" i="1"/>
  <c r="E10726" i="1"/>
  <c r="E10727" i="1"/>
  <c r="E10728" i="1"/>
  <c r="E10729" i="1"/>
  <c r="E10730" i="1"/>
  <c r="E10731" i="1"/>
  <c r="E10732" i="1"/>
  <c r="E10733" i="1"/>
  <c r="E10734" i="1"/>
  <c r="E10735" i="1"/>
  <c r="E10736" i="1"/>
  <c r="E10737" i="1"/>
  <c r="E10738" i="1"/>
  <c r="E10739" i="1"/>
  <c r="E10740" i="1"/>
  <c r="E10741" i="1"/>
  <c r="E10742" i="1"/>
  <c r="E10743" i="1"/>
  <c r="E10744" i="1"/>
  <c r="E10745" i="1"/>
  <c r="E10746" i="1"/>
  <c r="E10747" i="1"/>
  <c r="E10748" i="1"/>
  <c r="E10749" i="1"/>
  <c r="E10750" i="1"/>
  <c r="E10751" i="1"/>
  <c r="E10752" i="1"/>
  <c r="E10753" i="1"/>
  <c r="E10754" i="1"/>
  <c r="E10755" i="1"/>
  <c r="E10756" i="1"/>
  <c r="E10757" i="1"/>
  <c r="E10758" i="1"/>
  <c r="E10759" i="1"/>
  <c r="E10760" i="1"/>
  <c r="E10761" i="1"/>
  <c r="E10762" i="1"/>
  <c r="E10763" i="1"/>
  <c r="E10764" i="1"/>
  <c r="E10765" i="1"/>
  <c r="E10766" i="1"/>
  <c r="E10767" i="1"/>
  <c r="E10768" i="1"/>
  <c r="E10769" i="1"/>
  <c r="E10770" i="1"/>
  <c r="E10771" i="1"/>
  <c r="E10772" i="1"/>
  <c r="E10773" i="1"/>
  <c r="E10774" i="1"/>
  <c r="E10775" i="1"/>
  <c r="E10776" i="1"/>
  <c r="E10777" i="1"/>
  <c r="E10778" i="1"/>
  <c r="E10779" i="1"/>
  <c r="E10780" i="1"/>
  <c r="E10781" i="1"/>
  <c r="E10782" i="1"/>
  <c r="E10783" i="1"/>
  <c r="E10784" i="1"/>
  <c r="E10785" i="1"/>
  <c r="E10786" i="1"/>
  <c r="E10787" i="1"/>
  <c r="E10788" i="1"/>
  <c r="E10789" i="1"/>
  <c r="E10790" i="1"/>
  <c r="E10791" i="1"/>
  <c r="E10792" i="1"/>
  <c r="E10793" i="1"/>
  <c r="E10794" i="1"/>
  <c r="E10795" i="1"/>
  <c r="E10796" i="1"/>
  <c r="E10797" i="1"/>
  <c r="E10798" i="1"/>
  <c r="E10799" i="1"/>
  <c r="E10800" i="1"/>
  <c r="E10801" i="1"/>
  <c r="E10802" i="1"/>
  <c r="E10803" i="1"/>
  <c r="E10804" i="1"/>
  <c r="E10805" i="1"/>
  <c r="E10806" i="1"/>
  <c r="E10807" i="1"/>
  <c r="E10808" i="1"/>
  <c r="E10809" i="1"/>
  <c r="E10810" i="1"/>
  <c r="E10811" i="1"/>
  <c r="E10812" i="1"/>
  <c r="E10813" i="1"/>
  <c r="E10814" i="1"/>
  <c r="E10815" i="1"/>
  <c r="E10816" i="1"/>
  <c r="E10817" i="1"/>
  <c r="E10818" i="1"/>
  <c r="E10819" i="1"/>
  <c r="E10820" i="1"/>
  <c r="E10821" i="1"/>
  <c r="E10822" i="1"/>
  <c r="E10823" i="1"/>
  <c r="E10824" i="1"/>
  <c r="E10825" i="1"/>
  <c r="E10826" i="1"/>
  <c r="E10827" i="1"/>
  <c r="E10828" i="1"/>
  <c r="E10829" i="1"/>
  <c r="E10830" i="1"/>
  <c r="E10831" i="1"/>
  <c r="E10832" i="1"/>
  <c r="E10833" i="1"/>
  <c r="E10834" i="1"/>
  <c r="E10835" i="1"/>
  <c r="E10836" i="1"/>
  <c r="E10837" i="1"/>
  <c r="E10838" i="1"/>
  <c r="E10839" i="1"/>
  <c r="E10840" i="1"/>
  <c r="E10841" i="1"/>
  <c r="E10842" i="1"/>
  <c r="E10843" i="1"/>
  <c r="E10845" i="1"/>
  <c r="E10846" i="1"/>
  <c r="E10847" i="1"/>
  <c r="E10848" i="1"/>
  <c r="E10849" i="1"/>
  <c r="E10850" i="1"/>
  <c r="E10851" i="1"/>
  <c r="E10852" i="1"/>
  <c r="E10853" i="1"/>
  <c r="E10854" i="1"/>
  <c r="E10855" i="1"/>
  <c r="E10856" i="1"/>
  <c r="E10857" i="1"/>
  <c r="E10858" i="1"/>
  <c r="E10859" i="1"/>
  <c r="E10860" i="1"/>
  <c r="E10861" i="1"/>
  <c r="E10862" i="1"/>
  <c r="E10863" i="1"/>
  <c r="E10864" i="1"/>
  <c r="E10865" i="1"/>
  <c r="E10866" i="1"/>
  <c r="E10867" i="1"/>
  <c r="E10868" i="1"/>
  <c r="E10869" i="1"/>
  <c r="E10870" i="1"/>
  <c r="E10871" i="1"/>
  <c r="E10872" i="1"/>
  <c r="E10873" i="1"/>
  <c r="E10874" i="1"/>
  <c r="E10875" i="1"/>
  <c r="E10876" i="1"/>
  <c r="E10877" i="1"/>
  <c r="E10878" i="1"/>
  <c r="E10879" i="1"/>
  <c r="E10880" i="1"/>
  <c r="E10881" i="1"/>
  <c r="E10882" i="1"/>
  <c r="E10883" i="1"/>
  <c r="E10884" i="1"/>
  <c r="E10885" i="1"/>
  <c r="E10886" i="1"/>
  <c r="E10887" i="1"/>
  <c r="E10888" i="1"/>
  <c r="E10889" i="1"/>
  <c r="E10890" i="1"/>
  <c r="E10891" i="1"/>
  <c r="E10892" i="1"/>
  <c r="E10893" i="1"/>
  <c r="E10894" i="1"/>
  <c r="E10895" i="1"/>
  <c r="E10896" i="1"/>
  <c r="E10897" i="1"/>
  <c r="E10898" i="1"/>
  <c r="E10899" i="1"/>
  <c r="E10900" i="1"/>
  <c r="E10901" i="1"/>
  <c r="E10902" i="1"/>
  <c r="E10903" i="1"/>
  <c r="E10904" i="1"/>
  <c r="E10905" i="1"/>
  <c r="E10906" i="1"/>
  <c r="E10907" i="1"/>
  <c r="E10908" i="1"/>
  <c r="E10909" i="1"/>
  <c r="E10910" i="1"/>
  <c r="E10911" i="1"/>
  <c r="E10912" i="1"/>
  <c r="E10913" i="1"/>
  <c r="E10914" i="1"/>
  <c r="E10915" i="1"/>
  <c r="E10916" i="1"/>
  <c r="E10917" i="1"/>
  <c r="E10918" i="1"/>
  <c r="E10919" i="1"/>
  <c r="E10920" i="1"/>
  <c r="E10921" i="1"/>
  <c r="E10922" i="1"/>
  <c r="E10923" i="1"/>
  <c r="E10924" i="1"/>
  <c r="E10925" i="1"/>
  <c r="E10926" i="1"/>
  <c r="E10927" i="1"/>
  <c r="E10928" i="1"/>
  <c r="E10929" i="1"/>
  <c r="E10930" i="1"/>
  <c r="E10931" i="1"/>
  <c r="E10932" i="1"/>
  <c r="E10933" i="1"/>
  <c r="E10934" i="1"/>
  <c r="E10935" i="1"/>
  <c r="E10936" i="1"/>
  <c r="E10937" i="1"/>
  <c r="E10938" i="1"/>
  <c r="E10939" i="1"/>
  <c r="E10940" i="1"/>
  <c r="E10941" i="1"/>
  <c r="E10942" i="1"/>
  <c r="E10943" i="1"/>
  <c r="E10944" i="1"/>
  <c r="E10945" i="1"/>
  <c r="E10946" i="1"/>
  <c r="E10947" i="1"/>
  <c r="E10948" i="1"/>
  <c r="E10949" i="1"/>
  <c r="E10950" i="1"/>
  <c r="E10951" i="1"/>
  <c r="E10952" i="1"/>
  <c r="E10953" i="1"/>
  <c r="E10954" i="1"/>
  <c r="E10955" i="1"/>
  <c r="E10956" i="1"/>
  <c r="E10957" i="1"/>
  <c r="E10958" i="1"/>
  <c r="E10959" i="1"/>
  <c r="E10960" i="1"/>
  <c r="E10961" i="1"/>
  <c r="E10962" i="1"/>
  <c r="E10963" i="1"/>
  <c r="E10964" i="1"/>
  <c r="E10965" i="1"/>
  <c r="E10966" i="1"/>
  <c r="E10967" i="1"/>
  <c r="E10968" i="1"/>
  <c r="E10969" i="1"/>
  <c r="E10970" i="1"/>
  <c r="E10971" i="1"/>
  <c r="E10972" i="1"/>
  <c r="E10973" i="1"/>
  <c r="E10974" i="1"/>
  <c r="E10975" i="1"/>
  <c r="E10976" i="1"/>
  <c r="E10977" i="1"/>
  <c r="E10978" i="1"/>
  <c r="E10979" i="1"/>
  <c r="E10980" i="1"/>
  <c r="E10981" i="1"/>
  <c r="E10982" i="1"/>
  <c r="E10983" i="1"/>
  <c r="E10984" i="1"/>
  <c r="E10985" i="1"/>
  <c r="E10986" i="1"/>
  <c r="E10987" i="1"/>
  <c r="E10988" i="1"/>
  <c r="E10989" i="1"/>
  <c r="E10990" i="1"/>
  <c r="E10991" i="1"/>
  <c r="E10992" i="1"/>
  <c r="E10993" i="1"/>
  <c r="E10994" i="1"/>
  <c r="E10995" i="1"/>
  <c r="E10996" i="1"/>
  <c r="E10997" i="1"/>
  <c r="E10998" i="1"/>
  <c r="E10999" i="1"/>
  <c r="E11000" i="1"/>
  <c r="E11001" i="1"/>
  <c r="E11002" i="1"/>
  <c r="E11003" i="1"/>
  <c r="E11004" i="1"/>
  <c r="E11005" i="1"/>
  <c r="E11006" i="1"/>
  <c r="E11007" i="1"/>
  <c r="E11008" i="1"/>
  <c r="E11009" i="1"/>
  <c r="E11010" i="1"/>
  <c r="E11011" i="1"/>
  <c r="E11012" i="1"/>
  <c r="E11013" i="1"/>
  <c r="E11014" i="1"/>
  <c r="E11015" i="1"/>
  <c r="E11016" i="1"/>
  <c r="E11017" i="1"/>
  <c r="E11018" i="1"/>
  <c r="E11019" i="1"/>
  <c r="E11020" i="1"/>
  <c r="E11021" i="1"/>
  <c r="E11022" i="1"/>
  <c r="E11023" i="1"/>
  <c r="E11024" i="1"/>
  <c r="E11025" i="1"/>
  <c r="E11026" i="1"/>
  <c r="E11027" i="1"/>
  <c r="E11028" i="1"/>
  <c r="E11029" i="1"/>
  <c r="E11030" i="1"/>
  <c r="E11031" i="1"/>
  <c r="E11032" i="1"/>
  <c r="E11033" i="1"/>
  <c r="E11034" i="1"/>
  <c r="E11035" i="1"/>
  <c r="E11036" i="1"/>
  <c r="E11037" i="1"/>
  <c r="E11038" i="1"/>
  <c r="E11039" i="1"/>
  <c r="E11040" i="1"/>
  <c r="E11041" i="1"/>
  <c r="E11042" i="1"/>
  <c r="E11043" i="1"/>
  <c r="E11044" i="1"/>
  <c r="E11045" i="1"/>
  <c r="E11046" i="1"/>
  <c r="E11047" i="1"/>
  <c r="E11048" i="1"/>
  <c r="E11049" i="1"/>
  <c r="E11050" i="1"/>
  <c r="E11051" i="1"/>
  <c r="E11052" i="1"/>
  <c r="E11053" i="1"/>
  <c r="E11054" i="1"/>
  <c r="E11055" i="1"/>
  <c r="E11056" i="1"/>
  <c r="E11057" i="1"/>
  <c r="E11058" i="1"/>
  <c r="E11059" i="1"/>
  <c r="E11060" i="1"/>
  <c r="E11061" i="1"/>
  <c r="E11062" i="1"/>
  <c r="E11063" i="1"/>
  <c r="E11064" i="1"/>
  <c r="E11065" i="1"/>
  <c r="E11066" i="1"/>
  <c r="E11067" i="1"/>
  <c r="E11068" i="1"/>
  <c r="E11069" i="1"/>
  <c r="E11070" i="1"/>
  <c r="E11071" i="1"/>
  <c r="E11072" i="1"/>
  <c r="E11073" i="1"/>
  <c r="E11074" i="1"/>
  <c r="E11075" i="1"/>
  <c r="E11076" i="1"/>
  <c r="E11077" i="1"/>
  <c r="E11078" i="1"/>
  <c r="E11079" i="1"/>
  <c r="E11080" i="1"/>
  <c r="E11081" i="1"/>
  <c r="E11082" i="1"/>
  <c r="E11083" i="1"/>
  <c r="E11084" i="1"/>
  <c r="E11085" i="1"/>
  <c r="E11086" i="1"/>
  <c r="E11087" i="1"/>
  <c r="E11088" i="1"/>
  <c r="E11089" i="1"/>
  <c r="E11090" i="1"/>
  <c r="E11091" i="1"/>
  <c r="E11092" i="1"/>
  <c r="E11093" i="1"/>
  <c r="E11094" i="1"/>
  <c r="E11095" i="1"/>
  <c r="E11096" i="1"/>
  <c r="E11097" i="1"/>
  <c r="E11098" i="1"/>
  <c r="E11099" i="1"/>
  <c r="E11100" i="1"/>
  <c r="E11101" i="1"/>
  <c r="E11102" i="1"/>
  <c r="E11103" i="1"/>
  <c r="E11104" i="1"/>
  <c r="E11105" i="1"/>
  <c r="E11106" i="1"/>
  <c r="E11107" i="1"/>
  <c r="E11108" i="1"/>
  <c r="E11109" i="1"/>
  <c r="E11110" i="1"/>
  <c r="E11111" i="1"/>
  <c r="E11112" i="1"/>
  <c r="E11113" i="1"/>
  <c r="E11114" i="1"/>
  <c r="E11115" i="1"/>
  <c r="E11116" i="1"/>
  <c r="E11117" i="1"/>
  <c r="E11118" i="1"/>
  <c r="E11119" i="1"/>
  <c r="E11120" i="1"/>
  <c r="E11121" i="1"/>
  <c r="E11122" i="1"/>
  <c r="E11123" i="1"/>
  <c r="E11124" i="1"/>
  <c r="E11125" i="1"/>
  <c r="E11126" i="1"/>
  <c r="E11127" i="1"/>
  <c r="E11128" i="1"/>
  <c r="E11129" i="1"/>
  <c r="E11130" i="1"/>
  <c r="E11131" i="1"/>
  <c r="E11132" i="1"/>
  <c r="E11133" i="1"/>
  <c r="E11134" i="1"/>
  <c r="E11135" i="1"/>
  <c r="E11136" i="1"/>
  <c r="E11137" i="1"/>
  <c r="E11138" i="1"/>
  <c r="E11139" i="1"/>
  <c r="E11140" i="1"/>
  <c r="E11141" i="1"/>
  <c r="E11142" i="1"/>
  <c r="E11143" i="1"/>
  <c r="E11144" i="1"/>
  <c r="E11145" i="1"/>
  <c r="E11146" i="1"/>
  <c r="E11147" i="1"/>
  <c r="E11148" i="1"/>
  <c r="E11149" i="1"/>
  <c r="E11150" i="1"/>
  <c r="E11151" i="1"/>
  <c r="E11152" i="1"/>
  <c r="E11153" i="1"/>
  <c r="E11154" i="1"/>
  <c r="E11155" i="1"/>
  <c r="E11156" i="1"/>
  <c r="E11157" i="1"/>
  <c r="E11158" i="1"/>
  <c r="E11159" i="1"/>
  <c r="E11160" i="1"/>
  <c r="E11161" i="1"/>
  <c r="E11162" i="1"/>
  <c r="E11163" i="1"/>
  <c r="E11164" i="1"/>
  <c r="E11165" i="1"/>
  <c r="E11166" i="1"/>
  <c r="E11167" i="1"/>
  <c r="E11168" i="1"/>
  <c r="E11169" i="1"/>
  <c r="E11170" i="1"/>
  <c r="E11171" i="1"/>
  <c r="E11172" i="1"/>
  <c r="E11173" i="1"/>
  <c r="E11174" i="1"/>
  <c r="E11175" i="1"/>
  <c r="E11176" i="1"/>
  <c r="E11177" i="1"/>
  <c r="E11178" i="1"/>
  <c r="E11179" i="1"/>
  <c r="E11180" i="1"/>
  <c r="E11181" i="1"/>
  <c r="E11182" i="1"/>
  <c r="E11183" i="1"/>
  <c r="E11184" i="1"/>
  <c r="E11185" i="1"/>
  <c r="E11186" i="1"/>
  <c r="E11187" i="1"/>
  <c r="E11188" i="1"/>
  <c r="E11189" i="1"/>
  <c r="E11190" i="1"/>
  <c r="E11191" i="1"/>
  <c r="E11192" i="1"/>
  <c r="E11193" i="1"/>
  <c r="E11194" i="1"/>
  <c r="E11195" i="1"/>
  <c r="E11196" i="1"/>
  <c r="E11197" i="1"/>
  <c r="E11198" i="1"/>
  <c r="E11199" i="1"/>
  <c r="E11200" i="1"/>
  <c r="E11201" i="1"/>
  <c r="E11202" i="1"/>
  <c r="E11203" i="1"/>
  <c r="E11204" i="1"/>
  <c r="E11205" i="1"/>
  <c r="E11206" i="1"/>
  <c r="E11207" i="1"/>
  <c r="E11208" i="1"/>
  <c r="E11210" i="1"/>
  <c r="E11211" i="1"/>
  <c r="E11212" i="1"/>
  <c r="E11213" i="1"/>
  <c r="E11214" i="1"/>
  <c r="E11215" i="1"/>
  <c r="E11216" i="1"/>
  <c r="E11217" i="1"/>
  <c r="E11218" i="1"/>
  <c r="E11219" i="1"/>
  <c r="E11220" i="1"/>
  <c r="E11221" i="1"/>
  <c r="E11222" i="1"/>
  <c r="E11223" i="1"/>
  <c r="E11224" i="1"/>
  <c r="E11225" i="1"/>
  <c r="E11226" i="1"/>
  <c r="E11227" i="1"/>
  <c r="E11228" i="1"/>
  <c r="E11229" i="1"/>
  <c r="E11230" i="1"/>
  <c r="E11231" i="1"/>
  <c r="E11232" i="1"/>
  <c r="E11233" i="1"/>
  <c r="E11234" i="1"/>
  <c r="E11235" i="1"/>
  <c r="E11236" i="1"/>
  <c r="E11237" i="1"/>
  <c r="E11238" i="1"/>
  <c r="E11239" i="1"/>
  <c r="E11240" i="1"/>
  <c r="E11241" i="1"/>
  <c r="E11242" i="1"/>
  <c r="E11243" i="1"/>
  <c r="E11244" i="1"/>
  <c r="E11245" i="1"/>
  <c r="E11246" i="1"/>
  <c r="E11247" i="1"/>
  <c r="E11248" i="1"/>
  <c r="E11249" i="1"/>
  <c r="E11250" i="1"/>
  <c r="E11251" i="1"/>
  <c r="E11252" i="1"/>
  <c r="E11253" i="1"/>
  <c r="E11254" i="1"/>
  <c r="E11255" i="1"/>
  <c r="E11256" i="1"/>
  <c r="E11257" i="1"/>
  <c r="E11258" i="1"/>
  <c r="E11259" i="1"/>
  <c r="E11260" i="1"/>
  <c r="E11261" i="1"/>
  <c r="E11262" i="1"/>
  <c r="E11263" i="1"/>
  <c r="E11264" i="1"/>
  <c r="E11265" i="1"/>
  <c r="E11266" i="1"/>
  <c r="E11267" i="1"/>
  <c r="E11268" i="1"/>
  <c r="E11269" i="1"/>
  <c r="E11270" i="1"/>
  <c r="E11271" i="1"/>
  <c r="E11272" i="1"/>
  <c r="E11273" i="1"/>
  <c r="E11274" i="1"/>
  <c r="E11275" i="1"/>
  <c r="E11276" i="1"/>
  <c r="E11277" i="1"/>
  <c r="E11278" i="1"/>
  <c r="E11279" i="1"/>
  <c r="E11280" i="1"/>
  <c r="E11281" i="1"/>
  <c r="E11282" i="1"/>
  <c r="E11283" i="1"/>
  <c r="E11284" i="1"/>
  <c r="E11285" i="1"/>
  <c r="E11286" i="1"/>
  <c r="E11287" i="1"/>
  <c r="E11288" i="1"/>
  <c r="E11289" i="1"/>
  <c r="E11290" i="1"/>
  <c r="E11291" i="1"/>
  <c r="E11292" i="1"/>
  <c r="E11293" i="1"/>
  <c r="E11294" i="1"/>
  <c r="E11295" i="1"/>
  <c r="E11296" i="1"/>
  <c r="E11297" i="1"/>
  <c r="E11298" i="1"/>
  <c r="E11299" i="1"/>
  <c r="E11300" i="1"/>
  <c r="E11301" i="1"/>
  <c r="E11302" i="1"/>
  <c r="E11303" i="1"/>
  <c r="E11304" i="1"/>
  <c r="E11305" i="1"/>
  <c r="E11306" i="1"/>
  <c r="E11307" i="1"/>
  <c r="E11308" i="1"/>
  <c r="E11309" i="1"/>
  <c r="E11310" i="1"/>
  <c r="E11311" i="1"/>
  <c r="E11312" i="1"/>
  <c r="E11313" i="1"/>
  <c r="E11314" i="1"/>
  <c r="E11315" i="1"/>
  <c r="E11316" i="1"/>
  <c r="E11317" i="1"/>
  <c r="E11318" i="1"/>
  <c r="E11319" i="1"/>
  <c r="E11320" i="1"/>
  <c r="E11321" i="1"/>
  <c r="E11322" i="1"/>
  <c r="E11323" i="1"/>
  <c r="E11324" i="1"/>
  <c r="E11325" i="1"/>
  <c r="E11326" i="1"/>
  <c r="E11327" i="1"/>
  <c r="E11328" i="1"/>
  <c r="E11329" i="1"/>
  <c r="E11330" i="1"/>
  <c r="E11331" i="1"/>
  <c r="E11332" i="1"/>
  <c r="E11333" i="1"/>
  <c r="E11334" i="1"/>
  <c r="E11335" i="1"/>
  <c r="E11336" i="1"/>
  <c r="E11337" i="1"/>
  <c r="E11338" i="1"/>
  <c r="E11339" i="1"/>
  <c r="E11340" i="1"/>
  <c r="E11341" i="1"/>
  <c r="E11342" i="1"/>
  <c r="E11343" i="1"/>
  <c r="E11344" i="1"/>
  <c r="E11345" i="1"/>
  <c r="E11346" i="1"/>
  <c r="E11347" i="1"/>
  <c r="E11348" i="1"/>
  <c r="E11349" i="1"/>
  <c r="E11350" i="1"/>
  <c r="E11351" i="1"/>
  <c r="E11352" i="1"/>
  <c r="E11353" i="1"/>
  <c r="E11354" i="1"/>
  <c r="E11355" i="1"/>
  <c r="E11356" i="1"/>
  <c r="E11357" i="1"/>
  <c r="E11358" i="1"/>
  <c r="E11359" i="1"/>
  <c r="E11360" i="1"/>
  <c r="E11361" i="1"/>
  <c r="E11362" i="1"/>
  <c r="E11363" i="1"/>
  <c r="E11364" i="1"/>
  <c r="E11365" i="1"/>
  <c r="E11366" i="1"/>
  <c r="E11367" i="1"/>
  <c r="E11368" i="1"/>
  <c r="E11369" i="1"/>
  <c r="E11370" i="1"/>
  <c r="E11371" i="1"/>
  <c r="E11372" i="1"/>
  <c r="E11373" i="1"/>
  <c r="E11374" i="1"/>
  <c r="E11375" i="1"/>
  <c r="E11376" i="1"/>
  <c r="E11377" i="1"/>
  <c r="E11378" i="1"/>
  <c r="E11379" i="1"/>
  <c r="E11380" i="1"/>
  <c r="E11381" i="1"/>
  <c r="E11382" i="1"/>
  <c r="E11383" i="1"/>
  <c r="E11384" i="1"/>
  <c r="E11385" i="1"/>
  <c r="E11386" i="1"/>
  <c r="E11387" i="1"/>
  <c r="E11388" i="1"/>
  <c r="E11389" i="1"/>
  <c r="E11390" i="1"/>
  <c r="E11391" i="1"/>
  <c r="E11392" i="1"/>
  <c r="E11393" i="1"/>
  <c r="E11394" i="1"/>
  <c r="E11395" i="1"/>
  <c r="E11396" i="1"/>
  <c r="E11397" i="1"/>
  <c r="E11398" i="1"/>
  <c r="E11399" i="1"/>
  <c r="E11400" i="1"/>
  <c r="E11401" i="1"/>
  <c r="E11402" i="1"/>
  <c r="E11403" i="1"/>
  <c r="E11404" i="1"/>
  <c r="E11405" i="1"/>
  <c r="E11406" i="1"/>
  <c r="E11407" i="1"/>
  <c r="E11408" i="1"/>
  <c r="E11409" i="1"/>
  <c r="E11410" i="1"/>
  <c r="E11411" i="1"/>
  <c r="E11412" i="1"/>
  <c r="E11413" i="1"/>
  <c r="E11414" i="1"/>
  <c r="E11415" i="1"/>
  <c r="E11416" i="1"/>
  <c r="E11417" i="1"/>
  <c r="E11418" i="1"/>
  <c r="E11419" i="1"/>
  <c r="E11420" i="1"/>
  <c r="E11421" i="1"/>
  <c r="E11422" i="1"/>
  <c r="E11423" i="1"/>
  <c r="E11424" i="1"/>
  <c r="E11425" i="1"/>
  <c r="E11426" i="1"/>
  <c r="E11427" i="1"/>
  <c r="E11428" i="1"/>
  <c r="E11429" i="1"/>
  <c r="E11430" i="1"/>
  <c r="E11431" i="1"/>
  <c r="E11432" i="1"/>
  <c r="E11433" i="1"/>
  <c r="E11434" i="1"/>
  <c r="E11435" i="1"/>
  <c r="E11436" i="1"/>
  <c r="E11437" i="1"/>
  <c r="E11438" i="1"/>
  <c r="E11439" i="1"/>
  <c r="E11440" i="1"/>
  <c r="E11441" i="1"/>
  <c r="E11442" i="1"/>
  <c r="E11443" i="1"/>
  <c r="E11444" i="1"/>
  <c r="E11445" i="1"/>
  <c r="E11446" i="1"/>
  <c r="E11447" i="1"/>
  <c r="E11448" i="1"/>
  <c r="E11449" i="1"/>
  <c r="E11450" i="1"/>
  <c r="E11451" i="1"/>
  <c r="E11452" i="1"/>
  <c r="E11453" i="1"/>
  <c r="E11454" i="1"/>
  <c r="E11455" i="1"/>
  <c r="E11456" i="1"/>
  <c r="E11457" i="1"/>
  <c r="E11458" i="1"/>
  <c r="E11459" i="1"/>
  <c r="E11460" i="1"/>
  <c r="E11461" i="1"/>
  <c r="E11462" i="1"/>
  <c r="E11463" i="1"/>
  <c r="E11464" i="1"/>
  <c r="E11465" i="1"/>
  <c r="E11466" i="1"/>
  <c r="E11467" i="1"/>
  <c r="E11468" i="1"/>
  <c r="E11469" i="1"/>
  <c r="E11470" i="1"/>
  <c r="E11471" i="1"/>
  <c r="E11472" i="1"/>
  <c r="E11473" i="1"/>
  <c r="E11474" i="1"/>
  <c r="E11475" i="1"/>
  <c r="E11476" i="1"/>
  <c r="E11477" i="1"/>
  <c r="E11478" i="1"/>
  <c r="E11479" i="1"/>
  <c r="E11480" i="1"/>
  <c r="E11481" i="1"/>
  <c r="E11482" i="1"/>
  <c r="E11483" i="1"/>
  <c r="E11484" i="1"/>
  <c r="E11485" i="1"/>
  <c r="E11486" i="1"/>
  <c r="E11487" i="1"/>
  <c r="E11488" i="1"/>
  <c r="E11489" i="1"/>
  <c r="E11490" i="1"/>
  <c r="E11491" i="1"/>
  <c r="E11492" i="1"/>
  <c r="E11493" i="1"/>
  <c r="E11494" i="1"/>
  <c r="E11495" i="1"/>
  <c r="E11496" i="1"/>
  <c r="E11497" i="1"/>
  <c r="E11498" i="1"/>
  <c r="E11499" i="1"/>
  <c r="E11500" i="1"/>
  <c r="E11501" i="1"/>
  <c r="E11502" i="1"/>
  <c r="E11503" i="1"/>
  <c r="E11504" i="1"/>
  <c r="E11505" i="1"/>
  <c r="E11506" i="1"/>
  <c r="E11507" i="1"/>
  <c r="E11508" i="1"/>
  <c r="E11509" i="1"/>
  <c r="E11510" i="1"/>
  <c r="E11511" i="1"/>
  <c r="E11512" i="1"/>
  <c r="E11513" i="1"/>
  <c r="E11514" i="1"/>
  <c r="E11515" i="1"/>
  <c r="E11516" i="1"/>
  <c r="E11517" i="1"/>
  <c r="E11518" i="1"/>
  <c r="E11519" i="1"/>
  <c r="E11520" i="1"/>
  <c r="E11521" i="1"/>
  <c r="E11522" i="1"/>
  <c r="E11523" i="1"/>
  <c r="E11524" i="1"/>
  <c r="E11525" i="1"/>
  <c r="E11526" i="1"/>
  <c r="E11527" i="1"/>
  <c r="E11528" i="1"/>
  <c r="E11529" i="1"/>
  <c r="E11530" i="1"/>
  <c r="E11531" i="1"/>
  <c r="E11532" i="1"/>
  <c r="E11533" i="1"/>
  <c r="E11534" i="1"/>
  <c r="E11535" i="1"/>
  <c r="E11536" i="1"/>
  <c r="E11537" i="1"/>
  <c r="E11538" i="1"/>
  <c r="E11539" i="1"/>
  <c r="E11540" i="1"/>
  <c r="E11541" i="1"/>
  <c r="E11542" i="1"/>
  <c r="E11543" i="1"/>
  <c r="E11544" i="1"/>
  <c r="E11545" i="1"/>
  <c r="E11546" i="1"/>
  <c r="E11547" i="1"/>
  <c r="E11548" i="1"/>
  <c r="E11549" i="1"/>
  <c r="E11550" i="1"/>
  <c r="E11551" i="1"/>
  <c r="E11552" i="1"/>
  <c r="E11553" i="1"/>
  <c r="E11554" i="1"/>
  <c r="E11555" i="1"/>
  <c r="E11556" i="1"/>
  <c r="E11557" i="1"/>
  <c r="E11558" i="1"/>
  <c r="E11559" i="1"/>
  <c r="E11560" i="1"/>
  <c r="E11561" i="1"/>
  <c r="E11562" i="1"/>
  <c r="E11563" i="1"/>
  <c r="E11564" i="1"/>
  <c r="E11565" i="1"/>
  <c r="E11566" i="1"/>
  <c r="E11567" i="1"/>
  <c r="E11568" i="1"/>
  <c r="E11569" i="1"/>
  <c r="E11570" i="1"/>
  <c r="E11571" i="1"/>
  <c r="E11572" i="1"/>
  <c r="E11573" i="1"/>
  <c r="E11574" i="1"/>
  <c r="E11575" i="1"/>
  <c r="E11576" i="1"/>
  <c r="E11577" i="1"/>
  <c r="E11578" i="1"/>
  <c r="E11579" i="1"/>
  <c r="E11580" i="1"/>
  <c r="E11581" i="1"/>
  <c r="E11582" i="1"/>
  <c r="E11583" i="1"/>
  <c r="E11584" i="1"/>
  <c r="E11585" i="1"/>
  <c r="E11586" i="1"/>
  <c r="E11587" i="1"/>
  <c r="E11588" i="1"/>
  <c r="E11589" i="1"/>
  <c r="E11590" i="1"/>
  <c r="E11591" i="1"/>
  <c r="E11592" i="1"/>
  <c r="E11593" i="1"/>
  <c r="E11594" i="1"/>
  <c r="E11595" i="1"/>
  <c r="E11596" i="1"/>
  <c r="E11597" i="1"/>
  <c r="E11598" i="1"/>
  <c r="E11599" i="1"/>
  <c r="E11600" i="1"/>
  <c r="E11601" i="1"/>
  <c r="E11602" i="1"/>
  <c r="E11603" i="1"/>
  <c r="E11604" i="1"/>
  <c r="E11605" i="1"/>
  <c r="E11606" i="1"/>
  <c r="E11607" i="1"/>
  <c r="E11608" i="1"/>
  <c r="E11609" i="1"/>
  <c r="E11610" i="1"/>
  <c r="E11611" i="1"/>
  <c r="E11612" i="1"/>
  <c r="E11613" i="1"/>
  <c r="E11614" i="1"/>
  <c r="E11615" i="1"/>
  <c r="E11616" i="1"/>
  <c r="E11617" i="1"/>
  <c r="E11619" i="1"/>
  <c r="E11620" i="1"/>
  <c r="E11621" i="1"/>
  <c r="E11622" i="1"/>
  <c r="E11623" i="1"/>
  <c r="E11624" i="1"/>
  <c r="E11625" i="1"/>
  <c r="E11626" i="1"/>
  <c r="E11627" i="1"/>
  <c r="E11628" i="1"/>
  <c r="E11629" i="1"/>
  <c r="E11630" i="1"/>
  <c r="E11631" i="1"/>
  <c r="E11632" i="1"/>
  <c r="E11633" i="1"/>
  <c r="E11634" i="1"/>
  <c r="E11635" i="1"/>
  <c r="E11636" i="1"/>
  <c r="E11637" i="1"/>
  <c r="E11638" i="1"/>
  <c r="E11639" i="1"/>
  <c r="E11640" i="1"/>
  <c r="E11641" i="1"/>
  <c r="E11642" i="1"/>
  <c r="E11643" i="1"/>
  <c r="E11644" i="1"/>
  <c r="E11645" i="1"/>
  <c r="E11646" i="1"/>
  <c r="E11647" i="1"/>
  <c r="E11648" i="1"/>
  <c r="E11649" i="1"/>
  <c r="E11650" i="1"/>
  <c r="E11651" i="1"/>
  <c r="E11652" i="1"/>
  <c r="E11653" i="1"/>
  <c r="E11654" i="1"/>
  <c r="E11655" i="1"/>
  <c r="E11656" i="1"/>
  <c r="E11657" i="1"/>
  <c r="E11658" i="1"/>
  <c r="E11659" i="1"/>
  <c r="E11660" i="1"/>
  <c r="E11661" i="1"/>
  <c r="E11662" i="1"/>
  <c r="E11663" i="1"/>
  <c r="E11664" i="1"/>
  <c r="E11665" i="1"/>
  <c r="E11666" i="1"/>
  <c r="E11667" i="1"/>
  <c r="E11668" i="1"/>
  <c r="E11669" i="1"/>
  <c r="E11670" i="1"/>
  <c r="E11671" i="1"/>
  <c r="E11672" i="1"/>
  <c r="E11673" i="1"/>
  <c r="E11674" i="1"/>
  <c r="E11675" i="1"/>
  <c r="E11676" i="1"/>
  <c r="E11677" i="1"/>
  <c r="E11678" i="1"/>
  <c r="E11679" i="1"/>
  <c r="E11680" i="1"/>
  <c r="E11681" i="1"/>
  <c r="E11682" i="1"/>
  <c r="E11683" i="1"/>
  <c r="E11684" i="1"/>
  <c r="E11685" i="1"/>
  <c r="E11686" i="1"/>
  <c r="E11687" i="1"/>
  <c r="E11688" i="1"/>
  <c r="E11689" i="1"/>
  <c r="E11690" i="1"/>
  <c r="E11691" i="1"/>
  <c r="E11692" i="1"/>
  <c r="E11693" i="1"/>
  <c r="E11694" i="1"/>
  <c r="E11695" i="1"/>
  <c r="E11696" i="1"/>
  <c r="E11697" i="1"/>
  <c r="E11698" i="1"/>
  <c r="E11699" i="1"/>
  <c r="E11700" i="1"/>
  <c r="E11701" i="1"/>
  <c r="E11702" i="1"/>
  <c r="E11703" i="1"/>
  <c r="E11704" i="1"/>
  <c r="E11705" i="1"/>
  <c r="E11706" i="1"/>
  <c r="E11707" i="1"/>
  <c r="E11708" i="1"/>
  <c r="E11709" i="1"/>
  <c r="E11710" i="1"/>
  <c r="E11711" i="1"/>
  <c r="E11712" i="1"/>
  <c r="E11713" i="1"/>
  <c r="E11714" i="1"/>
  <c r="E11715" i="1"/>
  <c r="E11716" i="1"/>
  <c r="E11717" i="1"/>
  <c r="E11718" i="1"/>
  <c r="E11719" i="1"/>
  <c r="E11720" i="1"/>
  <c r="E11721" i="1"/>
  <c r="E11722" i="1"/>
  <c r="E11723" i="1"/>
  <c r="E11724" i="1"/>
  <c r="E11725" i="1"/>
  <c r="E11726" i="1"/>
  <c r="E11727" i="1"/>
  <c r="E11728" i="1"/>
  <c r="E11729" i="1"/>
  <c r="E11730" i="1"/>
  <c r="E11731" i="1"/>
  <c r="E11732" i="1"/>
  <c r="E11733" i="1"/>
  <c r="E11734" i="1"/>
  <c r="E11735" i="1"/>
  <c r="E11736" i="1"/>
  <c r="E11737" i="1"/>
  <c r="E11738" i="1"/>
  <c r="E11739" i="1"/>
  <c r="E11740" i="1"/>
  <c r="E11741" i="1"/>
  <c r="E11742" i="1"/>
  <c r="E11743" i="1"/>
  <c r="E11744" i="1"/>
  <c r="E11745" i="1"/>
  <c r="E11746" i="1"/>
  <c r="E11747" i="1"/>
  <c r="E11748" i="1"/>
  <c r="E11749" i="1"/>
  <c r="E11750" i="1"/>
  <c r="E11751" i="1"/>
  <c r="E11752" i="1"/>
  <c r="E11753" i="1"/>
  <c r="E11754" i="1"/>
  <c r="E11755" i="1"/>
  <c r="E11756" i="1"/>
  <c r="E11757" i="1"/>
  <c r="E11758" i="1"/>
  <c r="E11759" i="1"/>
  <c r="E11760" i="1"/>
  <c r="E11761" i="1"/>
  <c r="E11762" i="1"/>
  <c r="E11763" i="1"/>
  <c r="E11764" i="1"/>
  <c r="E11765" i="1"/>
  <c r="E11766" i="1"/>
  <c r="E11767" i="1"/>
  <c r="E11768" i="1"/>
  <c r="E11769" i="1"/>
  <c r="E11770" i="1"/>
  <c r="E11771" i="1"/>
  <c r="E11772" i="1"/>
  <c r="E11773" i="1"/>
  <c r="E11774" i="1"/>
  <c r="E11775" i="1"/>
  <c r="E11776" i="1"/>
  <c r="E11777" i="1"/>
  <c r="E11778" i="1"/>
  <c r="E11779" i="1"/>
  <c r="E11780" i="1"/>
  <c r="E11781" i="1"/>
  <c r="E11782" i="1"/>
  <c r="E11783" i="1"/>
  <c r="E11784" i="1"/>
  <c r="E11785" i="1"/>
  <c r="E11786" i="1"/>
  <c r="E11787" i="1"/>
  <c r="E11788" i="1"/>
  <c r="E11789" i="1"/>
  <c r="E11790" i="1"/>
  <c r="E11791" i="1"/>
  <c r="E11792" i="1"/>
  <c r="E11793" i="1"/>
  <c r="E11794" i="1"/>
  <c r="E11795" i="1"/>
  <c r="E11796" i="1"/>
  <c r="E11797" i="1"/>
  <c r="E11798" i="1"/>
  <c r="E11799" i="1"/>
  <c r="E11800" i="1"/>
  <c r="E11801" i="1"/>
  <c r="E11802" i="1"/>
  <c r="E11803" i="1"/>
  <c r="E11804" i="1"/>
  <c r="E11805" i="1"/>
  <c r="E11806" i="1"/>
  <c r="E11807" i="1"/>
  <c r="E11808" i="1"/>
  <c r="E11809" i="1"/>
  <c r="E11810" i="1"/>
  <c r="E11811" i="1"/>
  <c r="E11812" i="1"/>
  <c r="E11813" i="1"/>
  <c r="E11814" i="1"/>
  <c r="E11815" i="1"/>
  <c r="E11816" i="1"/>
  <c r="E11817" i="1"/>
  <c r="E11818" i="1"/>
  <c r="E11819" i="1"/>
  <c r="E11820" i="1"/>
  <c r="E11821" i="1"/>
  <c r="E11822" i="1"/>
  <c r="E11823" i="1"/>
  <c r="E11824" i="1"/>
  <c r="E11825" i="1"/>
  <c r="E11826" i="1"/>
  <c r="E11827" i="1"/>
  <c r="E11828" i="1"/>
  <c r="E11829" i="1"/>
  <c r="E11830" i="1"/>
  <c r="E11831" i="1"/>
  <c r="E11832" i="1"/>
  <c r="E11833" i="1"/>
  <c r="E11834" i="1"/>
  <c r="E11835" i="1"/>
  <c r="E11836" i="1"/>
  <c r="E11837" i="1"/>
  <c r="E11838" i="1"/>
  <c r="E11839" i="1"/>
  <c r="E11840" i="1"/>
  <c r="E11841" i="1"/>
  <c r="E11842" i="1"/>
  <c r="E11843" i="1"/>
  <c r="E11844" i="1"/>
  <c r="E11845" i="1"/>
  <c r="E11846" i="1"/>
  <c r="E11847" i="1"/>
  <c r="E11848" i="1"/>
  <c r="E11849" i="1"/>
  <c r="E11850" i="1"/>
  <c r="E11851" i="1"/>
  <c r="E11852" i="1"/>
  <c r="E11853" i="1"/>
  <c r="E11854" i="1"/>
  <c r="E11855" i="1"/>
  <c r="E11856" i="1"/>
  <c r="E11857" i="1"/>
  <c r="E11858" i="1"/>
  <c r="E11859" i="1"/>
  <c r="E11860" i="1"/>
  <c r="E11861" i="1"/>
  <c r="E11862" i="1"/>
  <c r="E11863" i="1"/>
  <c r="E11864" i="1"/>
  <c r="E11865" i="1"/>
  <c r="E11866" i="1"/>
  <c r="E11867" i="1"/>
  <c r="E11868" i="1"/>
  <c r="E11869" i="1"/>
  <c r="E11870" i="1"/>
  <c r="E11871" i="1"/>
  <c r="E11872" i="1"/>
  <c r="E11873" i="1"/>
  <c r="E11874" i="1"/>
  <c r="E11875" i="1"/>
  <c r="E11876" i="1"/>
  <c r="E11877" i="1"/>
  <c r="E11878" i="1"/>
  <c r="E11879" i="1"/>
  <c r="E11880" i="1"/>
  <c r="E11881" i="1"/>
  <c r="E11882" i="1"/>
  <c r="E11883" i="1"/>
  <c r="E11884" i="1"/>
  <c r="E11885" i="1"/>
  <c r="E11886" i="1"/>
  <c r="E11887" i="1"/>
  <c r="E11888" i="1"/>
  <c r="E11889" i="1"/>
  <c r="E11890" i="1"/>
  <c r="E11891" i="1"/>
  <c r="E11892" i="1"/>
  <c r="E11893" i="1"/>
  <c r="E11894" i="1"/>
  <c r="E11895" i="1"/>
  <c r="E11896" i="1"/>
  <c r="E11897" i="1"/>
  <c r="E11898" i="1"/>
  <c r="E11899" i="1"/>
  <c r="E11900" i="1"/>
  <c r="E11902" i="1"/>
  <c r="E11903" i="1"/>
  <c r="E11904" i="1"/>
  <c r="E11905" i="1"/>
  <c r="E11906" i="1"/>
  <c r="E11907" i="1"/>
  <c r="E11908" i="1"/>
  <c r="E11909" i="1"/>
  <c r="E11910" i="1"/>
  <c r="E11911" i="1"/>
  <c r="E11912" i="1"/>
  <c r="E11913" i="1"/>
  <c r="E11914" i="1"/>
  <c r="E11915" i="1"/>
  <c r="E11916" i="1"/>
  <c r="E11917" i="1"/>
  <c r="E11918" i="1"/>
  <c r="E11919" i="1"/>
  <c r="E11920" i="1"/>
  <c r="E11921" i="1"/>
  <c r="E11922" i="1"/>
  <c r="E11923" i="1"/>
  <c r="E11924" i="1"/>
  <c r="E11925" i="1"/>
  <c r="E11926" i="1"/>
  <c r="E11927" i="1"/>
  <c r="E11928" i="1"/>
  <c r="E11929" i="1"/>
  <c r="E11930" i="1"/>
  <c r="E11931" i="1"/>
  <c r="E11932" i="1"/>
  <c r="E11933" i="1"/>
  <c r="E11934" i="1"/>
  <c r="E11935" i="1"/>
  <c r="E11936" i="1"/>
  <c r="E11937" i="1"/>
  <c r="E11938" i="1"/>
  <c r="E11939" i="1"/>
  <c r="E11940" i="1"/>
  <c r="E11941" i="1"/>
  <c r="E11942" i="1"/>
  <c r="E11943" i="1"/>
  <c r="E11944" i="1"/>
  <c r="E11945" i="1"/>
  <c r="E11946" i="1"/>
  <c r="E11947" i="1"/>
  <c r="E11948" i="1"/>
  <c r="E11949" i="1"/>
  <c r="E11950" i="1"/>
  <c r="E11951" i="1"/>
  <c r="E11952" i="1"/>
  <c r="E11953" i="1"/>
  <c r="E11954" i="1"/>
  <c r="E11955" i="1"/>
  <c r="E11956" i="1"/>
  <c r="E11957" i="1"/>
  <c r="E11958" i="1"/>
  <c r="E11959" i="1"/>
  <c r="E11960" i="1"/>
  <c r="E11961" i="1"/>
  <c r="E11962" i="1"/>
  <c r="E11963" i="1"/>
  <c r="E11964" i="1"/>
  <c r="E11965" i="1"/>
  <c r="E11966" i="1"/>
  <c r="E11967" i="1"/>
  <c r="E11968" i="1"/>
  <c r="E11969" i="1"/>
  <c r="E11970" i="1"/>
  <c r="E11971" i="1"/>
  <c r="E11972" i="1"/>
  <c r="E11973" i="1"/>
  <c r="E11974" i="1"/>
  <c r="E11975" i="1"/>
  <c r="E11976" i="1"/>
  <c r="E11977" i="1"/>
  <c r="E11978" i="1"/>
  <c r="E11979" i="1"/>
  <c r="E11980" i="1"/>
  <c r="E11981" i="1"/>
  <c r="E11982" i="1"/>
  <c r="E11983" i="1"/>
  <c r="E11984" i="1"/>
  <c r="E11985" i="1"/>
  <c r="E11986" i="1"/>
  <c r="E11987" i="1"/>
  <c r="E11988" i="1"/>
  <c r="E11989" i="1"/>
  <c r="E11990" i="1"/>
  <c r="E11991" i="1"/>
  <c r="E11992" i="1"/>
  <c r="E11993" i="1"/>
  <c r="E11994" i="1"/>
  <c r="E11995" i="1"/>
  <c r="E11996" i="1"/>
  <c r="E11997" i="1"/>
  <c r="E11998" i="1"/>
  <c r="E11999" i="1"/>
  <c r="E12000" i="1"/>
  <c r="E12001" i="1"/>
  <c r="E12002" i="1"/>
  <c r="E12003" i="1"/>
  <c r="E12004" i="1"/>
  <c r="E12005" i="1"/>
  <c r="E12006" i="1"/>
  <c r="E12007" i="1"/>
  <c r="E12008" i="1"/>
  <c r="E12009" i="1"/>
  <c r="E12010" i="1"/>
  <c r="E12011" i="1"/>
  <c r="E12012" i="1"/>
  <c r="E12013" i="1"/>
  <c r="E12014" i="1"/>
  <c r="E12015" i="1"/>
  <c r="E12016" i="1"/>
  <c r="E12017" i="1"/>
  <c r="E12018" i="1"/>
  <c r="E12019" i="1"/>
  <c r="E12020" i="1"/>
  <c r="E12021" i="1"/>
  <c r="E12022" i="1"/>
  <c r="E12023" i="1"/>
  <c r="E12024" i="1"/>
  <c r="E12025" i="1"/>
  <c r="E12026" i="1"/>
  <c r="E12027" i="1"/>
  <c r="E12028" i="1"/>
  <c r="E12029" i="1"/>
  <c r="E12030" i="1"/>
  <c r="E12031" i="1"/>
  <c r="E12032" i="1"/>
  <c r="E12033" i="1"/>
  <c r="E12034" i="1"/>
  <c r="E12035" i="1"/>
  <c r="E12036" i="1"/>
  <c r="E12037" i="1"/>
  <c r="E12038" i="1"/>
  <c r="E12039" i="1"/>
  <c r="E12040" i="1"/>
  <c r="E12041" i="1"/>
  <c r="E12042" i="1"/>
  <c r="E12043" i="1"/>
  <c r="E12044" i="1"/>
  <c r="E12045" i="1"/>
  <c r="E12046" i="1"/>
  <c r="E12047" i="1"/>
  <c r="E12048" i="1"/>
  <c r="E12049" i="1"/>
  <c r="E12050" i="1"/>
  <c r="E12051" i="1"/>
  <c r="E12052" i="1"/>
  <c r="E12053" i="1"/>
  <c r="E12054" i="1"/>
  <c r="E12055" i="1"/>
  <c r="E12056" i="1"/>
  <c r="E12057" i="1"/>
  <c r="E12058" i="1"/>
  <c r="E12059" i="1"/>
  <c r="E12060" i="1"/>
  <c r="E12061" i="1"/>
  <c r="E12062" i="1"/>
  <c r="E12063" i="1"/>
  <c r="E12064" i="1"/>
  <c r="E12065" i="1"/>
  <c r="E12066" i="1"/>
  <c r="E12067" i="1"/>
  <c r="E12068" i="1"/>
  <c r="E12069" i="1"/>
  <c r="E12070" i="1"/>
  <c r="E12071" i="1"/>
  <c r="E12072" i="1"/>
  <c r="E12073" i="1"/>
  <c r="E12074" i="1"/>
  <c r="E12075" i="1"/>
  <c r="E12076" i="1"/>
  <c r="E12077" i="1"/>
  <c r="E12078" i="1"/>
  <c r="E12079" i="1"/>
  <c r="E12080" i="1"/>
  <c r="E12081" i="1"/>
  <c r="E12082" i="1"/>
  <c r="E12083" i="1"/>
  <c r="E12084" i="1"/>
  <c r="E12085" i="1"/>
  <c r="E12086" i="1"/>
  <c r="E12087" i="1"/>
  <c r="E12088" i="1"/>
  <c r="E12089" i="1"/>
  <c r="E12090" i="1"/>
  <c r="E12091" i="1"/>
  <c r="E12092" i="1"/>
  <c r="E12093" i="1"/>
  <c r="E12094" i="1"/>
  <c r="E12095" i="1"/>
  <c r="E12096" i="1"/>
  <c r="E12097" i="1"/>
  <c r="E12098" i="1"/>
  <c r="E12099" i="1"/>
  <c r="E12100" i="1"/>
  <c r="E12101" i="1"/>
  <c r="E12102" i="1"/>
  <c r="E12103" i="1"/>
  <c r="E12104" i="1"/>
  <c r="E12105" i="1"/>
  <c r="E12106" i="1"/>
  <c r="E12107" i="1"/>
  <c r="E12108" i="1"/>
  <c r="E12109" i="1"/>
  <c r="E12110" i="1"/>
  <c r="E12111" i="1"/>
  <c r="E12112" i="1"/>
  <c r="E12113" i="1"/>
  <c r="E12114" i="1"/>
  <c r="E12115" i="1"/>
  <c r="E12116" i="1"/>
  <c r="E12117" i="1"/>
  <c r="E12118" i="1"/>
  <c r="E12119" i="1"/>
  <c r="E12120" i="1"/>
  <c r="E12121" i="1"/>
  <c r="E12122" i="1"/>
  <c r="E12123" i="1"/>
  <c r="E12124" i="1"/>
  <c r="E12125" i="1"/>
  <c r="E12126" i="1"/>
  <c r="E12127" i="1"/>
  <c r="E12128" i="1"/>
  <c r="E12129" i="1"/>
  <c r="E12130" i="1"/>
  <c r="E12131" i="1"/>
  <c r="E12132" i="1"/>
  <c r="E12133" i="1"/>
  <c r="E12134" i="1"/>
  <c r="E12135" i="1"/>
  <c r="E12136" i="1"/>
  <c r="E12137" i="1"/>
  <c r="E12138" i="1"/>
  <c r="E12139" i="1"/>
  <c r="E12140" i="1"/>
  <c r="E12141" i="1"/>
  <c r="E12142" i="1"/>
  <c r="E12143" i="1"/>
  <c r="E12144" i="1"/>
  <c r="E12145" i="1"/>
  <c r="E12146" i="1"/>
  <c r="E12147" i="1"/>
  <c r="E12148" i="1"/>
  <c r="E12149" i="1"/>
  <c r="E12150" i="1"/>
  <c r="E12151" i="1"/>
  <c r="E12152" i="1"/>
  <c r="E12153" i="1"/>
  <c r="E12154" i="1"/>
  <c r="E12155" i="1"/>
  <c r="E12156" i="1"/>
  <c r="E12157" i="1"/>
  <c r="E12158" i="1"/>
  <c r="E12159" i="1"/>
  <c r="E12160" i="1"/>
  <c r="E12161" i="1"/>
  <c r="E12162" i="1"/>
  <c r="E12163" i="1"/>
  <c r="E12164" i="1"/>
  <c r="E12165" i="1"/>
  <c r="E12166" i="1"/>
  <c r="E12167" i="1"/>
  <c r="E12168" i="1"/>
  <c r="E12169" i="1"/>
  <c r="E12170" i="1"/>
  <c r="E12171" i="1"/>
  <c r="E12172" i="1"/>
  <c r="E12173" i="1"/>
  <c r="E12174" i="1"/>
  <c r="E12175" i="1"/>
  <c r="E12176" i="1"/>
  <c r="E12177" i="1"/>
  <c r="E12178" i="1"/>
  <c r="E12179" i="1"/>
  <c r="E12180" i="1"/>
  <c r="E12181" i="1"/>
  <c r="E12182" i="1"/>
  <c r="E12183" i="1"/>
  <c r="E12184" i="1"/>
  <c r="E12185" i="1"/>
  <c r="E12186" i="1"/>
  <c r="E12187" i="1"/>
  <c r="E12189" i="1"/>
  <c r="E12190" i="1"/>
  <c r="E12191" i="1"/>
  <c r="E12192" i="1"/>
  <c r="E12193" i="1"/>
  <c r="E12194" i="1"/>
  <c r="E12195" i="1"/>
  <c r="E12196" i="1"/>
  <c r="E12197" i="1"/>
  <c r="E12198" i="1"/>
  <c r="E12199" i="1"/>
  <c r="E12200" i="1"/>
  <c r="E12201" i="1"/>
  <c r="E12202" i="1"/>
  <c r="E12203" i="1"/>
  <c r="E12204" i="1"/>
  <c r="E12205" i="1"/>
  <c r="E12206" i="1"/>
  <c r="E12207" i="1"/>
  <c r="E12208" i="1"/>
  <c r="E12209" i="1"/>
  <c r="E12210" i="1"/>
  <c r="E12211" i="1"/>
  <c r="E12212" i="1"/>
  <c r="E12213" i="1"/>
  <c r="E12214" i="1"/>
  <c r="E12215" i="1"/>
  <c r="E12216" i="1"/>
  <c r="E12217" i="1"/>
  <c r="E12218" i="1"/>
  <c r="E12219" i="1"/>
  <c r="E12220" i="1"/>
  <c r="E12221" i="1"/>
  <c r="E12222" i="1"/>
  <c r="E12223" i="1"/>
  <c r="E12224" i="1"/>
  <c r="E12225" i="1"/>
  <c r="E12226" i="1"/>
  <c r="E12227" i="1"/>
  <c r="E12228" i="1"/>
  <c r="E12229" i="1"/>
  <c r="E12230" i="1"/>
  <c r="E12231" i="1"/>
  <c r="E12232" i="1"/>
  <c r="E12233" i="1"/>
  <c r="E12234" i="1"/>
  <c r="E12235" i="1"/>
  <c r="E12236" i="1"/>
  <c r="E12237" i="1"/>
  <c r="E12238" i="1"/>
  <c r="E12239" i="1"/>
  <c r="E12240" i="1"/>
  <c r="E12241" i="1"/>
  <c r="E12242" i="1"/>
  <c r="E12243" i="1"/>
  <c r="E12244" i="1"/>
  <c r="E12245" i="1"/>
  <c r="E12246" i="1"/>
  <c r="E12247" i="1"/>
  <c r="E12248" i="1"/>
  <c r="E12249" i="1"/>
  <c r="E12250" i="1"/>
  <c r="E12251" i="1"/>
  <c r="E12252" i="1"/>
  <c r="E12253" i="1"/>
  <c r="E12254" i="1"/>
  <c r="E12255" i="1"/>
  <c r="E12256" i="1"/>
  <c r="E12257" i="1"/>
  <c r="E12258" i="1"/>
  <c r="E12259" i="1"/>
  <c r="E12260" i="1"/>
  <c r="E12261" i="1"/>
  <c r="E12262" i="1"/>
  <c r="E12263" i="1"/>
  <c r="E12264" i="1"/>
  <c r="E12265" i="1"/>
  <c r="E12266" i="1"/>
  <c r="E12267" i="1"/>
  <c r="E12268" i="1"/>
  <c r="E12269" i="1"/>
  <c r="E12270" i="1"/>
  <c r="E12271" i="1"/>
  <c r="E12272" i="1"/>
  <c r="E12273" i="1"/>
  <c r="E12274" i="1"/>
  <c r="E12275" i="1"/>
  <c r="E12276" i="1"/>
  <c r="E12277" i="1"/>
  <c r="E12278" i="1"/>
  <c r="E12279" i="1"/>
  <c r="E12280" i="1"/>
  <c r="E12281" i="1"/>
  <c r="E12282" i="1"/>
  <c r="E12283" i="1"/>
  <c r="E12284" i="1"/>
  <c r="E12285" i="1"/>
  <c r="E12286" i="1"/>
  <c r="E12287" i="1"/>
  <c r="E12288" i="1"/>
  <c r="E12289" i="1"/>
  <c r="E12290" i="1"/>
  <c r="E12291" i="1"/>
  <c r="E12292" i="1"/>
  <c r="E12293" i="1"/>
  <c r="E12294" i="1"/>
  <c r="E12295" i="1"/>
  <c r="E12296" i="1"/>
  <c r="E12297" i="1"/>
  <c r="E12298" i="1"/>
  <c r="E12299" i="1"/>
  <c r="E12300" i="1"/>
  <c r="E12301" i="1"/>
  <c r="E12302" i="1"/>
  <c r="E12303" i="1"/>
  <c r="E12304" i="1"/>
  <c r="E12305" i="1"/>
  <c r="E12306" i="1"/>
  <c r="E12307" i="1"/>
  <c r="E12308" i="1"/>
  <c r="E12309" i="1"/>
  <c r="E12310" i="1"/>
  <c r="E12311" i="1"/>
  <c r="E12312" i="1"/>
  <c r="E12313" i="1"/>
  <c r="E12314" i="1"/>
  <c r="E12315" i="1"/>
  <c r="E12316" i="1"/>
  <c r="E12317" i="1"/>
  <c r="E12318" i="1"/>
  <c r="E12319" i="1"/>
  <c r="E12320" i="1"/>
  <c r="E12321" i="1"/>
  <c r="E12322" i="1"/>
  <c r="E12323" i="1"/>
  <c r="E12324" i="1"/>
  <c r="E12325" i="1"/>
  <c r="E12326" i="1"/>
  <c r="E12327" i="1"/>
  <c r="E12328" i="1"/>
  <c r="E12329" i="1"/>
  <c r="E12330" i="1"/>
  <c r="E12331" i="1"/>
  <c r="E12332" i="1"/>
  <c r="E12333" i="1"/>
  <c r="E12334" i="1"/>
  <c r="E12335" i="1"/>
  <c r="E12336" i="1"/>
  <c r="E12337" i="1"/>
  <c r="E12338" i="1"/>
  <c r="E12339" i="1"/>
  <c r="E12340" i="1"/>
  <c r="E12341" i="1"/>
  <c r="E12342" i="1"/>
  <c r="E12343" i="1"/>
  <c r="E12344" i="1"/>
  <c r="E12345" i="1"/>
  <c r="E12346" i="1"/>
  <c r="E12347" i="1"/>
  <c r="E12348" i="1"/>
  <c r="E12349" i="1"/>
  <c r="E12350" i="1"/>
  <c r="E12351" i="1"/>
  <c r="E12352" i="1"/>
  <c r="E12353" i="1"/>
  <c r="E12354" i="1"/>
  <c r="E12355" i="1"/>
  <c r="E12356" i="1"/>
  <c r="E12357" i="1"/>
  <c r="E12358" i="1"/>
  <c r="E12359" i="1"/>
  <c r="E12360" i="1"/>
  <c r="E12361" i="1"/>
  <c r="E12362" i="1"/>
  <c r="E12363" i="1"/>
  <c r="E12364" i="1"/>
  <c r="E12365" i="1"/>
  <c r="E12366" i="1"/>
  <c r="E12367" i="1"/>
  <c r="E12368" i="1"/>
  <c r="E12369" i="1"/>
  <c r="E12370" i="1"/>
  <c r="E12371" i="1"/>
  <c r="E12372" i="1"/>
  <c r="E12373" i="1"/>
  <c r="E12374" i="1"/>
  <c r="E12375" i="1"/>
  <c r="E12376" i="1"/>
  <c r="E12377" i="1"/>
  <c r="E12378" i="1"/>
  <c r="E12379" i="1"/>
  <c r="E12380" i="1"/>
  <c r="E12381" i="1"/>
  <c r="E12382" i="1"/>
  <c r="E12383" i="1"/>
  <c r="E12384" i="1"/>
  <c r="E12385" i="1"/>
  <c r="E12386" i="1"/>
  <c r="E12387" i="1"/>
  <c r="E12388" i="1"/>
  <c r="E12389" i="1"/>
  <c r="E12390" i="1"/>
  <c r="E12391" i="1"/>
  <c r="E12392" i="1"/>
  <c r="E12393" i="1"/>
  <c r="E12394" i="1"/>
  <c r="E12395" i="1"/>
  <c r="E12396" i="1"/>
  <c r="E12397" i="1"/>
  <c r="E12398" i="1"/>
  <c r="E12399" i="1"/>
  <c r="E12400" i="1"/>
  <c r="E12401" i="1"/>
  <c r="E12402" i="1"/>
  <c r="E12403" i="1"/>
  <c r="E12404" i="1"/>
  <c r="E12405" i="1"/>
  <c r="E12406" i="1"/>
  <c r="E12407" i="1"/>
  <c r="E12408" i="1"/>
  <c r="E12409" i="1"/>
  <c r="E12410" i="1"/>
  <c r="E12411" i="1"/>
  <c r="E12412" i="1"/>
  <c r="E12413" i="1"/>
  <c r="E12414" i="1"/>
  <c r="E12415" i="1"/>
  <c r="E12416" i="1"/>
  <c r="E12417" i="1"/>
  <c r="E12418" i="1"/>
  <c r="E12419" i="1"/>
  <c r="E12420" i="1"/>
  <c r="E12421" i="1"/>
  <c r="E12422" i="1"/>
  <c r="E12423" i="1"/>
  <c r="E12424" i="1"/>
  <c r="E12425" i="1"/>
  <c r="E12426" i="1"/>
  <c r="E12427" i="1"/>
  <c r="E12428" i="1"/>
  <c r="E12429" i="1"/>
  <c r="E12430" i="1"/>
  <c r="E12431" i="1"/>
  <c r="E12432" i="1"/>
  <c r="E12433" i="1"/>
  <c r="E12434" i="1"/>
  <c r="E12435" i="1"/>
  <c r="E12436" i="1"/>
  <c r="E12437" i="1"/>
  <c r="E12438" i="1"/>
  <c r="E12439" i="1"/>
  <c r="E12440" i="1"/>
  <c r="E12441" i="1"/>
  <c r="E12442" i="1"/>
  <c r="E12443" i="1"/>
  <c r="E12444" i="1"/>
  <c r="E12445" i="1"/>
  <c r="E12446" i="1"/>
  <c r="E12447" i="1"/>
  <c r="E12448" i="1"/>
  <c r="E12449" i="1"/>
  <c r="E12450" i="1"/>
  <c r="E12451" i="1"/>
  <c r="E12452" i="1"/>
  <c r="E12453" i="1"/>
  <c r="E12454" i="1"/>
  <c r="E12455" i="1"/>
  <c r="E12456" i="1"/>
  <c r="E12457" i="1"/>
  <c r="E12458" i="1"/>
  <c r="E12459" i="1"/>
  <c r="E12460" i="1"/>
  <c r="E12461" i="1"/>
  <c r="E12462" i="1"/>
  <c r="E12463" i="1"/>
  <c r="E12464" i="1"/>
  <c r="E12465" i="1"/>
  <c r="E12466" i="1"/>
  <c r="E12467" i="1"/>
  <c r="E12468" i="1"/>
  <c r="E12469" i="1"/>
  <c r="E12470" i="1"/>
  <c r="E12471" i="1"/>
  <c r="E12472" i="1"/>
  <c r="E12473" i="1"/>
  <c r="E12474" i="1"/>
  <c r="E12475" i="1"/>
  <c r="E12476" i="1"/>
  <c r="E12477" i="1"/>
  <c r="E12478" i="1"/>
  <c r="E12479" i="1"/>
  <c r="E12480" i="1"/>
  <c r="E12481" i="1"/>
  <c r="E12482" i="1"/>
  <c r="E12483" i="1"/>
  <c r="E12484" i="1"/>
  <c r="E12485" i="1"/>
  <c r="E12486" i="1"/>
  <c r="E12487" i="1"/>
  <c r="E12488" i="1"/>
  <c r="E12489" i="1"/>
  <c r="E12490" i="1"/>
  <c r="E12491" i="1"/>
  <c r="E12492" i="1"/>
  <c r="E12493" i="1"/>
  <c r="E12494" i="1"/>
  <c r="E12495" i="1"/>
  <c r="E12496" i="1"/>
  <c r="E12497" i="1"/>
  <c r="E12498" i="1"/>
  <c r="E12499" i="1"/>
  <c r="E12500" i="1"/>
  <c r="E12501" i="1"/>
  <c r="E12502" i="1"/>
  <c r="E12503" i="1"/>
  <c r="E12504" i="1"/>
  <c r="E12505" i="1"/>
  <c r="E12506" i="1"/>
  <c r="E12507" i="1"/>
  <c r="E12508" i="1"/>
  <c r="E12509" i="1"/>
  <c r="E12510" i="1"/>
  <c r="E12512" i="1"/>
  <c r="E12513" i="1"/>
  <c r="E12514" i="1"/>
  <c r="E12515" i="1"/>
  <c r="E12516" i="1"/>
  <c r="E12517" i="1"/>
  <c r="E12518" i="1"/>
  <c r="E12519" i="1"/>
  <c r="E12520" i="1"/>
  <c r="E12521" i="1"/>
  <c r="E12522" i="1"/>
  <c r="E12523" i="1"/>
  <c r="E12524" i="1"/>
  <c r="E12525" i="1"/>
  <c r="E12526" i="1"/>
  <c r="E12527" i="1"/>
  <c r="E12528" i="1"/>
  <c r="E12529" i="1"/>
  <c r="E12530" i="1"/>
  <c r="E12531" i="1"/>
  <c r="E12532" i="1"/>
  <c r="E12533" i="1"/>
  <c r="E12534" i="1"/>
  <c r="E12535" i="1"/>
  <c r="E12536" i="1"/>
  <c r="E12537" i="1"/>
  <c r="E12538" i="1"/>
  <c r="E12539" i="1"/>
  <c r="E12540" i="1"/>
  <c r="E12541" i="1"/>
  <c r="E12542" i="1"/>
  <c r="E12543" i="1"/>
  <c r="E12544" i="1"/>
  <c r="E12545" i="1"/>
  <c r="E12546" i="1"/>
  <c r="E12547" i="1"/>
  <c r="E12548" i="1"/>
  <c r="E12549" i="1"/>
  <c r="E12550" i="1"/>
  <c r="E12551" i="1"/>
  <c r="E12552" i="1"/>
  <c r="E12553" i="1"/>
  <c r="E12554" i="1"/>
  <c r="E12555" i="1"/>
  <c r="E12556" i="1"/>
  <c r="E12557" i="1"/>
  <c r="E12558" i="1"/>
  <c r="E12559" i="1"/>
  <c r="E12560" i="1"/>
  <c r="E12561" i="1"/>
  <c r="E12562" i="1"/>
  <c r="E12563" i="1"/>
  <c r="E12564" i="1"/>
  <c r="E12565" i="1"/>
  <c r="E12566" i="1"/>
  <c r="E12567" i="1"/>
  <c r="E12568" i="1"/>
  <c r="E12569" i="1"/>
  <c r="E12570" i="1"/>
  <c r="E12571" i="1"/>
  <c r="E12572" i="1"/>
  <c r="E12573" i="1"/>
  <c r="E12574" i="1"/>
  <c r="E12575" i="1"/>
  <c r="E12576" i="1"/>
  <c r="E12577" i="1"/>
  <c r="E12578" i="1"/>
  <c r="E12579" i="1"/>
  <c r="E12580" i="1"/>
  <c r="E12581" i="1"/>
  <c r="E12582" i="1"/>
  <c r="E12583" i="1"/>
  <c r="E12584" i="1"/>
  <c r="E12585" i="1"/>
  <c r="E12586" i="1"/>
  <c r="E12587" i="1"/>
  <c r="E12588" i="1"/>
  <c r="E12589" i="1"/>
  <c r="E12590" i="1"/>
  <c r="E12591" i="1"/>
  <c r="E12592" i="1"/>
  <c r="E12593" i="1"/>
  <c r="E12594" i="1"/>
  <c r="E12595" i="1"/>
  <c r="E12596" i="1"/>
  <c r="E12597" i="1"/>
  <c r="E12598" i="1"/>
  <c r="E12599" i="1"/>
  <c r="E12600" i="1"/>
  <c r="E12601" i="1"/>
  <c r="E12602" i="1"/>
  <c r="E12603" i="1"/>
  <c r="E12604" i="1"/>
  <c r="E12605" i="1"/>
  <c r="E12606" i="1"/>
  <c r="E12607" i="1"/>
  <c r="E12608" i="1"/>
  <c r="E12609" i="1"/>
  <c r="E12610" i="1"/>
  <c r="E12611" i="1"/>
  <c r="E12612" i="1"/>
  <c r="E12613" i="1"/>
  <c r="E12614" i="1"/>
  <c r="E12615" i="1"/>
  <c r="E12616" i="1"/>
  <c r="E12617" i="1"/>
  <c r="E12618" i="1"/>
  <c r="E12619" i="1"/>
  <c r="E12620" i="1"/>
  <c r="E12621" i="1"/>
  <c r="E12622" i="1"/>
  <c r="E12623" i="1"/>
  <c r="E12624" i="1"/>
  <c r="E12625" i="1"/>
  <c r="E12626" i="1"/>
  <c r="E12627" i="1"/>
  <c r="E12628" i="1"/>
  <c r="E12629" i="1"/>
  <c r="E12630" i="1"/>
  <c r="E12631" i="1"/>
  <c r="E12632" i="1"/>
  <c r="E12633" i="1"/>
  <c r="E12634" i="1"/>
  <c r="E12635" i="1"/>
  <c r="E12636" i="1"/>
  <c r="E12637" i="1"/>
  <c r="E12638" i="1"/>
  <c r="E12639" i="1"/>
  <c r="E12640" i="1"/>
  <c r="E12641" i="1"/>
  <c r="E12642" i="1"/>
  <c r="E12643" i="1"/>
  <c r="E12644" i="1"/>
  <c r="E12645" i="1"/>
  <c r="E12646" i="1"/>
  <c r="E12647" i="1"/>
  <c r="E12648" i="1"/>
  <c r="E12649" i="1"/>
  <c r="E12650" i="1"/>
  <c r="E12651" i="1"/>
  <c r="E12652" i="1"/>
  <c r="E12653" i="1"/>
  <c r="E12654" i="1"/>
  <c r="E12655" i="1"/>
  <c r="E12656" i="1"/>
  <c r="E12657" i="1"/>
  <c r="E12658" i="1"/>
  <c r="E12659" i="1"/>
  <c r="E12660" i="1"/>
  <c r="E12661" i="1"/>
  <c r="E12662" i="1"/>
  <c r="E12663" i="1"/>
  <c r="E12664" i="1"/>
  <c r="E12665" i="1"/>
  <c r="E12666" i="1"/>
  <c r="E12667" i="1"/>
  <c r="E12668" i="1"/>
  <c r="E12669" i="1"/>
  <c r="E12670" i="1"/>
  <c r="E12671" i="1"/>
  <c r="E12672" i="1"/>
  <c r="E12673" i="1"/>
  <c r="E12674" i="1"/>
  <c r="E12675" i="1"/>
  <c r="E12676" i="1"/>
  <c r="E12677" i="1"/>
  <c r="E12678" i="1"/>
  <c r="E12679" i="1"/>
  <c r="E12680" i="1"/>
  <c r="E12681" i="1"/>
  <c r="E12682" i="1"/>
  <c r="E12683" i="1"/>
  <c r="E12684" i="1"/>
  <c r="E12685" i="1"/>
  <c r="E12686" i="1"/>
  <c r="E12687" i="1"/>
  <c r="E12688" i="1"/>
  <c r="E12689" i="1"/>
  <c r="E12690" i="1"/>
  <c r="E12691" i="1"/>
  <c r="E12692" i="1"/>
  <c r="E12693" i="1"/>
  <c r="E12694" i="1"/>
  <c r="E12695" i="1"/>
  <c r="E12696" i="1"/>
  <c r="E12697" i="1"/>
  <c r="E12698" i="1"/>
  <c r="E12699" i="1"/>
  <c r="E12700" i="1"/>
  <c r="E12701" i="1"/>
  <c r="E12702" i="1"/>
  <c r="E12703" i="1"/>
  <c r="E12704" i="1"/>
  <c r="E12705" i="1"/>
  <c r="E12706" i="1"/>
  <c r="E12707" i="1"/>
  <c r="E12708" i="1"/>
  <c r="E12709" i="1"/>
  <c r="E12710" i="1"/>
  <c r="E12711" i="1"/>
  <c r="E12712" i="1"/>
  <c r="E12713" i="1"/>
  <c r="E12714" i="1"/>
  <c r="E12715" i="1"/>
  <c r="E12716" i="1"/>
  <c r="E12717" i="1"/>
  <c r="E12718" i="1"/>
  <c r="E12719" i="1"/>
  <c r="E12720" i="1"/>
  <c r="E12721" i="1"/>
  <c r="E12722" i="1"/>
  <c r="E12723" i="1"/>
  <c r="E12724" i="1"/>
  <c r="E12725" i="1"/>
  <c r="E12726" i="1"/>
  <c r="E12727" i="1"/>
  <c r="E12728" i="1"/>
  <c r="E12729" i="1"/>
  <c r="E12730" i="1"/>
  <c r="E12731" i="1"/>
  <c r="E12732" i="1"/>
  <c r="E12733" i="1"/>
  <c r="E12734" i="1"/>
  <c r="E12735" i="1"/>
  <c r="E12736" i="1"/>
  <c r="E12737" i="1"/>
  <c r="E12738" i="1"/>
  <c r="E12739" i="1"/>
  <c r="E12740" i="1"/>
  <c r="E12741" i="1"/>
  <c r="E12742" i="1"/>
  <c r="E12743" i="1"/>
  <c r="E12744" i="1"/>
  <c r="E12745" i="1"/>
  <c r="E12746" i="1"/>
  <c r="E12747" i="1"/>
  <c r="E12748" i="1"/>
  <c r="E12749" i="1"/>
  <c r="E12750" i="1"/>
  <c r="E12751" i="1"/>
  <c r="E12752" i="1"/>
  <c r="E12753" i="1"/>
  <c r="E12754" i="1"/>
  <c r="E12755" i="1"/>
  <c r="E12756" i="1"/>
  <c r="E12757" i="1"/>
  <c r="E12758" i="1"/>
  <c r="E12759" i="1"/>
  <c r="E12760" i="1"/>
  <c r="E12761" i="1"/>
  <c r="E12762" i="1"/>
  <c r="E12763" i="1"/>
  <c r="E12764" i="1"/>
  <c r="E12765" i="1"/>
  <c r="E12766" i="1"/>
  <c r="E12767" i="1"/>
  <c r="E12768" i="1"/>
  <c r="E12769" i="1"/>
  <c r="E12770" i="1"/>
  <c r="E12771" i="1"/>
  <c r="E12772" i="1"/>
  <c r="E12773" i="1"/>
  <c r="E12774" i="1"/>
  <c r="E12775" i="1"/>
  <c r="E12776" i="1"/>
  <c r="E12777" i="1"/>
  <c r="E12778" i="1"/>
  <c r="E12779" i="1"/>
  <c r="E12780" i="1"/>
  <c r="E12781" i="1"/>
  <c r="E12782" i="1"/>
  <c r="E12783" i="1"/>
  <c r="E12784" i="1"/>
  <c r="E12785" i="1"/>
  <c r="E12786" i="1"/>
  <c r="E12787" i="1"/>
  <c r="E12788" i="1"/>
  <c r="E12789" i="1"/>
  <c r="E12790" i="1"/>
  <c r="E12791" i="1"/>
  <c r="E12792" i="1"/>
  <c r="E12793" i="1"/>
  <c r="E12794" i="1"/>
  <c r="E12795" i="1"/>
  <c r="E12796" i="1"/>
  <c r="E12797" i="1"/>
  <c r="E12798" i="1"/>
  <c r="E12799" i="1"/>
  <c r="E12800" i="1"/>
  <c r="E12801" i="1"/>
  <c r="E12802" i="1"/>
  <c r="E12803" i="1"/>
  <c r="E12804" i="1"/>
  <c r="E12805" i="1"/>
  <c r="E12806" i="1"/>
  <c r="E12807" i="1"/>
  <c r="E12808" i="1"/>
  <c r="E12809" i="1"/>
  <c r="E12810" i="1"/>
  <c r="E12811" i="1"/>
  <c r="E12812" i="1"/>
  <c r="E12813" i="1"/>
  <c r="E12814" i="1"/>
  <c r="E12815" i="1"/>
  <c r="E12816" i="1"/>
  <c r="E12817" i="1"/>
  <c r="E12818" i="1"/>
  <c r="E12819" i="1"/>
  <c r="E12820" i="1"/>
  <c r="E12821" i="1"/>
  <c r="E12822" i="1"/>
  <c r="E12823" i="1"/>
  <c r="E12824" i="1"/>
  <c r="E12825" i="1"/>
  <c r="E12826" i="1"/>
  <c r="E12827" i="1"/>
  <c r="E12828" i="1"/>
  <c r="E12829" i="1"/>
  <c r="E12830" i="1"/>
  <c r="E12831" i="1"/>
  <c r="E12832" i="1"/>
  <c r="E12833" i="1"/>
  <c r="E12834" i="1"/>
  <c r="E12835" i="1"/>
  <c r="E12836" i="1"/>
  <c r="E12837" i="1"/>
  <c r="E12838" i="1"/>
  <c r="E12839" i="1"/>
  <c r="E12840" i="1"/>
  <c r="E12841" i="1"/>
  <c r="E12842" i="1"/>
  <c r="E12843" i="1"/>
  <c r="E12844" i="1"/>
  <c r="E12845" i="1"/>
  <c r="E12846" i="1"/>
  <c r="E12847" i="1"/>
  <c r="E12848" i="1"/>
  <c r="E12849" i="1"/>
  <c r="E12850" i="1"/>
  <c r="E12851" i="1"/>
  <c r="E12852" i="1"/>
  <c r="E12853" i="1"/>
  <c r="E12854" i="1"/>
  <c r="E12855" i="1"/>
  <c r="E12856" i="1"/>
  <c r="E12857" i="1"/>
  <c r="E12858" i="1"/>
  <c r="E12859" i="1"/>
  <c r="E12860" i="1"/>
  <c r="E12861" i="1"/>
  <c r="E12862" i="1"/>
  <c r="E12863" i="1"/>
  <c r="E12864" i="1"/>
  <c r="E12865" i="1"/>
  <c r="E12866" i="1"/>
  <c r="E12867" i="1"/>
  <c r="E12868" i="1"/>
  <c r="E12869" i="1"/>
  <c r="E12870" i="1"/>
  <c r="E12871" i="1"/>
  <c r="E12872" i="1"/>
  <c r="E12873" i="1"/>
  <c r="E12874" i="1"/>
  <c r="E12875" i="1"/>
  <c r="E12876" i="1"/>
  <c r="E12877" i="1"/>
  <c r="E12878" i="1"/>
  <c r="E12879" i="1"/>
  <c r="E12880" i="1"/>
  <c r="E12881" i="1"/>
  <c r="E12882" i="1"/>
  <c r="E12883" i="1"/>
  <c r="E12884" i="1"/>
  <c r="E12885" i="1"/>
  <c r="E12886" i="1"/>
  <c r="E12887" i="1"/>
  <c r="E12888" i="1"/>
  <c r="E12889" i="1"/>
  <c r="E12890" i="1"/>
  <c r="E12891" i="1"/>
  <c r="E12892" i="1"/>
  <c r="E12893" i="1"/>
  <c r="E12894" i="1"/>
  <c r="E12895" i="1"/>
  <c r="E12896" i="1"/>
  <c r="E12897" i="1"/>
  <c r="E12898" i="1"/>
  <c r="E12899" i="1"/>
  <c r="E12900" i="1"/>
  <c r="E12901" i="1"/>
  <c r="E12902" i="1"/>
  <c r="E12903" i="1"/>
  <c r="E12904" i="1"/>
  <c r="E12905" i="1"/>
  <c r="E12906" i="1"/>
  <c r="E12907" i="1"/>
  <c r="E12908" i="1"/>
  <c r="E12909" i="1"/>
  <c r="E12910" i="1"/>
  <c r="E12911" i="1"/>
  <c r="E12912" i="1"/>
  <c r="E12913" i="1"/>
  <c r="E12914" i="1"/>
  <c r="E12915" i="1"/>
  <c r="E12916" i="1"/>
  <c r="E12917" i="1"/>
  <c r="E12918" i="1"/>
  <c r="E12919" i="1"/>
  <c r="E12920" i="1"/>
  <c r="E12921" i="1"/>
  <c r="E12923" i="1"/>
  <c r="E12924" i="1"/>
  <c r="E12925" i="1"/>
  <c r="E12926" i="1"/>
  <c r="E12927" i="1"/>
  <c r="E12928" i="1"/>
  <c r="E12929" i="1"/>
  <c r="E12930" i="1"/>
  <c r="E12931" i="1"/>
  <c r="E12932" i="1"/>
  <c r="E12933" i="1"/>
  <c r="E12934" i="1"/>
  <c r="E12935" i="1"/>
  <c r="E12936" i="1"/>
  <c r="E12937" i="1"/>
  <c r="E12938" i="1"/>
  <c r="E12939" i="1"/>
  <c r="E12940" i="1"/>
  <c r="E12941" i="1"/>
  <c r="E12942" i="1"/>
  <c r="E12943" i="1"/>
  <c r="E12944" i="1"/>
  <c r="E12945" i="1"/>
  <c r="E12946" i="1"/>
  <c r="E12947" i="1"/>
  <c r="E12948" i="1"/>
  <c r="E12949" i="1"/>
  <c r="E12950" i="1"/>
  <c r="E12951" i="1"/>
  <c r="E12952" i="1"/>
  <c r="E12953" i="1"/>
  <c r="E12954" i="1"/>
  <c r="E12955" i="1"/>
  <c r="E12956" i="1"/>
  <c r="E12957" i="1"/>
  <c r="E12958" i="1"/>
  <c r="E12959" i="1"/>
  <c r="E12960" i="1"/>
  <c r="E12961" i="1"/>
  <c r="E12962" i="1"/>
  <c r="E12963" i="1"/>
  <c r="E12964" i="1"/>
  <c r="E12965" i="1"/>
  <c r="E12966" i="1"/>
  <c r="E12967" i="1"/>
  <c r="E12968" i="1"/>
  <c r="E12969" i="1"/>
  <c r="E12970" i="1"/>
  <c r="E12971" i="1"/>
  <c r="E12972" i="1"/>
  <c r="E12973" i="1"/>
  <c r="E12974" i="1"/>
  <c r="E12975" i="1"/>
  <c r="E12976" i="1"/>
  <c r="E12977" i="1"/>
  <c r="E12978" i="1"/>
  <c r="E12979" i="1"/>
  <c r="E12980" i="1"/>
  <c r="E12981" i="1"/>
  <c r="E12982" i="1"/>
  <c r="E12983" i="1"/>
  <c r="E12984" i="1"/>
  <c r="E12985" i="1"/>
  <c r="E12986" i="1"/>
  <c r="E12987" i="1"/>
  <c r="E12988" i="1"/>
  <c r="E12989" i="1"/>
  <c r="E12990" i="1"/>
  <c r="E12991" i="1"/>
  <c r="E12992" i="1"/>
  <c r="E12993" i="1"/>
  <c r="E12994" i="1"/>
  <c r="E12995" i="1"/>
  <c r="E12996" i="1"/>
  <c r="E12997" i="1"/>
  <c r="E12998" i="1"/>
  <c r="E12999" i="1"/>
  <c r="E13000" i="1"/>
  <c r="E13001" i="1"/>
  <c r="E13002" i="1"/>
  <c r="E13003" i="1"/>
  <c r="E13004" i="1"/>
  <c r="E13005" i="1"/>
  <c r="E13006" i="1"/>
  <c r="E13007" i="1"/>
  <c r="E13008" i="1"/>
  <c r="E13009" i="1"/>
  <c r="E13010" i="1"/>
  <c r="E13011" i="1"/>
  <c r="E13012" i="1"/>
  <c r="E13013" i="1"/>
  <c r="E13014" i="1"/>
  <c r="E13015" i="1"/>
  <c r="E13016" i="1"/>
  <c r="E13017" i="1"/>
  <c r="E13018" i="1"/>
  <c r="E13019" i="1"/>
  <c r="E13020" i="1"/>
  <c r="E13021" i="1"/>
  <c r="E13022" i="1"/>
  <c r="E13023" i="1"/>
  <c r="E13024" i="1"/>
  <c r="E13025" i="1"/>
  <c r="E13026" i="1"/>
  <c r="E13027" i="1"/>
  <c r="E13028" i="1"/>
  <c r="E13029" i="1"/>
  <c r="E13030" i="1"/>
  <c r="E13031" i="1"/>
  <c r="E13032" i="1"/>
  <c r="E13033" i="1"/>
  <c r="E13034" i="1"/>
  <c r="E13035" i="1"/>
  <c r="E13036" i="1"/>
  <c r="E13037" i="1"/>
  <c r="E13038" i="1"/>
  <c r="E13039" i="1"/>
  <c r="E13040" i="1"/>
  <c r="E13041" i="1"/>
  <c r="E13042" i="1"/>
  <c r="E13043" i="1"/>
  <c r="E13044" i="1"/>
  <c r="E13045" i="1"/>
  <c r="E13046" i="1"/>
  <c r="E13047" i="1"/>
  <c r="E13048" i="1"/>
  <c r="E13049" i="1"/>
  <c r="E13050" i="1"/>
  <c r="E13051" i="1"/>
  <c r="E13052" i="1"/>
  <c r="E13053" i="1"/>
  <c r="E13054" i="1"/>
  <c r="E13055" i="1"/>
  <c r="E13056" i="1"/>
  <c r="E13057" i="1"/>
  <c r="E13058" i="1"/>
  <c r="E13059" i="1"/>
  <c r="E13060" i="1"/>
  <c r="E13061" i="1"/>
  <c r="E13062" i="1"/>
  <c r="E13063" i="1"/>
  <c r="E13064" i="1"/>
  <c r="E13065" i="1"/>
  <c r="E13066" i="1"/>
  <c r="E13067" i="1"/>
  <c r="E13068" i="1"/>
  <c r="E13069" i="1"/>
  <c r="E13070" i="1"/>
  <c r="E13071" i="1"/>
  <c r="E13072" i="1"/>
  <c r="E13073" i="1"/>
  <c r="E13074" i="1"/>
  <c r="E13075" i="1"/>
  <c r="E13076" i="1"/>
  <c r="E13077" i="1"/>
  <c r="E13078" i="1"/>
  <c r="E13079" i="1"/>
  <c r="E13080" i="1"/>
  <c r="E13081" i="1"/>
  <c r="E13082" i="1"/>
  <c r="E13083" i="1"/>
  <c r="E13084" i="1"/>
  <c r="E13085" i="1"/>
  <c r="E13086" i="1"/>
  <c r="E13087" i="1"/>
  <c r="E13088" i="1"/>
  <c r="E13089" i="1"/>
  <c r="E13090" i="1"/>
  <c r="E13091" i="1"/>
  <c r="E13092" i="1"/>
  <c r="E13093" i="1"/>
  <c r="E13094" i="1"/>
  <c r="E13095" i="1"/>
  <c r="E13096" i="1"/>
  <c r="E13097" i="1"/>
  <c r="E13098" i="1"/>
  <c r="E13099" i="1"/>
  <c r="E13100" i="1"/>
  <c r="E13101" i="1"/>
  <c r="E13102" i="1"/>
  <c r="E13103" i="1"/>
  <c r="E13104" i="1"/>
  <c r="E13105" i="1"/>
  <c r="E13106" i="1"/>
  <c r="E13107" i="1"/>
  <c r="E13108" i="1"/>
  <c r="E13109" i="1"/>
  <c r="E13110" i="1"/>
  <c r="E13111" i="1"/>
  <c r="E13113" i="1"/>
  <c r="E13114" i="1"/>
  <c r="E13115" i="1"/>
  <c r="E13116" i="1"/>
  <c r="E13117" i="1"/>
  <c r="E13118" i="1"/>
  <c r="E13119" i="1"/>
  <c r="E13120" i="1"/>
  <c r="E13121" i="1"/>
  <c r="E13122" i="1"/>
  <c r="E13123" i="1"/>
  <c r="E13124" i="1"/>
  <c r="E13125" i="1"/>
  <c r="E13126" i="1"/>
  <c r="E13127" i="1"/>
  <c r="E13128" i="1"/>
  <c r="E13129" i="1"/>
  <c r="E13130" i="1"/>
  <c r="E13131" i="1"/>
  <c r="E13132" i="1"/>
  <c r="E13133" i="1"/>
  <c r="E13134" i="1"/>
  <c r="E13135" i="1"/>
  <c r="E13136" i="1"/>
  <c r="E13137" i="1"/>
  <c r="E13138" i="1"/>
  <c r="E13139" i="1"/>
  <c r="E13140" i="1"/>
  <c r="E13141" i="1"/>
  <c r="E13142" i="1"/>
  <c r="E13143" i="1"/>
  <c r="E13144" i="1"/>
  <c r="E13145" i="1"/>
  <c r="E13146" i="1"/>
  <c r="E13147" i="1"/>
  <c r="E13148" i="1"/>
  <c r="E13149" i="1"/>
  <c r="E13150" i="1"/>
  <c r="E13151" i="1"/>
  <c r="E13152" i="1"/>
  <c r="E13153" i="1"/>
  <c r="E13154" i="1"/>
  <c r="E13155" i="1"/>
  <c r="E13156" i="1"/>
  <c r="E13157" i="1"/>
  <c r="E13158" i="1"/>
  <c r="E13159" i="1"/>
  <c r="E13160" i="1"/>
  <c r="E13161" i="1"/>
  <c r="E13162" i="1"/>
  <c r="E13163" i="1"/>
  <c r="E13164" i="1"/>
  <c r="E13165" i="1"/>
  <c r="E13166" i="1"/>
  <c r="E13167" i="1"/>
  <c r="E13168" i="1"/>
  <c r="E13169" i="1"/>
  <c r="E13170" i="1"/>
  <c r="E13171" i="1"/>
  <c r="E13172" i="1"/>
  <c r="E13173" i="1"/>
  <c r="E13174" i="1"/>
  <c r="E13175" i="1"/>
  <c r="E13176" i="1"/>
  <c r="E13177" i="1"/>
  <c r="E13178" i="1"/>
  <c r="E13179" i="1"/>
  <c r="E13180" i="1"/>
  <c r="E13181" i="1"/>
  <c r="E13182" i="1"/>
  <c r="E13183" i="1"/>
  <c r="E13184" i="1"/>
  <c r="E13185" i="1"/>
  <c r="E13186" i="1"/>
  <c r="E13187" i="1"/>
  <c r="E13188" i="1"/>
  <c r="E13189" i="1"/>
  <c r="E13190" i="1"/>
  <c r="E13191" i="1"/>
  <c r="E13192" i="1"/>
  <c r="E13193" i="1"/>
  <c r="E13194" i="1"/>
  <c r="E13195" i="1"/>
  <c r="E13196" i="1"/>
  <c r="E13197" i="1"/>
  <c r="E13198" i="1"/>
  <c r="E13199" i="1"/>
  <c r="E13200" i="1"/>
  <c r="E13201" i="1"/>
  <c r="E13202" i="1"/>
  <c r="E13203" i="1"/>
  <c r="E13204" i="1"/>
  <c r="E13205" i="1"/>
  <c r="E13206" i="1"/>
  <c r="E13207" i="1"/>
  <c r="E13208" i="1"/>
  <c r="E13209" i="1"/>
  <c r="E13210" i="1"/>
  <c r="E13211" i="1"/>
  <c r="E13212" i="1"/>
  <c r="E13213" i="1"/>
  <c r="E13214" i="1"/>
  <c r="E13215" i="1"/>
  <c r="E13216" i="1"/>
  <c r="E13217" i="1"/>
  <c r="E13218" i="1"/>
  <c r="E13219" i="1"/>
  <c r="E13220" i="1"/>
  <c r="E13221" i="1"/>
  <c r="E13222" i="1"/>
  <c r="E13223" i="1"/>
  <c r="E13224" i="1"/>
  <c r="E13225" i="1"/>
  <c r="E13226" i="1"/>
  <c r="E13227" i="1"/>
  <c r="E13228" i="1"/>
  <c r="E13229" i="1"/>
  <c r="E13230" i="1"/>
  <c r="E13231" i="1"/>
  <c r="E13232" i="1"/>
  <c r="E13233" i="1"/>
  <c r="E13234" i="1"/>
  <c r="E13235" i="1"/>
  <c r="E13236" i="1"/>
  <c r="E13237" i="1"/>
  <c r="E13238" i="1"/>
  <c r="E13239" i="1"/>
  <c r="E13240" i="1"/>
  <c r="E13241" i="1"/>
  <c r="E13242" i="1"/>
  <c r="E13243" i="1"/>
  <c r="E13244" i="1"/>
  <c r="E13245" i="1"/>
  <c r="E13246" i="1"/>
  <c r="E13247" i="1"/>
  <c r="E13248" i="1"/>
  <c r="E13249" i="1"/>
  <c r="E13250" i="1"/>
  <c r="E13251" i="1"/>
  <c r="E13252" i="1"/>
  <c r="E13253" i="1"/>
  <c r="E13254" i="1"/>
  <c r="E13255" i="1"/>
  <c r="E13256" i="1"/>
  <c r="E13257" i="1"/>
  <c r="E13258" i="1"/>
  <c r="E13259" i="1"/>
  <c r="E13260" i="1"/>
  <c r="E13261" i="1"/>
  <c r="E13262" i="1"/>
  <c r="E13263" i="1"/>
  <c r="E13264" i="1"/>
  <c r="E13265" i="1"/>
  <c r="E13266" i="1"/>
  <c r="E13267" i="1"/>
  <c r="E13268" i="1"/>
  <c r="E13269" i="1"/>
  <c r="E13270" i="1"/>
  <c r="E13271" i="1"/>
  <c r="E13272" i="1"/>
  <c r="E13273" i="1"/>
  <c r="E13274" i="1"/>
  <c r="E13275" i="1"/>
  <c r="E13276" i="1"/>
  <c r="E13277" i="1"/>
  <c r="E13278" i="1"/>
  <c r="E13279" i="1"/>
  <c r="E13280" i="1"/>
  <c r="E13281" i="1"/>
  <c r="E13282" i="1"/>
  <c r="E13283" i="1"/>
  <c r="E13284" i="1"/>
  <c r="E13285" i="1"/>
  <c r="E13286" i="1"/>
  <c r="E13287" i="1"/>
  <c r="E13288" i="1"/>
  <c r="E13289" i="1"/>
  <c r="E13290" i="1"/>
  <c r="E13291" i="1"/>
  <c r="E13292" i="1"/>
  <c r="E13293" i="1"/>
  <c r="E13294" i="1"/>
  <c r="E13295" i="1"/>
  <c r="E13296" i="1"/>
  <c r="E13297" i="1"/>
  <c r="E13298" i="1"/>
  <c r="E13299" i="1"/>
  <c r="E13300" i="1"/>
  <c r="E13301" i="1"/>
  <c r="E13302" i="1"/>
  <c r="E13303" i="1"/>
  <c r="E13304" i="1"/>
  <c r="E13305" i="1"/>
  <c r="E13306" i="1"/>
  <c r="E13307" i="1"/>
  <c r="E13308" i="1"/>
  <c r="E13309" i="1"/>
  <c r="E13310" i="1"/>
  <c r="E13311" i="1"/>
  <c r="E13312" i="1"/>
  <c r="E13313" i="1"/>
  <c r="E13314" i="1"/>
  <c r="E13315" i="1"/>
  <c r="E13316" i="1"/>
  <c r="E13317" i="1"/>
  <c r="E13318" i="1"/>
  <c r="E13319" i="1"/>
  <c r="E13320" i="1"/>
  <c r="E13321" i="1"/>
  <c r="E13322" i="1"/>
  <c r="E13323" i="1"/>
  <c r="E13324" i="1"/>
  <c r="E13325" i="1"/>
  <c r="E13326" i="1"/>
  <c r="E13327" i="1"/>
  <c r="E13328" i="1"/>
  <c r="E13329" i="1"/>
  <c r="E13330" i="1"/>
  <c r="E13331" i="1"/>
  <c r="E13332" i="1"/>
  <c r="E13333" i="1"/>
  <c r="E13334" i="1"/>
  <c r="E13335" i="1"/>
  <c r="E13336" i="1"/>
  <c r="E13337" i="1"/>
  <c r="E13338" i="1"/>
  <c r="E13339" i="1"/>
  <c r="E13340" i="1"/>
  <c r="E13341" i="1"/>
  <c r="E13342" i="1"/>
  <c r="E13343" i="1"/>
  <c r="E13344" i="1"/>
  <c r="E13345" i="1"/>
  <c r="E13346" i="1"/>
  <c r="E13347" i="1"/>
  <c r="E13348" i="1"/>
  <c r="E13349" i="1"/>
  <c r="E13350" i="1"/>
  <c r="E13351" i="1"/>
  <c r="E13352" i="1"/>
  <c r="E13353" i="1"/>
  <c r="E13354" i="1"/>
  <c r="E13355" i="1"/>
  <c r="E13357" i="1"/>
  <c r="E13358" i="1"/>
  <c r="E13359" i="1"/>
  <c r="E13360" i="1"/>
  <c r="E13361" i="1"/>
  <c r="E13362" i="1"/>
  <c r="E13363" i="1"/>
  <c r="E13364" i="1"/>
  <c r="E13365" i="1"/>
  <c r="E13366" i="1"/>
  <c r="E13367" i="1"/>
  <c r="E13368" i="1"/>
  <c r="E13369" i="1"/>
  <c r="E13370" i="1"/>
  <c r="E13371" i="1"/>
  <c r="E13372" i="1"/>
  <c r="E13373" i="1"/>
  <c r="E13374" i="1"/>
  <c r="E13375" i="1"/>
  <c r="E13376" i="1"/>
  <c r="E13377" i="1"/>
  <c r="E13378" i="1"/>
  <c r="E13379" i="1"/>
  <c r="E13380" i="1"/>
  <c r="E13381" i="1"/>
  <c r="E13382" i="1"/>
  <c r="E13383" i="1"/>
  <c r="E13384" i="1"/>
  <c r="E13385" i="1"/>
  <c r="E13386" i="1"/>
  <c r="E13387" i="1"/>
  <c r="E13388" i="1"/>
  <c r="E13389" i="1"/>
  <c r="E13390" i="1"/>
  <c r="E13391" i="1"/>
  <c r="E13392" i="1"/>
  <c r="E13393" i="1"/>
  <c r="E13394" i="1"/>
  <c r="E13395" i="1"/>
  <c r="E13396" i="1"/>
  <c r="E13397" i="1"/>
  <c r="E13398" i="1"/>
  <c r="E13399" i="1"/>
  <c r="E13400" i="1"/>
  <c r="E13401" i="1"/>
  <c r="E13402" i="1"/>
  <c r="E13403" i="1"/>
  <c r="E13404" i="1"/>
  <c r="E13405" i="1"/>
  <c r="E13406" i="1"/>
  <c r="E13407" i="1"/>
  <c r="E13408" i="1"/>
  <c r="E13409" i="1"/>
  <c r="E13410" i="1"/>
  <c r="E13411" i="1"/>
  <c r="E13412" i="1"/>
  <c r="E13413" i="1"/>
  <c r="E13414" i="1"/>
  <c r="E13415" i="1"/>
  <c r="E13416" i="1"/>
  <c r="E13417" i="1"/>
  <c r="E13418" i="1"/>
  <c r="E13419" i="1"/>
  <c r="E13420" i="1"/>
  <c r="E13421" i="1"/>
  <c r="E13422" i="1"/>
  <c r="E13423" i="1"/>
  <c r="E13424" i="1"/>
  <c r="E13425" i="1"/>
  <c r="E13426" i="1"/>
  <c r="E13427" i="1"/>
  <c r="E13428" i="1"/>
  <c r="E13429" i="1"/>
  <c r="E13430" i="1"/>
  <c r="E13431" i="1"/>
  <c r="E13432" i="1"/>
  <c r="E13433" i="1"/>
  <c r="E13434" i="1"/>
  <c r="E13435" i="1"/>
  <c r="E13436" i="1"/>
  <c r="E13437" i="1"/>
  <c r="E13438" i="1"/>
  <c r="E13439" i="1"/>
  <c r="E13440" i="1"/>
  <c r="E13441" i="1"/>
  <c r="E13442" i="1"/>
  <c r="E13443" i="1"/>
  <c r="E13444" i="1"/>
  <c r="E13445" i="1"/>
  <c r="E13446" i="1"/>
  <c r="E13447" i="1"/>
  <c r="E13448" i="1"/>
  <c r="E13449" i="1"/>
  <c r="E13450" i="1"/>
  <c r="E13451" i="1"/>
  <c r="E13452" i="1"/>
  <c r="E13453" i="1"/>
  <c r="E13454" i="1"/>
  <c r="E13455" i="1"/>
  <c r="E13456" i="1"/>
  <c r="E13457" i="1"/>
  <c r="E13458" i="1"/>
  <c r="E13459" i="1"/>
  <c r="E13460" i="1"/>
  <c r="E13461" i="1"/>
  <c r="E13462" i="1"/>
  <c r="E13463" i="1"/>
  <c r="E13464" i="1"/>
  <c r="E13465" i="1"/>
  <c r="E13466" i="1"/>
  <c r="E13467" i="1"/>
  <c r="E13468" i="1"/>
  <c r="E13469" i="1"/>
  <c r="E13470" i="1"/>
  <c r="E13471" i="1"/>
  <c r="E13472" i="1"/>
  <c r="E13473" i="1"/>
  <c r="E13474" i="1"/>
  <c r="E13475" i="1"/>
  <c r="E13476" i="1"/>
  <c r="E13477" i="1"/>
  <c r="E13478" i="1"/>
  <c r="E13479" i="1"/>
  <c r="E13480" i="1"/>
  <c r="E13481" i="1"/>
  <c r="E13482" i="1"/>
  <c r="E13483" i="1"/>
  <c r="E13484" i="1"/>
  <c r="E13485" i="1"/>
  <c r="E13486" i="1"/>
  <c r="E13487" i="1"/>
  <c r="E13488" i="1"/>
  <c r="E13489" i="1"/>
  <c r="E13490" i="1"/>
  <c r="E13491" i="1"/>
  <c r="E13492" i="1"/>
  <c r="E13493" i="1"/>
  <c r="E13494" i="1"/>
  <c r="E13495" i="1"/>
  <c r="E13496" i="1"/>
  <c r="E13497" i="1"/>
  <c r="E13498" i="1"/>
  <c r="E13499" i="1"/>
  <c r="E13500" i="1"/>
  <c r="E13501" i="1"/>
  <c r="E13502" i="1"/>
  <c r="E13503" i="1"/>
  <c r="E13504" i="1"/>
  <c r="E13505" i="1"/>
  <c r="E13506" i="1"/>
  <c r="E13507" i="1"/>
  <c r="E13508" i="1"/>
  <c r="E13509" i="1"/>
  <c r="E13510" i="1"/>
  <c r="E13511" i="1"/>
  <c r="E13512" i="1"/>
  <c r="E13513" i="1"/>
  <c r="E13514" i="1"/>
  <c r="E13515" i="1"/>
  <c r="E13516" i="1"/>
  <c r="E13517" i="1"/>
  <c r="E13518" i="1"/>
  <c r="E13519" i="1"/>
  <c r="E13520" i="1"/>
  <c r="E13521" i="1"/>
  <c r="E13522" i="1"/>
  <c r="E13523" i="1"/>
  <c r="E13524" i="1"/>
  <c r="E13525" i="1"/>
  <c r="E13526" i="1"/>
  <c r="E13527" i="1"/>
  <c r="E13528" i="1"/>
  <c r="E13529" i="1"/>
  <c r="E13530" i="1"/>
  <c r="E13531" i="1"/>
  <c r="E13532" i="1"/>
  <c r="E13533" i="1"/>
  <c r="E13534" i="1"/>
  <c r="E13535" i="1"/>
  <c r="E13536" i="1"/>
  <c r="E13537" i="1"/>
  <c r="E13538" i="1"/>
  <c r="E13539" i="1"/>
  <c r="E13540" i="1"/>
  <c r="E13541" i="1"/>
  <c r="E13542" i="1"/>
  <c r="E13543" i="1"/>
  <c r="E13544" i="1"/>
  <c r="E13545" i="1"/>
  <c r="E13546" i="1"/>
  <c r="E13547" i="1"/>
  <c r="E13548" i="1"/>
  <c r="E13549" i="1"/>
  <c r="E13550" i="1"/>
  <c r="E13551" i="1"/>
  <c r="E13552" i="1"/>
  <c r="E13553" i="1"/>
  <c r="E13554" i="1"/>
  <c r="E13555" i="1"/>
  <c r="E13556" i="1"/>
  <c r="E13557" i="1"/>
  <c r="E13558" i="1"/>
  <c r="E13559" i="1"/>
  <c r="E13560" i="1"/>
  <c r="E13561" i="1"/>
  <c r="E13562" i="1"/>
  <c r="E13563" i="1"/>
  <c r="E13564" i="1"/>
  <c r="E13565" i="1"/>
  <c r="E13566" i="1"/>
  <c r="E13567" i="1"/>
  <c r="E13568" i="1"/>
  <c r="E13569" i="1"/>
  <c r="E13570" i="1"/>
  <c r="E13571" i="1"/>
  <c r="E13572" i="1"/>
  <c r="E13573" i="1"/>
  <c r="E13574" i="1"/>
  <c r="E13575" i="1"/>
  <c r="E13576" i="1"/>
  <c r="E13577" i="1"/>
  <c r="E13578" i="1"/>
  <c r="E13579" i="1"/>
  <c r="E13580" i="1"/>
  <c r="E13581" i="1"/>
  <c r="E13582" i="1"/>
  <c r="E13583" i="1"/>
  <c r="E13584" i="1"/>
  <c r="E13585" i="1"/>
  <c r="E13586" i="1"/>
  <c r="E13587" i="1"/>
  <c r="E13588" i="1"/>
  <c r="E13589" i="1"/>
  <c r="E13590" i="1"/>
  <c r="E13591" i="1"/>
  <c r="E13592" i="1"/>
  <c r="E13593" i="1"/>
  <c r="E13594" i="1"/>
  <c r="E13595" i="1"/>
  <c r="E13596" i="1"/>
  <c r="E13597" i="1"/>
  <c r="E13598" i="1"/>
  <c r="E13599" i="1"/>
  <c r="E13600" i="1"/>
  <c r="E13601" i="1"/>
  <c r="E13602" i="1"/>
  <c r="E13603" i="1"/>
  <c r="E13604" i="1"/>
  <c r="E13605" i="1"/>
  <c r="E13606" i="1"/>
  <c r="E13607" i="1"/>
  <c r="E13608" i="1"/>
  <c r="E13609" i="1"/>
  <c r="E13610" i="1"/>
  <c r="E13611" i="1"/>
  <c r="E13612" i="1"/>
  <c r="E13613" i="1"/>
  <c r="E13614" i="1"/>
  <c r="E13615" i="1"/>
  <c r="E13616" i="1"/>
  <c r="E13617" i="1"/>
  <c r="E13618" i="1"/>
  <c r="E13619" i="1"/>
  <c r="E13620" i="1"/>
  <c r="E13621" i="1"/>
  <c r="E13622" i="1"/>
  <c r="E13623" i="1"/>
  <c r="E13624" i="1"/>
  <c r="E13625" i="1"/>
  <c r="E13626" i="1"/>
  <c r="E13627" i="1"/>
  <c r="E13628" i="1"/>
  <c r="E13629" i="1"/>
  <c r="E13630" i="1"/>
  <c r="E13631" i="1"/>
  <c r="E13632" i="1"/>
  <c r="E13633" i="1"/>
  <c r="E13634" i="1"/>
  <c r="E13635" i="1"/>
  <c r="E13636" i="1"/>
  <c r="E13637" i="1"/>
  <c r="E13638" i="1"/>
  <c r="E13639" i="1"/>
  <c r="E13640" i="1"/>
  <c r="E13641" i="1"/>
  <c r="E13642" i="1"/>
  <c r="E13643" i="1"/>
  <c r="E13644" i="1"/>
  <c r="E13645" i="1"/>
  <c r="E13646" i="1"/>
  <c r="E13647" i="1"/>
  <c r="E13648" i="1"/>
  <c r="E13649" i="1"/>
  <c r="E13650" i="1"/>
  <c r="E13651" i="1"/>
  <c r="E13652" i="1"/>
  <c r="E13653" i="1"/>
  <c r="E13654" i="1"/>
  <c r="E13655" i="1"/>
  <c r="E13656" i="1"/>
  <c r="E13657" i="1"/>
  <c r="E13658" i="1"/>
  <c r="E13659" i="1"/>
  <c r="E13660" i="1"/>
  <c r="E13661" i="1"/>
  <c r="E13662" i="1"/>
  <c r="E13663" i="1"/>
  <c r="E13664" i="1"/>
  <c r="E13665" i="1"/>
  <c r="E13666" i="1"/>
  <c r="E13667" i="1"/>
  <c r="E13668" i="1"/>
  <c r="E13669" i="1"/>
  <c r="E13670" i="1"/>
  <c r="E13671" i="1"/>
  <c r="E13672" i="1"/>
  <c r="E13673" i="1"/>
  <c r="E13674" i="1"/>
  <c r="E13675" i="1"/>
  <c r="E13676" i="1"/>
  <c r="E13677" i="1"/>
  <c r="E13678" i="1"/>
  <c r="E13679" i="1"/>
  <c r="E13680" i="1"/>
  <c r="E13681" i="1"/>
  <c r="E13682" i="1"/>
  <c r="E13683" i="1"/>
  <c r="E13684" i="1"/>
  <c r="E13685" i="1"/>
  <c r="E13686" i="1"/>
  <c r="E13687" i="1"/>
  <c r="E13688" i="1"/>
  <c r="E13689" i="1"/>
  <c r="E13690" i="1"/>
  <c r="E13691" i="1"/>
  <c r="E13692" i="1"/>
  <c r="E13693" i="1"/>
  <c r="E13694" i="1"/>
  <c r="E13695" i="1"/>
  <c r="E13696" i="1"/>
  <c r="E13697" i="1"/>
  <c r="E13698" i="1"/>
  <c r="E13699" i="1"/>
  <c r="E13700" i="1"/>
  <c r="E13701" i="1"/>
  <c r="E13702" i="1"/>
  <c r="E13703" i="1"/>
  <c r="E13704" i="1"/>
  <c r="E13705" i="1"/>
  <c r="E13706" i="1"/>
  <c r="E13707" i="1"/>
  <c r="E13708" i="1"/>
  <c r="E13709" i="1"/>
  <c r="E13710" i="1"/>
  <c r="E13711" i="1"/>
  <c r="E13712" i="1"/>
  <c r="E13713" i="1"/>
  <c r="E13714" i="1"/>
  <c r="E13715" i="1"/>
  <c r="E13716" i="1"/>
  <c r="E13717" i="1"/>
  <c r="E13718" i="1"/>
  <c r="E13719" i="1"/>
  <c r="E13720" i="1"/>
  <c r="E13721" i="1"/>
  <c r="E13722" i="1"/>
  <c r="E13723" i="1"/>
  <c r="E13724" i="1"/>
  <c r="E13726" i="1"/>
  <c r="E13727" i="1"/>
  <c r="E13728" i="1"/>
  <c r="E13729" i="1"/>
  <c r="E13730" i="1"/>
  <c r="E13731" i="1"/>
  <c r="E13732" i="1"/>
  <c r="E13733" i="1"/>
  <c r="E13734" i="1"/>
  <c r="E13735" i="1"/>
  <c r="E13736" i="1"/>
  <c r="E13737" i="1"/>
  <c r="E13738" i="1"/>
  <c r="E13739" i="1"/>
  <c r="E13740" i="1"/>
  <c r="E13741" i="1"/>
  <c r="E13742" i="1"/>
  <c r="E13743" i="1"/>
  <c r="E13744" i="1"/>
  <c r="E13745" i="1"/>
  <c r="E13746" i="1"/>
  <c r="E13747" i="1"/>
  <c r="E13748" i="1"/>
  <c r="E13749" i="1"/>
  <c r="E13750" i="1"/>
  <c r="E13751" i="1"/>
  <c r="E13752" i="1"/>
  <c r="E13753" i="1"/>
  <c r="E13754" i="1"/>
  <c r="E13755" i="1"/>
  <c r="E13756" i="1"/>
  <c r="E13757" i="1"/>
  <c r="E13758" i="1"/>
  <c r="E13759" i="1"/>
  <c r="E13760" i="1"/>
  <c r="E13761" i="1"/>
  <c r="E13762" i="1"/>
  <c r="E13763" i="1"/>
  <c r="E13764" i="1"/>
  <c r="E13765" i="1"/>
  <c r="E13766" i="1"/>
  <c r="E13767" i="1"/>
  <c r="E13768" i="1"/>
  <c r="E13769" i="1"/>
  <c r="E13770" i="1"/>
  <c r="E13771" i="1"/>
  <c r="E13772" i="1"/>
  <c r="E13773" i="1"/>
  <c r="E13774" i="1"/>
  <c r="E13775" i="1"/>
  <c r="E13776" i="1"/>
  <c r="E13777" i="1"/>
  <c r="E13778" i="1"/>
  <c r="E13779" i="1"/>
  <c r="E13780" i="1"/>
  <c r="E13781" i="1"/>
  <c r="E13782" i="1"/>
  <c r="E13783" i="1"/>
  <c r="E13784" i="1"/>
  <c r="E13785" i="1"/>
  <c r="E13786" i="1"/>
  <c r="E13787" i="1"/>
  <c r="E13788" i="1"/>
  <c r="E13789" i="1"/>
  <c r="E13790" i="1"/>
  <c r="E13791" i="1"/>
  <c r="E13792" i="1"/>
  <c r="E13793" i="1"/>
  <c r="E13794" i="1"/>
  <c r="E13795" i="1"/>
  <c r="E13796" i="1"/>
  <c r="E13797" i="1"/>
  <c r="E13798" i="1"/>
  <c r="E13799" i="1"/>
  <c r="E13800" i="1"/>
  <c r="E13801" i="1"/>
  <c r="E13802" i="1"/>
  <c r="E13803" i="1"/>
  <c r="E13804" i="1"/>
  <c r="E13805" i="1"/>
  <c r="E13806" i="1"/>
  <c r="E13807" i="1"/>
  <c r="E13808" i="1"/>
  <c r="E13809" i="1"/>
  <c r="E13810" i="1"/>
  <c r="E13811" i="1"/>
  <c r="E13812" i="1"/>
  <c r="E13813" i="1"/>
  <c r="E13814" i="1"/>
  <c r="E13815" i="1"/>
  <c r="E13816" i="1"/>
  <c r="E13817" i="1"/>
  <c r="E13818" i="1"/>
  <c r="E13819" i="1"/>
  <c r="E13820" i="1"/>
  <c r="E13821" i="1"/>
  <c r="E13822" i="1"/>
  <c r="E13823" i="1"/>
  <c r="E13824" i="1"/>
  <c r="E13825" i="1"/>
  <c r="E13826" i="1"/>
  <c r="E13827" i="1"/>
  <c r="E13828" i="1"/>
  <c r="E13829" i="1"/>
  <c r="E13830" i="1"/>
  <c r="E13831" i="1"/>
  <c r="E13832" i="1"/>
  <c r="E13833" i="1"/>
  <c r="E13834" i="1"/>
  <c r="E13835" i="1"/>
  <c r="E13836" i="1"/>
  <c r="E13837" i="1"/>
  <c r="E13838" i="1"/>
  <c r="E13839" i="1"/>
  <c r="E13840" i="1"/>
  <c r="E13841" i="1"/>
  <c r="E13842" i="1"/>
  <c r="E13843" i="1"/>
  <c r="E13844" i="1"/>
  <c r="E13845" i="1"/>
  <c r="E13846" i="1"/>
  <c r="E13847" i="1"/>
  <c r="E13848" i="1"/>
  <c r="E13849" i="1"/>
  <c r="E13850" i="1"/>
  <c r="E13851" i="1"/>
  <c r="E13852" i="1"/>
  <c r="E13853" i="1"/>
  <c r="E13854" i="1"/>
  <c r="E13855" i="1"/>
  <c r="E13856" i="1"/>
  <c r="E13857" i="1"/>
  <c r="E13858" i="1"/>
  <c r="E13859" i="1"/>
  <c r="E13860" i="1"/>
  <c r="E13861" i="1"/>
  <c r="E13862" i="1"/>
  <c r="E13863" i="1"/>
  <c r="E13864" i="1"/>
  <c r="E13865" i="1"/>
  <c r="E13866" i="1"/>
  <c r="E13867" i="1"/>
  <c r="E13868" i="1"/>
  <c r="E13869" i="1"/>
  <c r="E13870" i="1"/>
  <c r="E13871" i="1"/>
  <c r="E13872" i="1"/>
  <c r="E13873" i="1"/>
  <c r="E13874" i="1"/>
  <c r="E13875" i="1"/>
  <c r="E13876" i="1"/>
  <c r="E13877" i="1"/>
  <c r="E13878" i="1"/>
  <c r="E13879" i="1"/>
  <c r="E13880" i="1"/>
  <c r="E13881" i="1"/>
  <c r="E13882" i="1"/>
  <c r="E13883" i="1"/>
  <c r="E13884" i="1"/>
  <c r="E13885" i="1"/>
  <c r="E13886" i="1"/>
  <c r="E13887" i="1"/>
  <c r="E13888" i="1"/>
  <c r="E13889" i="1"/>
  <c r="E13890" i="1"/>
  <c r="E13891" i="1"/>
  <c r="E13892" i="1"/>
  <c r="E13893" i="1"/>
  <c r="E13894" i="1"/>
  <c r="E13895" i="1"/>
  <c r="E13896" i="1"/>
  <c r="E13897" i="1"/>
  <c r="E13898" i="1"/>
  <c r="E13899" i="1"/>
  <c r="E13901" i="1"/>
  <c r="E13902" i="1"/>
  <c r="E13903" i="1"/>
  <c r="E13904" i="1"/>
  <c r="E13905" i="1"/>
  <c r="E13906" i="1"/>
  <c r="E13907" i="1"/>
  <c r="E13908" i="1"/>
  <c r="E13909" i="1"/>
  <c r="E13910" i="1"/>
  <c r="E13911" i="1"/>
  <c r="E13912" i="1"/>
  <c r="E13913" i="1"/>
  <c r="E13914" i="1"/>
  <c r="E13915" i="1"/>
  <c r="E13916" i="1"/>
  <c r="E13917" i="1"/>
  <c r="E13918" i="1"/>
  <c r="E13919" i="1"/>
  <c r="E13920" i="1"/>
  <c r="E13921" i="1"/>
  <c r="E13922" i="1"/>
  <c r="E13923" i="1"/>
  <c r="E13924" i="1"/>
  <c r="E13925" i="1"/>
  <c r="E13926" i="1"/>
  <c r="E13927" i="1"/>
  <c r="E13928" i="1"/>
  <c r="E13929" i="1"/>
  <c r="E13930" i="1"/>
  <c r="E13931" i="1"/>
  <c r="E13932" i="1"/>
  <c r="E13933" i="1"/>
  <c r="E13934" i="1"/>
  <c r="E13935" i="1"/>
  <c r="E13936" i="1"/>
  <c r="E13937" i="1"/>
  <c r="E13938" i="1"/>
  <c r="E13939" i="1"/>
  <c r="E13940" i="1"/>
  <c r="E13941" i="1"/>
  <c r="E13942" i="1"/>
  <c r="E13943" i="1"/>
  <c r="E13944" i="1"/>
  <c r="E13945" i="1"/>
  <c r="E13946" i="1"/>
  <c r="E13947" i="1"/>
  <c r="E13948" i="1"/>
  <c r="E13949" i="1"/>
  <c r="E13950" i="1"/>
  <c r="E13951" i="1"/>
  <c r="E13952" i="1"/>
  <c r="E13953" i="1"/>
  <c r="E13954" i="1"/>
  <c r="E13955" i="1"/>
  <c r="E13956" i="1"/>
  <c r="E13957" i="1"/>
  <c r="E13958" i="1"/>
  <c r="E13959" i="1"/>
  <c r="E13960" i="1"/>
  <c r="E13961" i="1"/>
  <c r="E13962" i="1"/>
  <c r="E13963" i="1"/>
  <c r="E13964" i="1"/>
  <c r="E13965" i="1"/>
  <c r="E13966" i="1"/>
  <c r="E13967" i="1"/>
  <c r="E13968" i="1"/>
  <c r="E13969" i="1"/>
  <c r="E13970" i="1"/>
  <c r="E13971" i="1"/>
  <c r="E13972" i="1"/>
  <c r="E13973" i="1"/>
  <c r="E13974" i="1"/>
  <c r="E13975" i="1"/>
  <c r="E13976" i="1"/>
  <c r="E13977" i="1"/>
  <c r="E13978" i="1"/>
  <c r="E13979" i="1"/>
  <c r="E13980" i="1"/>
  <c r="E13981" i="1"/>
  <c r="E13982" i="1"/>
  <c r="E13983" i="1"/>
  <c r="E13984" i="1"/>
  <c r="E13985" i="1"/>
  <c r="E13986" i="1"/>
  <c r="E13987" i="1"/>
  <c r="E13988" i="1"/>
  <c r="E13989" i="1"/>
  <c r="E13990" i="1"/>
  <c r="E13991" i="1"/>
  <c r="E13992" i="1"/>
  <c r="E13993" i="1"/>
  <c r="E13994" i="1"/>
  <c r="E13995" i="1"/>
  <c r="E13996" i="1"/>
  <c r="E13997" i="1"/>
  <c r="E13998" i="1"/>
  <c r="E13999" i="1"/>
  <c r="E14000" i="1"/>
  <c r="E14001" i="1"/>
  <c r="E14002" i="1"/>
  <c r="E14003" i="1"/>
  <c r="E14004" i="1"/>
  <c r="E14005" i="1"/>
  <c r="E14006" i="1"/>
  <c r="E14007" i="1"/>
  <c r="E14008" i="1"/>
  <c r="E14009" i="1"/>
  <c r="E14010" i="1"/>
  <c r="E14011" i="1"/>
  <c r="E14012" i="1"/>
  <c r="E14013" i="1"/>
  <c r="E14014" i="1"/>
  <c r="E14015" i="1"/>
  <c r="E14016" i="1"/>
  <c r="E14017" i="1"/>
  <c r="E14018" i="1"/>
  <c r="E14019" i="1"/>
  <c r="E14020" i="1"/>
  <c r="E14021" i="1"/>
  <c r="E14022" i="1"/>
  <c r="E14023" i="1"/>
  <c r="E14024" i="1"/>
  <c r="E14025" i="1"/>
  <c r="E14026" i="1"/>
  <c r="E14027" i="1"/>
  <c r="E14028" i="1"/>
  <c r="E14029" i="1"/>
  <c r="E14030" i="1"/>
  <c r="E14031" i="1"/>
  <c r="E14032" i="1"/>
  <c r="E14033" i="1"/>
  <c r="E14034" i="1"/>
  <c r="E14035" i="1"/>
  <c r="E14036" i="1"/>
  <c r="E14037" i="1"/>
  <c r="E14038" i="1"/>
  <c r="E14039" i="1"/>
  <c r="E14040" i="1"/>
  <c r="E14041" i="1"/>
  <c r="E14042" i="1"/>
  <c r="E14043" i="1"/>
  <c r="E14044" i="1"/>
  <c r="E14045" i="1"/>
  <c r="E14046" i="1"/>
  <c r="E14047" i="1"/>
  <c r="E14048" i="1"/>
  <c r="E14049" i="1"/>
  <c r="E14050" i="1"/>
  <c r="E14051" i="1"/>
  <c r="E14052" i="1"/>
  <c r="E14053" i="1"/>
  <c r="E14054" i="1"/>
  <c r="E14055" i="1"/>
  <c r="E14056" i="1"/>
  <c r="E14057" i="1"/>
  <c r="E14058" i="1"/>
  <c r="E14059" i="1"/>
  <c r="E14060" i="1"/>
  <c r="E14061" i="1"/>
  <c r="E14062" i="1"/>
  <c r="E14063" i="1"/>
  <c r="E14064" i="1"/>
  <c r="E14065" i="1"/>
  <c r="E14066" i="1"/>
  <c r="E14067" i="1"/>
  <c r="E14068" i="1"/>
  <c r="E14069" i="1"/>
  <c r="E14070" i="1"/>
  <c r="E14071" i="1"/>
  <c r="E14072" i="1"/>
  <c r="E14073" i="1"/>
  <c r="E14074" i="1"/>
  <c r="E14076" i="1"/>
  <c r="E14077" i="1"/>
  <c r="E14078" i="1"/>
  <c r="E14079" i="1"/>
  <c r="E14080" i="1"/>
  <c r="E14081" i="1"/>
  <c r="E14082" i="1"/>
  <c r="E14083" i="1"/>
  <c r="E14084" i="1"/>
  <c r="E14085" i="1"/>
  <c r="E14086" i="1"/>
  <c r="E14087" i="1"/>
  <c r="E14088" i="1"/>
  <c r="E14089" i="1"/>
  <c r="E14090" i="1"/>
  <c r="E14091" i="1"/>
  <c r="E14092" i="1"/>
  <c r="E14093" i="1"/>
  <c r="E14094" i="1"/>
  <c r="E14095" i="1"/>
  <c r="E14096" i="1"/>
  <c r="E14097" i="1"/>
  <c r="E14098" i="1"/>
  <c r="E14099" i="1"/>
  <c r="E14100" i="1"/>
  <c r="E14101" i="1"/>
  <c r="E14102" i="1"/>
  <c r="E14103" i="1"/>
  <c r="E14104" i="1"/>
  <c r="E14105" i="1"/>
  <c r="E14106" i="1"/>
  <c r="E14107" i="1"/>
  <c r="E14108" i="1"/>
  <c r="E14109" i="1"/>
  <c r="E14110" i="1"/>
  <c r="E14111" i="1"/>
  <c r="E14112" i="1"/>
  <c r="E14113" i="1"/>
  <c r="E14114" i="1"/>
  <c r="E14115" i="1"/>
  <c r="E14116" i="1"/>
  <c r="E14117" i="1"/>
  <c r="E14118" i="1"/>
  <c r="E14119" i="1"/>
  <c r="E14120" i="1"/>
  <c r="E14121" i="1"/>
  <c r="E14122" i="1"/>
  <c r="E14123" i="1"/>
  <c r="E14124" i="1"/>
  <c r="E14125" i="1"/>
  <c r="E14126" i="1"/>
  <c r="E14127" i="1"/>
  <c r="E14128" i="1"/>
  <c r="E14129" i="1"/>
  <c r="E14130" i="1"/>
  <c r="E14131" i="1"/>
  <c r="E14132" i="1"/>
  <c r="E14133" i="1"/>
  <c r="E14134" i="1"/>
  <c r="E14135" i="1"/>
  <c r="E14136" i="1"/>
  <c r="E14137" i="1"/>
  <c r="E14138" i="1"/>
  <c r="E14139" i="1"/>
  <c r="E14140" i="1"/>
  <c r="E14141" i="1"/>
  <c r="E14142" i="1"/>
  <c r="E14143" i="1"/>
  <c r="E14144" i="1"/>
  <c r="E14145" i="1"/>
  <c r="E14146" i="1"/>
  <c r="E14147" i="1"/>
  <c r="E14148" i="1"/>
  <c r="E14149" i="1"/>
  <c r="E14150" i="1"/>
  <c r="E14151" i="1"/>
  <c r="E14152" i="1"/>
  <c r="E14153" i="1"/>
  <c r="E14154" i="1"/>
  <c r="E14155" i="1"/>
  <c r="E14156" i="1"/>
  <c r="E14157" i="1"/>
  <c r="E14158" i="1"/>
  <c r="E14159" i="1"/>
  <c r="E14160" i="1"/>
  <c r="E14161" i="1"/>
  <c r="E14162" i="1"/>
  <c r="E14163" i="1"/>
  <c r="E14164" i="1"/>
  <c r="E14165" i="1"/>
  <c r="E14166" i="1"/>
  <c r="E14167" i="1"/>
  <c r="E14168" i="1"/>
  <c r="E14169" i="1"/>
  <c r="E14170" i="1"/>
  <c r="E14171" i="1"/>
  <c r="E14172" i="1"/>
  <c r="E14173" i="1"/>
  <c r="E14174" i="1"/>
  <c r="E14175" i="1"/>
  <c r="E14176" i="1"/>
  <c r="E14177" i="1"/>
  <c r="E14178" i="1"/>
  <c r="E14179" i="1"/>
  <c r="E14180" i="1"/>
  <c r="E14181" i="1"/>
  <c r="E14182" i="1"/>
  <c r="E14183" i="1"/>
  <c r="E14184" i="1"/>
  <c r="E14185" i="1"/>
  <c r="E14186" i="1"/>
  <c r="E14187" i="1"/>
  <c r="E14188" i="1"/>
  <c r="E14189" i="1"/>
  <c r="E14190" i="1"/>
  <c r="E14191" i="1"/>
  <c r="E14192" i="1"/>
  <c r="E14193" i="1"/>
  <c r="E14194" i="1"/>
  <c r="E14195" i="1"/>
  <c r="E14196" i="1"/>
  <c r="E14197" i="1"/>
  <c r="E14198" i="1"/>
  <c r="E14199" i="1"/>
  <c r="E14200" i="1"/>
  <c r="E14201" i="1"/>
  <c r="E14202" i="1"/>
  <c r="E14203" i="1"/>
  <c r="E14204" i="1"/>
  <c r="E14205" i="1"/>
  <c r="E14206" i="1"/>
  <c r="E14207" i="1"/>
  <c r="E14208" i="1"/>
  <c r="E14209" i="1"/>
  <c r="E14210" i="1"/>
  <c r="E14211" i="1"/>
  <c r="E14212" i="1"/>
  <c r="E14213" i="1"/>
  <c r="E14214" i="1"/>
  <c r="E14215" i="1"/>
  <c r="E14217" i="1"/>
  <c r="E14218" i="1"/>
  <c r="E14219" i="1"/>
  <c r="E14220" i="1"/>
  <c r="E14221" i="1"/>
  <c r="E14222" i="1"/>
  <c r="E14223" i="1"/>
  <c r="E14224" i="1"/>
  <c r="E14225" i="1"/>
  <c r="E14226" i="1"/>
  <c r="E14227" i="1"/>
  <c r="E14228" i="1"/>
  <c r="E14229" i="1"/>
  <c r="E14230" i="1"/>
  <c r="E14231" i="1"/>
  <c r="E14232" i="1"/>
  <c r="E14233" i="1"/>
  <c r="E14234" i="1"/>
  <c r="E14235" i="1"/>
  <c r="E14236" i="1"/>
  <c r="E14237" i="1"/>
  <c r="E14238" i="1"/>
  <c r="E14239" i="1"/>
  <c r="E14240" i="1"/>
  <c r="E14241" i="1"/>
  <c r="E14242" i="1"/>
  <c r="E14243" i="1"/>
  <c r="E14244" i="1"/>
  <c r="E14245" i="1"/>
  <c r="E14246" i="1"/>
  <c r="E14247" i="1"/>
  <c r="E14248" i="1"/>
  <c r="E14249" i="1"/>
  <c r="E14250" i="1"/>
  <c r="E14251" i="1"/>
  <c r="E14252" i="1"/>
  <c r="E14253" i="1"/>
  <c r="E14254" i="1"/>
  <c r="E14255" i="1"/>
  <c r="E14256" i="1"/>
  <c r="E14257" i="1"/>
  <c r="E14258" i="1"/>
  <c r="E14259" i="1"/>
  <c r="E14260" i="1"/>
  <c r="E14261" i="1"/>
  <c r="E14262" i="1"/>
  <c r="E14263" i="1"/>
  <c r="E14264" i="1"/>
  <c r="E14265" i="1"/>
  <c r="E14266" i="1"/>
  <c r="E14267" i="1"/>
  <c r="E14268" i="1"/>
  <c r="E14269" i="1"/>
  <c r="E14270" i="1"/>
  <c r="E14271" i="1"/>
  <c r="E14272" i="1"/>
  <c r="E14273" i="1"/>
  <c r="E14274" i="1"/>
  <c r="E14275" i="1"/>
  <c r="E14276" i="1"/>
  <c r="E14277" i="1"/>
  <c r="E14278" i="1"/>
  <c r="E14279" i="1"/>
  <c r="E14280" i="1"/>
  <c r="E14281" i="1"/>
  <c r="E14282" i="1"/>
  <c r="E14283" i="1"/>
  <c r="E14284" i="1"/>
  <c r="E14285" i="1"/>
  <c r="E14286" i="1"/>
  <c r="E14287" i="1"/>
  <c r="E14288" i="1"/>
  <c r="E14289" i="1"/>
  <c r="E14290" i="1"/>
  <c r="E14291" i="1"/>
  <c r="E14292" i="1"/>
  <c r="E14293" i="1"/>
  <c r="E14294" i="1"/>
  <c r="E14295" i="1"/>
  <c r="E14296" i="1"/>
  <c r="E14297" i="1"/>
  <c r="E14298" i="1"/>
  <c r="E14299" i="1"/>
  <c r="E14300" i="1"/>
  <c r="E14301" i="1"/>
  <c r="E14302" i="1"/>
  <c r="E14303" i="1"/>
  <c r="E14304" i="1"/>
  <c r="E14305" i="1"/>
  <c r="E14306" i="1"/>
  <c r="E14307" i="1"/>
  <c r="E14308" i="1"/>
  <c r="E14309" i="1"/>
  <c r="E14310" i="1"/>
  <c r="E14311" i="1"/>
  <c r="E14312" i="1"/>
  <c r="E14313" i="1"/>
  <c r="E14314" i="1"/>
  <c r="E14315" i="1"/>
  <c r="E14316" i="1"/>
  <c r="E14317" i="1"/>
  <c r="E14318" i="1"/>
  <c r="E14319" i="1"/>
  <c r="E14320" i="1"/>
  <c r="E14321" i="1"/>
  <c r="E14322" i="1"/>
  <c r="E14323" i="1"/>
  <c r="E14324" i="1"/>
  <c r="E14325" i="1"/>
  <c r="E14326" i="1"/>
  <c r="E14327" i="1"/>
  <c r="E14328" i="1"/>
  <c r="E14329" i="1"/>
  <c r="E14330" i="1"/>
  <c r="E14331" i="1"/>
  <c r="E14332" i="1"/>
  <c r="E14333" i="1"/>
  <c r="E14334" i="1"/>
  <c r="E14335" i="1"/>
  <c r="E14336" i="1"/>
  <c r="E14337" i="1"/>
  <c r="E14338" i="1"/>
  <c r="E14339" i="1"/>
  <c r="E14340" i="1"/>
  <c r="E14341" i="1"/>
  <c r="E14342" i="1"/>
  <c r="E14343" i="1"/>
  <c r="E14344" i="1"/>
  <c r="E14345" i="1"/>
  <c r="E14346" i="1"/>
  <c r="E14347" i="1"/>
  <c r="E14348" i="1"/>
  <c r="E14349" i="1"/>
  <c r="E14350" i="1"/>
  <c r="E14351" i="1"/>
  <c r="E14352" i="1"/>
  <c r="E14353" i="1"/>
  <c r="E14354" i="1"/>
  <c r="E14355" i="1"/>
  <c r="E14356" i="1"/>
  <c r="E14357" i="1"/>
  <c r="E14358" i="1"/>
  <c r="E14359" i="1"/>
  <c r="E14360" i="1"/>
  <c r="E14361" i="1"/>
  <c r="E14362" i="1"/>
  <c r="E14363" i="1"/>
  <c r="E14364" i="1"/>
  <c r="E14365" i="1"/>
  <c r="E14366" i="1"/>
  <c r="E14367" i="1"/>
  <c r="E14368" i="1"/>
  <c r="E14369" i="1"/>
  <c r="E14370" i="1"/>
  <c r="E14371" i="1"/>
  <c r="E14372" i="1"/>
  <c r="E14373" i="1"/>
  <c r="E14374" i="1"/>
  <c r="E14375" i="1"/>
  <c r="E14376" i="1"/>
  <c r="E14377" i="1"/>
  <c r="E14378" i="1"/>
  <c r="E14379" i="1"/>
  <c r="E14380" i="1"/>
  <c r="E14381" i="1"/>
  <c r="E14382" i="1"/>
  <c r="E14383" i="1"/>
  <c r="E14384" i="1"/>
  <c r="E14385" i="1"/>
  <c r="E14386" i="1"/>
  <c r="E14387" i="1"/>
  <c r="E14388" i="1"/>
  <c r="E14389" i="1"/>
  <c r="E14390" i="1"/>
  <c r="E14391" i="1"/>
  <c r="E14392" i="1"/>
  <c r="E14393" i="1"/>
  <c r="E14394" i="1"/>
  <c r="E14395" i="1"/>
  <c r="E14396" i="1"/>
  <c r="E14397" i="1"/>
  <c r="E14398" i="1"/>
  <c r="E14399" i="1"/>
  <c r="E14400" i="1"/>
  <c r="E14401" i="1"/>
  <c r="E14402" i="1"/>
  <c r="E14403" i="1"/>
  <c r="E14404" i="1"/>
  <c r="E14405" i="1"/>
  <c r="E14406" i="1"/>
  <c r="E14407" i="1"/>
  <c r="E14408" i="1"/>
  <c r="E14409" i="1"/>
  <c r="E14410" i="1"/>
  <c r="E14411" i="1"/>
  <c r="E14412" i="1"/>
  <c r="E14413" i="1"/>
  <c r="E14414" i="1"/>
  <c r="E14415" i="1"/>
  <c r="E14416" i="1"/>
  <c r="E14417" i="1"/>
  <c r="E14418" i="1"/>
  <c r="E14419" i="1"/>
  <c r="E14420" i="1"/>
  <c r="E14421" i="1"/>
  <c r="E14422" i="1"/>
  <c r="E14423" i="1"/>
  <c r="E14424" i="1"/>
  <c r="E14425" i="1"/>
  <c r="E14426" i="1"/>
  <c r="E14427" i="1"/>
  <c r="E14428" i="1"/>
  <c r="E14429" i="1"/>
  <c r="E14430" i="1"/>
  <c r="E14431" i="1"/>
  <c r="E14432" i="1"/>
  <c r="E14433" i="1"/>
  <c r="E14434" i="1"/>
  <c r="E14435" i="1"/>
  <c r="E14436" i="1"/>
  <c r="E14437" i="1"/>
  <c r="E14438" i="1"/>
  <c r="E14439" i="1"/>
  <c r="E14440" i="1"/>
  <c r="E14441" i="1"/>
  <c r="E14442" i="1"/>
  <c r="E14443" i="1"/>
  <c r="E14444" i="1"/>
  <c r="E14445" i="1"/>
  <c r="E14446" i="1"/>
  <c r="E14447" i="1"/>
  <c r="E14448" i="1"/>
  <c r="E14449" i="1"/>
  <c r="E14450" i="1"/>
  <c r="E14451" i="1"/>
  <c r="E14452" i="1"/>
  <c r="E14453" i="1"/>
  <c r="E14454" i="1"/>
  <c r="E14455" i="1"/>
  <c r="E14456" i="1"/>
  <c r="E14457" i="1"/>
  <c r="E14458" i="1"/>
  <c r="E14459" i="1"/>
  <c r="E14460" i="1"/>
  <c r="E14461" i="1"/>
  <c r="E14462" i="1"/>
  <c r="E14463" i="1"/>
  <c r="E14464" i="1"/>
  <c r="E14465" i="1"/>
  <c r="E14466" i="1"/>
  <c r="E14467" i="1"/>
  <c r="E14468" i="1"/>
  <c r="E14469" i="1"/>
  <c r="E14470" i="1"/>
  <c r="E14471" i="1"/>
  <c r="E14472" i="1"/>
  <c r="E14473" i="1"/>
  <c r="E14474" i="1"/>
  <c r="E14475" i="1"/>
  <c r="E14476" i="1"/>
  <c r="E14477" i="1"/>
  <c r="E14478" i="1"/>
  <c r="E14479" i="1"/>
  <c r="E14480" i="1"/>
  <c r="E14481" i="1"/>
  <c r="E14482" i="1"/>
  <c r="E14483" i="1"/>
  <c r="E14484" i="1"/>
  <c r="E14485" i="1"/>
  <c r="E14486" i="1"/>
  <c r="E14487" i="1"/>
  <c r="E14488" i="1"/>
  <c r="E14489" i="1"/>
  <c r="E14490" i="1"/>
  <c r="E14491" i="1"/>
  <c r="E14492" i="1"/>
  <c r="E14493" i="1"/>
  <c r="E14494" i="1"/>
  <c r="E14495" i="1"/>
  <c r="E14496" i="1"/>
  <c r="E14497" i="1"/>
  <c r="E14498" i="1"/>
  <c r="E14499" i="1"/>
  <c r="E14500" i="1"/>
  <c r="E14501" i="1"/>
  <c r="E14502" i="1"/>
  <c r="E14503" i="1"/>
  <c r="E14504" i="1"/>
  <c r="E14505" i="1"/>
  <c r="E14506" i="1"/>
  <c r="E14508" i="1"/>
  <c r="E14509" i="1"/>
  <c r="E14510" i="1"/>
  <c r="E14511" i="1"/>
  <c r="E14512" i="1"/>
  <c r="E14513" i="1"/>
  <c r="E14514" i="1"/>
  <c r="E14515" i="1"/>
  <c r="E14516" i="1"/>
  <c r="E14517" i="1"/>
  <c r="E14518" i="1"/>
  <c r="E14519" i="1"/>
  <c r="E14520" i="1"/>
  <c r="E14521" i="1"/>
  <c r="E14522" i="1"/>
  <c r="E14523" i="1"/>
  <c r="E14524" i="1"/>
  <c r="E14525" i="1"/>
  <c r="E14526" i="1"/>
  <c r="E14527" i="1"/>
  <c r="E14528" i="1"/>
  <c r="E14529" i="1"/>
  <c r="E14530" i="1"/>
  <c r="E14531" i="1"/>
  <c r="E14532" i="1"/>
  <c r="E14533" i="1"/>
  <c r="E14534" i="1"/>
  <c r="E14535" i="1"/>
  <c r="E14536" i="1"/>
  <c r="E14537" i="1"/>
  <c r="E14538" i="1"/>
  <c r="E14539" i="1"/>
  <c r="E14540" i="1"/>
  <c r="E14541" i="1"/>
  <c r="E14542" i="1"/>
  <c r="E14543" i="1"/>
  <c r="E14544" i="1"/>
  <c r="E14545" i="1"/>
  <c r="E14546" i="1"/>
  <c r="E14547" i="1"/>
  <c r="E14548" i="1"/>
  <c r="E14549" i="1"/>
  <c r="E14550" i="1"/>
  <c r="E14551" i="1"/>
  <c r="E14552" i="1"/>
  <c r="E14553" i="1"/>
  <c r="E14554" i="1"/>
  <c r="E14555" i="1"/>
  <c r="E14556" i="1"/>
  <c r="E14557" i="1"/>
  <c r="E14558" i="1"/>
  <c r="E14559" i="1"/>
  <c r="E14560" i="1"/>
  <c r="E14561" i="1"/>
  <c r="E14562" i="1"/>
  <c r="E14563" i="1"/>
  <c r="E14564" i="1"/>
  <c r="E14565" i="1"/>
  <c r="E14566" i="1"/>
  <c r="E14567" i="1"/>
  <c r="E14568" i="1"/>
  <c r="E14569" i="1"/>
  <c r="E14570" i="1"/>
  <c r="E14571" i="1"/>
  <c r="E14572" i="1"/>
  <c r="E14573" i="1"/>
  <c r="E14574" i="1"/>
  <c r="E14575" i="1"/>
  <c r="E14576" i="1"/>
  <c r="E14577" i="1"/>
  <c r="E14578" i="1"/>
  <c r="E14579" i="1"/>
  <c r="E14580" i="1"/>
  <c r="E14581" i="1"/>
  <c r="E14582" i="1"/>
  <c r="E14583" i="1"/>
  <c r="E14584" i="1"/>
  <c r="E14585" i="1"/>
  <c r="E14586" i="1"/>
  <c r="E14587" i="1"/>
  <c r="E14588" i="1"/>
  <c r="E14589" i="1"/>
  <c r="E14590" i="1"/>
  <c r="E14591" i="1"/>
  <c r="E14592" i="1"/>
  <c r="E14593" i="1"/>
  <c r="E14594" i="1"/>
  <c r="E14595" i="1"/>
  <c r="E14596" i="1"/>
  <c r="E14597" i="1"/>
  <c r="E14598" i="1"/>
  <c r="E14599" i="1"/>
  <c r="E14600" i="1"/>
  <c r="E14601" i="1"/>
  <c r="E14602" i="1"/>
  <c r="E14603" i="1"/>
  <c r="E14604" i="1"/>
  <c r="E14605" i="1"/>
  <c r="E14606" i="1"/>
  <c r="E14607" i="1"/>
  <c r="E14608" i="1"/>
  <c r="E14609" i="1"/>
  <c r="E14610" i="1"/>
  <c r="E14611" i="1"/>
  <c r="E14612" i="1"/>
  <c r="E14613" i="1"/>
  <c r="E14614" i="1"/>
  <c r="E14615" i="1"/>
  <c r="E14616" i="1"/>
  <c r="E14617" i="1"/>
  <c r="E14618" i="1"/>
  <c r="E14619" i="1"/>
  <c r="E14620" i="1"/>
  <c r="E14621" i="1"/>
  <c r="E14622" i="1"/>
  <c r="E14623" i="1"/>
  <c r="E14624" i="1"/>
  <c r="E14625" i="1"/>
  <c r="E14626" i="1"/>
  <c r="E14627" i="1"/>
  <c r="E14628" i="1"/>
  <c r="E14629" i="1"/>
  <c r="E14630" i="1"/>
  <c r="E14631" i="1"/>
  <c r="E14632" i="1"/>
  <c r="E14633" i="1"/>
  <c r="E14634" i="1"/>
  <c r="E14635" i="1"/>
  <c r="E14636" i="1"/>
  <c r="E14637" i="1"/>
  <c r="E14638" i="1"/>
  <c r="E14639" i="1"/>
  <c r="E14640" i="1"/>
  <c r="E14641" i="1"/>
  <c r="E14642" i="1"/>
  <c r="E14643" i="1"/>
  <c r="E14644" i="1"/>
  <c r="E14645" i="1"/>
  <c r="E14646" i="1"/>
  <c r="E14647" i="1"/>
  <c r="E14648" i="1"/>
  <c r="E14649" i="1"/>
  <c r="E14650" i="1"/>
  <c r="E14651" i="1"/>
  <c r="E14652" i="1"/>
  <c r="E14653" i="1"/>
  <c r="E14654" i="1"/>
  <c r="E14655" i="1"/>
  <c r="E14656" i="1"/>
  <c r="E14657" i="1"/>
  <c r="E14658" i="1"/>
  <c r="E14659" i="1"/>
  <c r="E14660" i="1"/>
  <c r="E14661" i="1"/>
  <c r="E14662" i="1"/>
  <c r="E14663" i="1"/>
  <c r="E14664" i="1"/>
  <c r="E14665" i="1"/>
  <c r="E14666" i="1"/>
  <c r="E14667" i="1"/>
  <c r="E14668" i="1"/>
  <c r="E14669" i="1"/>
  <c r="E14670" i="1"/>
  <c r="E14671" i="1"/>
  <c r="E14672" i="1"/>
  <c r="E14673" i="1"/>
  <c r="E14674" i="1"/>
  <c r="E14675" i="1"/>
  <c r="E14676" i="1"/>
  <c r="E14677" i="1"/>
  <c r="E14678" i="1"/>
  <c r="E14679" i="1"/>
  <c r="E14680" i="1"/>
  <c r="E14681" i="1"/>
  <c r="E14682" i="1"/>
  <c r="E14683" i="1"/>
  <c r="E14684" i="1"/>
  <c r="E14685" i="1"/>
  <c r="E14686" i="1"/>
  <c r="E14687" i="1"/>
  <c r="E14688" i="1"/>
  <c r="E14689" i="1"/>
  <c r="E14690" i="1"/>
  <c r="E14691" i="1"/>
  <c r="E14692" i="1"/>
  <c r="E14693" i="1"/>
  <c r="E14694" i="1"/>
  <c r="E14695" i="1"/>
  <c r="E14696" i="1"/>
  <c r="E14697" i="1"/>
  <c r="E14698" i="1"/>
  <c r="E14699" i="1"/>
  <c r="E14700" i="1"/>
  <c r="E14701" i="1"/>
  <c r="E14702" i="1"/>
  <c r="E14703" i="1"/>
  <c r="E14704" i="1"/>
  <c r="E14705" i="1"/>
  <c r="E14707" i="1"/>
  <c r="E14708" i="1"/>
  <c r="E14709" i="1"/>
  <c r="E14710" i="1"/>
  <c r="E14711" i="1"/>
  <c r="E14712" i="1"/>
  <c r="E14713" i="1"/>
  <c r="E14714" i="1"/>
  <c r="E14715" i="1"/>
  <c r="E14716" i="1"/>
  <c r="E14717" i="1"/>
  <c r="E14718" i="1"/>
  <c r="E14719" i="1"/>
  <c r="E14720" i="1"/>
  <c r="E14721" i="1"/>
  <c r="E14722" i="1"/>
  <c r="E14723" i="1"/>
  <c r="E14724" i="1"/>
  <c r="E14725" i="1"/>
  <c r="E14726" i="1"/>
  <c r="E14727" i="1"/>
  <c r="E14728" i="1"/>
  <c r="E14729" i="1"/>
  <c r="E14730" i="1"/>
  <c r="E14731" i="1"/>
  <c r="E14732" i="1"/>
  <c r="E14733" i="1"/>
  <c r="E14734" i="1"/>
  <c r="E14735" i="1"/>
  <c r="E14736" i="1"/>
  <c r="E14737" i="1"/>
  <c r="E14738" i="1"/>
  <c r="E14740" i="1"/>
  <c r="E14741" i="1"/>
  <c r="E14742" i="1"/>
  <c r="E14743" i="1"/>
  <c r="E14744" i="1"/>
  <c r="E14745" i="1"/>
  <c r="E14746" i="1"/>
  <c r="E14747" i="1"/>
  <c r="E14748" i="1"/>
  <c r="E14749" i="1"/>
  <c r="E14750" i="1"/>
  <c r="E14751" i="1"/>
  <c r="E14752" i="1"/>
  <c r="E14753" i="1"/>
  <c r="E14754" i="1"/>
  <c r="E14755" i="1"/>
  <c r="E14756" i="1"/>
  <c r="E14757" i="1"/>
  <c r="E14758" i="1"/>
  <c r="E14759" i="1"/>
  <c r="E14760" i="1"/>
  <c r="E14761" i="1"/>
  <c r="E14762" i="1"/>
  <c r="E14763" i="1"/>
  <c r="E14764" i="1"/>
  <c r="E14765" i="1"/>
  <c r="E14766" i="1"/>
  <c r="E14767" i="1"/>
  <c r="E14768" i="1"/>
  <c r="E14769" i="1"/>
  <c r="E14770" i="1"/>
  <c r="E14771" i="1"/>
  <c r="E14772" i="1"/>
  <c r="E14773" i="1"/>
  <c r="E14774" i="1"/>
  <c r="E14775" i="1"/>
  <c r="E14776" i="1"/>
  <c r="E14777" i="1"/>
  <c r="E14778" i="1"/>
  <c r="E14779" i="1"/>
  <c r="E14780" i="1"/>
  <c r="E14781" i="1"/>
  <c r="E14782" i="1"/>
  <c r="E14783" i="1"/>
  <c r="E14784" i="1"/>
  <c r="E14785" i="1"/>
  <c r="E14786" i="1"/>
  <c r="E14787" i="1"/>
  <c r="E14788" i="1"/>
  <c r="E14789" i="1"/>
  <c r="E14790" i="1"/>
  <c r="E14791" i="1"/>
  <c r="E14792" i="1"/>
  <c r="E14793" i="1"/>
  <c r="E14794" i="1"/>
  <c r="E14795" i="1"/>
  <c r="E14796" i="1"/>
  <c r="E14797" i="1"/>
  <c r="E14798" i="1"/>
  <c r="E14799" i="1"/>
  <c r="E14800" i="1"/>
</calcChain>
</file>

<file path=xl/sharedStrings.xml><?xml version="1.0" encoding="utf-8"?>
<sst xmlns="http://schemas.openxmlformats.org/spreadsheetml/2006/main" count="29521" uniqueCount="27643">
  <si>
    <t>self-balancing</t>
  </si>
  <si>
    <t>LOW FLOW FLUID CONTROLLER APPARATUS AND SYSTEM</t>
  </si>
  <si>
    <t>US2018306458</t>
  </si>
  <si>
    <t>PORTABLE GREEN POWER DEVICE</t>
  </si>
  <si>
    <t>US2018307261</t>
  </si>
  <si>
    <t>SELF-BALANCING SCOOTER AND MAIN FRAME ASSEMBLY THEREOF</t>
  </si>
  <si>
    <t>US2018297660</t>
  </si>
  <si>
    <t>NOVEL SELF-BALANCING ELECTRIC VEHICLE</t>
  </si>
  <si>
    <t>WO2018166424</t>
  </si>
  <si>
    <t>SELF-BALANCING POWERED UNICYCLE DEVICE</t>
  </si>
  <si>
    <t>US2018265159</t>
  </si>
  <si>
    <t>THE METHOD OF CONTROLLING OF THE MOTION PARAMETERS OF A BOLT BY MEANS OF SUPPORTING ITS RECOIL SPRING ONTO THE MOVABLE PART THAT IS MOVING INTO THE FIRING DIRECTION UNDER ACTION OF PROPELLANT GASES OF THE SHOT. MODULAR FIREARMS HAVING THE SELF-BALANCING RECHARGING MECHANISM WITH DECREASED RECOIL FORCE, WHICH ARE DESIGNED ON THE BASIS OF THIS METHOD</t>
  </si>
  <si>
    <t>CA2960545</t>
  </si>
  <si>
    <t>SEATED RIDING DEVICE WHICH IS INSTALLABLE ON A SELF-BALANCING SCOOTER</t>
  </si>
  <si>
    <t>WO2018164609</t>
  </si>
  <si>
    <t>SELF-BALANCING DEVICE, ELECTRIC VEHICLE, POSTURE VEHICLE, MANNED TRUNK AND TWO-WHEELED SKATEBOARD</t>
  </si>
  <si>
    <t>WO2018161947</t>
  </si>
  <si>
    <t>Connectable toy figurines</t>
  </si>
  <si>
    <t>US10105613</t>
  </si>
  <si>
    <t>Self-balancing method after start of balanced vehicle by using two gyroscopes to make the two tilt angles approached to zero degree</t>
  </si>
  <si>
    <t>TW201819878</t>
  </si>
  <si>
    <t>The addition boarding type self balancing scooter with folding footrest</t>
  </si>
  <si>
    <t>KR20180086848</t>
  </si>
  <si>
    <t>SELF-BALANCING VEHICLES</t>
  </si>
  <si>
    <t>US2018237096</t>
  </si>
  <si>
    <t>SELF-BALANCING VEHICLE DEVICE AND CORRESPONDING CONTROL METHOD THEREFOR</t>
  </si>
  <si>
    <t>WO2018145500</t>
  </si>
  <si>
    <t>IN-LINE WHEELED BOARD DEVICE</t>
  </si>
  <si>
    <t>US2018221753</t>
  </si>
  <si>
    <t>Automatic Network Connection Sharing Among Multiple Streams</t>
  </si>
  <si>
    <t>US2018227187</t>
  </si>
  <si>
    <t>Carrier joined with self-balancing vehicle</t>
  </si>
  <si>
    <t>TWI623461</t>
  </si>
  <si>
    <t>Two-wheel self-balancing vehicle with independently movable foot placement sections</t>
  </si>
  <si>
    <t>USRE46964</t>
  </si>
  <si>
    <t>MAN-MACHINE INTERACTION SOMATOSENSORY VEHICLE</t>
  </si>
  <si>
    <t>WO2018126635</t>
  </si>
  <si>
    <t>SELF-BALANCING BOARD WITH PRIMARY WHEEL AND DISTAL AUXILIARY WHEEL</t>
  </si>
  <si>
    <t>SG11201803861W</t>
  </si>
  <si>
    <t>SELF-BALANCING BOARD HAVING A SUSPENSION INTERFACE</t>
  </si>
  <si>
    <t>SG11201803705V</t>
  </si>
  <si>
    <t>AUTOMATIC THREAD DETECTION DEVICE AND SELF-BALANCING MECHANISM THEREOF</t>
  </si>
  <si>
    <t>WO2018119850</t>
  </si>
  <si>
    <t>Suspension systems for one-wheeled vehicles</t>
  </si>
  <si>
    <t>US10010784</t>
  </si>
  <si>
    <t>Beam lateral deviation pier stress self-balancing correcting device and correcting method</t>
  </si>
  <si>
    <t>CN108221718</t>
  </si>
  <si>
    <t>Open self -balancing multistage centrifugal pump in level</t>
  </si>
  <si>
    <t>CN207554352</t>
  </si>
  <si>
    <t>Open self -balancing multistage centrifugal pump in stable form level</t>
  </si>
  <si>
    <t>CN207554353</t>
  </si>
  <si>
    <t>Satisfy self -balancing platform that many sizes static test required</t>
  </si>
  <si>
    <t>CN207556832</t>
  </si>
  <si>
    <t>Self-balancing root key jacking device based on vertical jack contraction</t>
  </si>
  <si>
    <t>CN108222002</t>
  </si>
  <si>
    <t>Self -balancing hosepipe hold -down mechanism , hosepipe transmission device and fire engine</t>
  </si>
  <si>
    <t>CN207532657</t>
  </si>
  <si>
    <t>Self-balancing structure of clothes washing spin-drying tube</t>
  </si>
  <si>
    <t>CN108193432</t>
  </si>
  <si>
    <t>Action-driven self-balancing unmanned bicycle and decomposed key balancing control method thereof</t>
  </si>
  <si>
    <t>CN108189955</t>
  </si>
  <si>
    <t>A platform structure for on -vehicle self -balancing stabilized platform</t>
  </si>
  <si>
    <t>CN207526940</t>
  </si>
  <si>
    <t>A platform structure that is used for on -vehicle self -balancing rescue platform</t>
  </si>
  <si>
    <t>CN207526941</t>
  </si>
  <si>
    <t>Self -balancing hanging flower basket</t>
  </si>
  <si>
    <t>CN207524924</t>
  </si>
  <si>
    <t>Open self -balancing multistage centrifugal pump in heat dissipation type level</t>
  </si>
  <si>
    <t>CN207526694</t>
  </si>
  <si>
    <t>Self -balancing laser scale with locking mechanical system</t>
  </si>
  <si>
    <t>CN207528238</t>
  </si>
  <si>
    <t>Laser self -balancing surveyor's level</t>
  </si>
  <si>
    <t>CN207528214</t>
  </si>
  <si>
    <t>CN207528236</t>
  </si>
  <si>
    <t>CN207528235</t>
  </si>
  <si>
    <t>A self -balancing swashs optical module for throwing line appearance</t>
  </si>
  <si>
    <t>CN207528237</t>
  </si>
  <si>
    <t>Many air cushions self -balancing air suspension car</t>
  </si>
  <si>
    <t>CN207523687</t>
  </si>
  <si>
    <t>SELF-BALANCING SCOOTER</t>
  </si>
  <si>
    <t>WO2018107477</t>
  </si>
  <si>
    <t>SELF-BALANCING AND POWER-ASSISTED PAYLOAD CARRYING VEHICLES USING OPERATOR-APPLIED FORCE SENSING</t>
  </si>
  <si>
    <t>US2018170417</t>
  </si>
  <si>
    <t>SINGLE WHEEL SELF-BALANCING VEHICLE WITH TIRE PERMITTING CARVING MOTION</t>
  </si>
  <si>
    <t>US2018169506</t>
  </si>
  <si>
    <t>Shaft with a control lever for a self-balancing personal transporter</t>
  </si>
  <si>
    <t>USD820747</t>
  </si>
  <si>
    <t>Turbine gas flow meter with thrust self-balancing function</t>
  </si>
  <si>
    <t>CN108180952</t>
  </si>
  <si>
    <t>20W submicron order three-dimensional X-ray real-time imaging detection system and detection method</t>
  </si>
  <si>
    <t>CN108181329</t>
  </si>
  <si>
    <t>Data update-supported deduplication method for encrypted data block client</t>
  </si>
  <si>
    <t>CN108182367</t>
  </si>
  <si>
    <t>Self-balancing parallel power devices with temperature compensated gate driver</t>
  </si>
  <si>
    <t>CN108183656</t>
  </si>
  <si>
    <t>Nuclear reactor self -balancing system</t>
  </si>
  <si>
    <t>CN207517365</t>
  </si>
  <si>
    <t>Open self -balancing multistage centrifugal pump in antiseep level</t>
  </si>
  <si>
    <t>CN207513845</t>
  </si>
  <si>
    <t>Move and open self -balancing multistage centrifugal pump in stable level</t>
  </si>
  <si>
    <t>CN207513843</t>
  </si>
  <si>
    <t>Self -propelled self -balancing self -propelled boom sprayer</t>
  </si>
  <si>
    <t>CN207505801</t>
  </si>
  <si>
    <t>Pressure -shear combined loading device</t>
  </si>
  <si>
    <t>CN207516180</t>
  </si>
  <si>
    <t>Novel compound box with a net that box with a net can reciprocate in hawser hoist</t>
  </si>
  <si>
    <t>CN207505735</t>
  </si>
  <si>
    <t>Novel compound box with a net that interior box with a net can reciprocate</t>
  </si>
  <si>
    <t>CN207505734</t>
  </si>
  <si>
    <t>Insert formula deodorizing tower promptly</t>
  </si>
  <si>
    <t>CN207507203</t>
  </si>
  <si>
    <t>Double round self -balancing robot</t>
  </si>
  <si>
    <t>CN207510524</t>
  </si>
  <si>
    <t>Reactor capable of self-balancing pressures inside and outside lining pipe, and use method thereof</t>
  </si>
  <si>
    <t>CN108160009</t>
  </si>
  <si>
    <t>Device and construction method for carrying out pile foundation stacking by adopting self-balancing static load</t>
  </si>
  <si>
    <t>CN108166546</t>
  </si>
  <si>
    <t>Two-wheeled visual robot with mechanical arm</t>
  </si>
  <si>
    <t>CN108161887</t>
  </si>
  <si>
    <t>Device is cut partially to non -woven deploying troops on garrison duty of self -balancing</t>
  </si>
  <si>
    <t>CN207498712</t>
  </si>
  <si>
    <t>A rolling device cuts at a high speed for non -weaving cloth</t>
  </si>
  <si>
    <t>CN207497739</t>
  </si>
  <si>
    <t>Lift by crane self -balancing jib for prefabricated exterior wall</t>
  </si>
  <si>
    <t>CN207497893</t>
  </si>
  <si>
    <t>Reconnoiter dolly based on wireless transmission two -wheeled self -balancing</t>
  </si>
  <si>
    <t>CN207482092</t>
  </si>
  <si>
    <t>Heating power pipeline system is maked somebody a mere figurehead to self -balancing</t>
  </si>
  <si>
    <t>CN207486308</t>
  </si>
  <si>
    <t>Two -wheeled double tops appearance self -balancing motorcycle</t>
  </si>
  <si>
    <t>CN207482093</t>
  </si>
  <si>
    <t>Temperature self -balancing prepackage type electric automobile charging station</t>
  </si>
  <si>
    <t>CN207490391</t>
  </si>
  <si>
    <t>Polygon self -balancing vibration exciter that concrete mixing equipment was used</t>
  </si>
  <si>
    <t>CN207480887</t>
  </si>
  <si>
    <t>Special distillation self-balancing phase-separated pumpless backflow control method</t>
  </si>
  <si>
    <t>CN108144320</t>
  </si>
  <si>
    <t>Self-balancing zipper type braking device</t>
  </si>
  <si>
    <t>CN108146413</t>
  </si>
  <si>
    <t>Implantable one-sided axial self-balancing micro-axial flow blood pump</t>
  </si>
  <si>
    <t>CN108144146</t>
  </si>
  <si>
    <t>Quick detecting analyzer of high accuracy self -balancing multi -component gas</t>
  </si>
  <si>
    <t>CN207301012</t>
  </si>
  <si>
    <t>Pottery board curtain with self -balancing pendant</t>
  </si>
  <si>
    <t>CN207314608</t>
  </si>
  <si>
    <t>Outdoor extension equilibrium trainer</t>
  </si>
  <si>
    <t>CN207307090</t>
  </si>
  <si>
    <t>Basin is planted to self -balancing</t>
  </si>
  <si>
    <t>CN207305482</t>
  </si>
  <si>
    <t>A annex for self -balancing board</t>
  </si>
  <si>
    <t>CN207389415</t>
  </si>
  <si>
    <t>Three basket steel bow member mounting plates of tribrachia for tunnel</t>
  </si>
  <si>
    <t>CN207406359</t>
  </si>
  <si>
    <t>Two horse head structures of self -balancing</t>
  </si>
  <si>
    <t>CN207406321</t>
  </si>
  <si>
    <t>Organic solid waste processing system based on subcritical water separates</t>
  </si>
  <si>
    <t>CN207391399</t>
  </si>
  <si>
    <t>Can be from dynamic testing equilibrium of forces wheel</t>
  </si>
  <si>
    <t>CN207388747</t>
  </si>
  <si>
    <t>Bridge steel case roof beam self -balancing dehumidification system</t>
  </si>
  <si>
    <t>CN207419221</t>
  </si>
  <si>
    <t>Car of paddling is prevented to many gasbags self -balancing</t>
  </si>
  <si>
    <t>CN207416768</t>
  </si>
  <si>
    <t>Drill bit of polycrystalline diamond compact and this compound piece of adoption</t>
  </si>
  <si>
    <t>CN207420457</t>
  </si>
  <si>
    <t>Mobile electric vehicle charging pile used for new energy electric vehicle</t>
  </si>
  <si>
    <t>CN108128187</t>
  </si>
  <si>
    <t>Electric self-balancing scooter</t>
  </si>
  <si>
    <t>CN108137119</t>
  </si>
  <si>
    <t>Self -balancing motor shaft integrated configuration</t>
  </si>
  <si>
    <t>CN207321030</t>
  </si>
  <si>
    <t>Barrier system is kept away to self -balancing car based on PID controller</t>
  </si>
  <si>
    <t>CN207328700</t>
  </si>
  <si>
    <t>Material feeding unit through self -balancing volume of adjusting pay -off</t>
  </si>
  <si>
    <t>CN207329817</t>
  </si>
  <si>
    <t>Cable crane machine pylon self -balancing system</t>
  </si>
  <si>
    <t>CN207330173</t>
  </si>
  <si>
    <t>Healthy health shoes pad of self -balancing</t>
  </si>
  <si>
    <t>CN207341285</t>
  </si>
  <si>
    <t>Detection apparatus for fork truck portal deflection measurement</t>
  </si>
  <si>
    <t>CN207351638</t>
  </si>
  <si>
    <t>Frame -type self -balancing gallows</t>
  </si>
  <si>
    <t>CN207346987</t>
  </si>
  <si>
    <t>Pressure self -balancing reation kettle</t>
  </si>
  <si>
    <t>CN207357108</t>
  </si>
  <si>
    <t>Bionical stretch -draw buffering foot - ankle system</t>
  </si>
  <si>
    <t>CN207360450</t>
  </si>
  <si>
    <t>Flexible chain pole self -balancing does not have shear force loading test device</t>
  </si>
  <si>
    <t>CN207366338</t>
  </si>
  <si>
    <t>Self -balancing centrifuge</t>
  </si>
  <si>
    <t>CN207395302</t>
  </si>
  <si>
    <t>Paper device is drawn to gypsum board mask paper self -balancing</t>
  </si>
  <si>
    <t>CN207404574</t>
  </si>
  <si>
    <t>Self -balancing broad width biax rotary tillage stubble -cleaning workover rig</t>
  </si>
  <si>
    <t>CN207399770</t>
  </si>
  <si>
    <t>Ball rotates to no handlebar self -balancing bicycle</t>
  </si>
  <si>
    <t>CN207417033</t>
  </si>
  <si>
    <t>Can mitigate self -balancing cable net structure of wind load</t>
  </si>
  <si>
    <t>CN207419704</t>
  </si>
  <si>
    <t>Electric scooter containing novel folding mechanism</t>
  </si>
  <si>
    <t>CN207417042</t>
  </si>
  <si>
    <t>Self -balancing pulley</t>
  </si>
  <si>
    <t>CN207420294</t>
  </si>
  <si>
    <t>Take self -balancing bearing structure's curvilinear figure bridge</t>
  </si>
  <si>
    <t>CN207419218</t>
  </si>
  <si>
    <t>Self -balancing magazine and three -dimensional rotation goods shelf</t>
  </si>
  <si>
    <t>CN207417686</t>
  </si>
  <si>
    <t>Motor car -like robot's control system</t>
  </si>
  <si>
    <t>CN207424595</t>
  </si>
  <si>
    <t>Self -balancing elevator car</t>
  </si>
  <si>
    <t>CN207375543</t>
  </si>
  <si>
    <t>Portable self -balancing loading system</t>
  </si>
  <si>
    <t>CN207439659</t>
  </si>
  <si>
    <t>Full topography intelligence rescue robot with self -balancing objective table</t>
  </si>
  <si>
    <t>CN207433675</t>
  </si>
  <si>
    <t>Self -balancing thrust bearing</t>
  </si>
  <si>
    <t>CN207437578</t>
  </si>
  <si>
    <t>Two -wheeled wireless remote control intelligent vehicle</t>
  </si>
  <si>
    <t>CN207457835</t>
  </si>
  <si>
    <t>High -strength concrete test piece pressure forming device</t>
  </si>
  <si>
    <t>CN207300674</t>
  </si>
  <si>
    <t>Omniwheel turns to no handlebar self -balancing bicycle</t>
  </si>
  <si>
    <t>CN207466856</t>
  </si>
  <si>
    <t>Be used for road and bridge construction rotary type self -balancing hoisting accessory</t>
  </si>
  <si>
    <t>CN207467998</t>
  </si>
  <si>
    <t>Horizontal self -balancing supercritical reaction apparatus</t>
  </si>
  <si>
    <t>CN207468270</t>
  </si>
  <si>
    <t>System for be used for spent lye treatment</t>
  </si>
  <si>
    <t>CN207468391</t>
  </si>
  <si>
    <t>Self -balancing cableway flight carrying device</t>
  </si>
  <si>
    <t>CN207466650</t>
  </si>
  <si>
    <t>Self -balancing ball -type robot that easy dismouting was moved</t>
  </si>
  <si>
    <t>CN207465215</t>
  </si>
  <si>
    <t>Relief valve of atmospheric pressure self -balancing</t>
  </si>
  <si>
    <t>CN207454853</t>
  </si>
  <si>
    <t>ELECTRICAL SELF-BALANCING SCOOTER</t>
  </si>
  <si>
    <t>US2018154971</t>
  </si>
  <si>
    <t>Self-balancing stand-up transporter-driven trailer</t>
  </si>
  <si>
    <t>US9988114</t>
  </si>
  <si>
    <t>Grout compactibility testing device and method for sleeves</t>
  </si>
  <si>
    <t>CN108120826</t>
  </si>
  <si>
    <t>Adjustable self-balancing lifting device</t>
  </si>
  <si>
    <t>CN108116973</t>
  </si>
  <si>
    <t>Laser pan-tilt holder stabilization device and self-balancing car</t>
  </si>
  <si>
    <t>CN108121351</t>
  </si>
  <si>
    <t>Self-balancing robot motion control method and device</t>
  </si>
  <si>
    <t>CN108121334</t>
  </si>
  <si>
    <t>Single-drive dual-support bracket and self-balancing system</t>
  </si>
  <si>
    <t>CN108116532</t>
  </si>
  <si>
    <t>SELF-BALANCING STRUCTURE CAPABLE OF BALANCING PRESSING FORCES ON DOUBLE-BREAK CONTACT BRIDGE</t>
  </si>
  <si>
    <t>WO2018095315</t>
  </si>
  <si>
    <t>Self-balancing hardware punching device</t>
  </si>
  <si>
    <t>CN108080472</t>
  </si>
  <si>
    <t>Self-balancing type wire tightening mechanism</t>
  </si>
  <si>
    <t>CN108080757</t>
  </si>
  <si>
    <t>Self-balancing electric scooter with balance parts</t>
  </si>
  <si>
    <t>CN108068948</t>
  </si>
  <si>
    <t>Self-balancing electric scooter with swivel wheel</t>
  </si>
  <si>
    <t>CN108068947</t>
  </si>
  <si>
    <t>Self-balancing FPC pressure maintaining machine</t>
  </si>
  <si>
    <t>CN108072988</t>
  </si>
  <si>
    <t>METHOD AND DEVICE FOR SAFE DRIVING</t>
  </si>
  <si>
    <t>RU2016145259</t>
  </si>
  <si>
    <t>Multifunctional self-balancing platform used for static test</t>
  </si>
  <si>
    <t>CN108061647</t>
  </si>
  <si>
    <t>Self-balancing sliding plate</t>
  </si>
  <si>
    <t>CN108058770</t>
  </si>
  <si>
    <t>Dynamic self-balancing pressurizing hole sealing device and method for coal bed gas pressure measuring</t>
  </si>
  <si>
    <t>CN108060903</t>
  </si>
  <si>
    <t>Self-balancing wind-vibration-proof hanging basket for high-rise external wall decoration construction</t>
  </si>
  <si>
    <t>CN108049625</t>
  </si>
  <si>
    <t>Self-balancing washing machine</t>
  </si>
  <si>
    <t>CN108049108</t>
  </si>
  <si>
    <t>Plant cultivation device and cultivation method</t>
  </si>
  <si>
    <t>CN108040861</t>
  </si>
  <si>
    <t>STABILITY ATTACHMENT FOR A TWO-WHEELED, SELF-BALANCING, PERSONAL TRANSPORTATION VEHICLE</t>
  </si>
  <si>
    <t>CA3003165</t>
  </si>
  <si>
    <t>Intelligent transportation equipment and self-balancing lifting structure and control method thereof</t>
  </si>
  <si>
    <t>CN108033397</t>
  </si>
  <si>
    <t>Self-balancing adaptive office supplies carrying device</t>
  </si>
  <si>
    <t>CN108030251</t>
  </si>
  <si>
    <t>Two-wheel electric self-balancing scooter and control method thereof</t>
  </si>
  <si>
    <t>CN108016546</t>
  </si>
  <si>
    <t>US2018127045</t>
  </si>
  <si>
    <t>Bridge maintenance system</t>
  </si>
  <si>
    <t>CN108004941</t>
  </si>
  <si>
    <t>Electric self-balancing vehicle based on cushion damping</t>
  </si>
  <si>
    <t>CN108001589</t>
  </si>
  <si>
    <t>Dynamic self-balancing structure</t>
  </si>
  <si>
    <t>CN107986226</t>
  </si>
  <si>
    <t>SELF-BALANCING SKATEBOARD WITH STRAIN-BASED CONTROLS AND SUSPENSIONS</t>
  </si>
  <si>
    <t>WO2018081315</t>
  </si>
  <si>
    <t>SELF-BALANCING VEHICLE</t>
  </si>
  <si>
    <t>US2018118297</t>
  </si>
  <si>
    <t>Self-balancing reposition bridge damping device</t>
  </si>
  <si>
    <t>CN107974926</t>
  </si>
  <si>
    <t>Out-of-plane inclined support groove type self-balancing door type assembling counterforce frame</t>
  </si>
  <si>
    <t>CN107966289</t>
  </si>
  <si>
    <t>Self -balancing teaching machinery arm</t>
  </si>
  <si>
    <t>CN207273229</t>
  </si>
  <si>
    <t>Circular single rotor unmanned aerial vehicle</t>
  </si>
  <si>
    <t>CN207274967</t>
  </si>
  <si>
    <t>METHOD AND APPARATUS FOR TURBINE ENGINE ROTOR AUTOMATIC SELF BALANCING</t>
  </si>
  <si>
    <t>US2018113047</t>
  </si>
  <si>
    <t>Two-stage self-balancing multiple-stage centrifugal pump</t>
  </si>
  <si>
    <t>CN107939688</t>
  </si>
  <si>
    <t>Shield segment model testing reaction frame</t>
  </si>
  <si>
    <t>CN107941497</t>
  </si>
  <si>
    <t>Non-contact structure surface shape test device</t>
  </si>
  <si>
    <t>CN107941146</t>
  </si>
  <si>
    <t>Motion sensing vehicle capable of switching forms on the basis of crank rotating structures</t>
  </si>
  <si>
    <t>CN107933788</t>
  </si>
  <si>
    <t>Self-balancing transporter with shock-absorbing transporter rod and based on triangular transporter frame</t>
  </si>
  <si>
    <t>CN107933785</t>
  </si>
  <si>
    <t>Offshore wind power generator with self-protection function</t>
  </si>
  <si>
    <t>CN107939605</t>
  </si>
  <si>
    <t>Electric self-balancing vehicle with adjustable seat height</t>
  </si>
  <si>
    <t>CN107933759</t>
  </si>
  <si>
    <t>Self -balancing is inserted promptly and is remodeled into promptly sled device</t>
  </si>
  <si>
    <t>CN207254103</t>
  </si>
  <si>
    <t>Qxcomm technology's ball wheel drive does not have handlebar self -balancing bicycle</t>
  </si>
  <si>
    <t>CN207257871</t>
  </si>
  <si>
    <t>Self -balancing bicycle shaft is apart from automatically regulated mechanism</t>
  </si>
  <si>
    <t>CN207257872</t>
  </si>
  <si>
    <t>Conveying device capable of going down steps in damping manner</t>
  </si>
  <si>
    <t>CN107914752</t>
  </si>
  <si>
    <t>Control method for automatically modifying programs of washing machine and washing machine</t>
  </si>
  <si>
    <t>CN107916530</t>
  </si>
  <si>
    <t>Weak magnetic sensor of reaction type self -balancing</t>
  </si>
  <si>
    <t>CN207249082</t>
  </si>
  <si>
    <t>Large -flow floor drain</t>
  </si>
  <si>
    <t>CN207244803</t>
  </si>
  <si>
    <t>Spherical wheel self -balancing electric skate board</t>
  </si>
  <si>
    <t>CN207237223</t>
  </si>
  <si>
    <t>X ray source assembly operating system</t>
  </si>
  <si>
    <t>CN207226948</t>
  </si>
  <si>
    <t>A balanced running gear that is used for hot melt stand to assist car</t>
  </si>
  <si>
    <t>CN207228503</t>
  </si>
  <si>
    <t>Self -balancing mounting structure of aerogenerator anemoscope</t>
  </si>
  <si>
    <t>CN207229310</t>
  </si>
  <si>
    <t>Two-wheel type self-balancing deformable robot</t>
  </si>
  <si>
    <t>CN107902004</t>
  </si>
  <si>
    <t>Load concrete high-temperature impact test furnace</t>
  </si>
  <si>
    <t>CN107906961</t>
  </si>
  <si>
    <t>PORTABLE TWO-WHEELED SELF-BALANCING PERSONAL TRANSPORT VEHICLE</t>
  </si>
  <si>
    <t>CA2999062</t>
  </si>
  <si>
    <t>PERSONAL TRANSPORTATION DEVICE WITH MULTIPLE AIR CHAMBER WHEEL STRUCTURE</t>
  </si>
  <si>
    <t>US2018099720</t>
  </si>
  <si>
    <t>Heat supply network self -balancing device</t>
  </si>
  <si>
    <t>CN207214243</t>
  </si>
  <si>
    <t>Self -balancing hoist</t>
  </si>
  <si>
    <t>CN207209820</t>
  </si>
  <si>
    <t>Self -balancing finish boring unit</t>
  </si>
  <si>
    <t>CN207205308</t>
  </si>
  <si>
    <t>A self-restrained and self-balancing test device and test method for testing longitudinal and rotational stiffness</t>
  </si>
  <si>
    <t>CN107894362</t>
  </si>
  <si>
    <t>Self-balancing seat</t>
  </si>
  <si>
    <t>CN107890396</t>
  </si>
  <si>
    <t>High-altitude haze eliminating area air improvement system</t>
  </si>
  <si>
    <t>CN107890726</t>
  </si>
  <si>
    <t>Intelligent electric bicycle</t>
  </si>
  <si>
    <t>CN207191269</t>
  </si>
  <si>
    <t>Self -balancing grease degasser</t>
  </si>
  <si>
    <t>CN207193233</t>
  </si>
  <si>
    <t>Complementary energy and residual life prediction method and device for buckling-preventing supporting member</t>
  </si>
  <si>
    <t>CN107884292</t>
  </si>
  <si>
    <t>Expansion-segment pressure self-balancing axisymmetric vector nozzle and aero-engine equipped with same</t>
  </si>
  <si>
    <t>CN107882653</t>
  </si>
  <si>
    <t>Offshore wind turbine with posture self-correcting function</t>
  </si>
  <si>
    <t>CN107882684</t>
  </si>
  <si>
    <t>METHOD AND DEVICE FOR ALLEVIATING TRAFFIC JAM BY USING BALANCE VEHICLE</t>
  </si>
  <si>
    <t>WO2018058350</t>
  </si>
  <si>
    <t>Novel seek mark and keep away barrier balance car</t>
  </si>
  <si>
    <t>CN207173821</t>
  </si>
  <si>
    <t>Household greenhouse based on self-balancing and solar-powered function</t>
  </si>
  <si>
    <t>KR101833740</t>
  </si>
  <si>
    <t>PLAT SELF-BALANCING VEHICLE WITH FOLDABLE FUNCTION</t>
  </si>
  <si>
    <t>TWI610706</t>
  </si>
  <si>
    <t>MAGNETIC EVEN COATING DEVICE FOR ONE SIDE DYEING/FINISHING</t>
  </si>
  <si>
    <t>KR101835735</t>
  </si>
  <si>
    <t>Thing networking flow self -balancing valve</t>
  </si>
  <si>
    <t>CN207161854</t>
  </si>
  <si>
    <t>Stack double -deck goods shelves of prefabricated coincide floor</t>
  </si>
  <si>
    <t>CN207158082</t>
  </si>
  <si>
    <t>Transformer impact load self -balancing device</t>
  </si>
  <si>
    <t>CN207166148</t>
  </si>
  <si>
    <t>Double mode self -balancing electric motor car</t>
  </si>
  <si>
    <t>CN207157414</t>
  </si>
  <si>
    <t>Outdoor multifunctional self-balancing vehicle</t>
  </si>
  <si>
    <t>CN107839816</t>
  </si>
  <si>
    <t>Self -propelled landing stage of area excavation and bow member installation function</t>
  </si>
  <si>
    <t>CN207144957</t>
  </si>
  <si>
    <t>Self -balancing canceling release mechanical system of scooter</t>
  </si>
  <si>
    <t>CN207141261</t>
  </si>
  <si>
    <t>Self-balancing wire laying board</t>
  </si>
  <si>
    <t>CN107834435</t>
  </si>
  <si>
    <t>Novel self-balancing transporter easy to master</t>
  </si>
  <si>
    <t>CN107826195</t>
  </si>
  <si>
    <t>Two -wheeled self -balancing vehicle</t>
  </si>
  <si>
    <t>CN207129071</t>
  </si>
  <si>
    <t>Cold equipment exhaust apparatus of dynamo oil and cold equipment of oil level self -balancing dynamo oil</t>
  </si>
  <si>
    <t>CN207134947</t>
  </si>
  <si>
    <t>Two -wheeled qxcomm technology self -balancing chassis</t>
  </si>
  <si>
    <t>CN207129043</t>
  </si>
  <si>
    <t>Prestressing force steel pipe concrete self -balancing static test platform for bridge static loading test</t>
  </si>
  <si>
    <t>CN207133129</t>
  </si>
  <si>
    <t>Self -balancing intelligence beam -pumping unit</t>
  </si>
  <si>
    <t>CN207131381</t>
  </si>
  <si>
    <t>Can pluck and unload self -balancing stretcher</t>
  </si>
  <si>
    <t>CN207125863</t>
  </si>
  <si>
    <t>New two -wheeled self -balancing car</t>
  </si>
  <si>
    <t>CN207120824</t>
  </si>
  <si>
    <t>Doubly -linked leads to self -balancing stainless steel gas piping comdenstion water drainage device</t>
  </si>
  <si>
    <t>CN207112376</t>
  </si>
  <si>
    <t>Appearance is collected to cell</t>
  </si>
  <si>
    <t>CN207108965</t>
  </si>
  <si>
    <t>Self -balancing sign</t>
  </si>
  <si>
    <t>CN207115868</t>
  </si>
  <si>
    <t>A self -balancing stretch shaft for under high voltage ring border</t>
  </si>
  <si>
    <t>CN207114312</t>
  </si>
  <si>
    <t>WO2018045611</t>
  </si>
  <si>
    <t>Conveniently get self -balancing type air conditioner filter screen mould of piece</t>
  </si>
  <si>
    <t>CN207088285</t>
  </si>
  <si>
    <t>Core barrel roundness detection mechanism</t>
  </si>
  <si>
    <t>CN107796286</t>
  </si>
  <si>
    <t>Double drill bit torque self-balancing pressure adjusting device</t>
  </si>
  <si>
    <t>CN107795273</t>
  </si>
  <si>
    <t>Row's cable device of elastic element self -balancing angle</t>
  </si>
  <si>
    <t>CN207061498</t>
  </si>
  <si>
    <t>Balance ring and washing machine</t>
  </si>
  <si>
    <t>CN207062594</t>
  </si>
  <si>
    <t>Bent plate shear stability test anchor clamps</t>
  </si>
  <si>
    <t>CN207051108</t>
  </si>
  <si>
    <t>Hydraulic climbing formwork self -balancing attaches wall device</t>
  </si>
  <si>
    <t>CN207048293</t>
  </si>
  <si>
    <t>Spacing self -balancing of multiple spot is indulged and is moved dolly</t>
  </si>
  <si>
    <t>CN207046700</t>
  </si>
  <si>
    <t>Intelligent balance vehicle</t>
  </si>
  <si>
    <t>CN207045538</t>
  </si>
  <si>
    <t>Portable heavy load casting machine people of omniwheel formula</t>
  </si>
  <si>
    <t>CN207013713</t>
  </si>
  <si>
    <t>Portable heavy load casting machine people of series -parallel connection truss -like</t>
  </si>
  <si>
    <t>CN207014351</t>
  </si>
  <si>
    <t>Portable heavy load casting machine people of series -parallel connection formula</t>
  </si>
  <si>
    <t>CN207013711</t>
  </si>
  <si>
    <t>Foam fire extinguishing agent blender for fire protection</t>
  </si>
  <si>
    <t>CN207034292</t>
  </si>
  <si>
    <t>Two -wheeled self -balancing car that can turn to safely in going at high speed</t>
  </si>
  <si>
    <t>CN207015504</t>
  </si>
  <si>
    <t>Adopt project organization of telescopic joint compensation generating line expend with heat and contract with cold deformation</t>
  </si>
  <si>
    <t>CN207010156</t>
  </si>
  <si>
    <t>Variable cross section CFG stake composite foundation static test self -balancing composite set</t>
  </si>
  <si>
    <t>CN207007619</t>
  </si>
  <si>
    <t>Low temperature multistage centrifugal pump</t>
  </si>
  <si>
    <t>CN207004833</t>
  </si>
  <si>
    <t>Novel self -balancing rings device</t>
  </si>
  <si>
    <t>CN207008930</t>
  </si>
  <si>
    <t>Controlling method and device of two-wheeled self-balancing equipment</t>
  </si>
  <si>
    <t>CN107776436</t>
  </si>
  <si>
    <t>Frozen swelling test device of self -balancing soil body</t>
  </si>
  <si>
    <t>CN207081675</t>
  </si>
  <si>
    <t>Foldable electric self-balancing scooter</t>
  </si>
  <si>
    <t>CN107776795</t>
  </si>
  <si>
    <t>Self -balancing stationary flow governing valve</t>
  </si>
  <si>
    <t>CN207080666</t>
  </si>
  <si>
    <t>Self -balancing wall supporter</t>
  </si>
  <si>
    <t>CN206979135</t>
  </si>
  <si>
    <t>Adjustable self -balancing waterproof glass presss from both sides</t>
  </si>
  <si>
    <t>CN206987063</t>
  </si>
  <si>
    <t>A from equalization frame for rock true triaxial test</t>
  </si>
  <si>
    <t>CN206974799</t>
  </si>
  <si>
    <t>Carbon containing solid waste's processing system</t>
  </si>
  <si>
    <t>CN206970441</t>
  </si>
  <si>
    <t>Coaxial self -balancing mobile robot of two -wheeled non -</t>
  </si>
  <si>
    <t>CN206968889</t>
  </si>
  <si>
    <t>Self -balancing relief pressure valve</t>
  </si>
  <si>
    <t>CN206973001</t>
  </si>
  <si>
    <t>Electronic self -balancing wheel barrow shock -absorbing structure</t>
  </si>
  <si>
    <t>CN206968890</t>
  </si>
  <si>
    <t>Head is hung to core assembly hoist self -balancing</t>
  </si>
  <si>
    <t>CN206970001</t>
  </si>
  <si>
    <t>Electric motor car of carry case formula self -balancing</t>
  </si>
  <si>
    <t>CN206954408</t>
  </si>
  <si>
    <t>Electronic tail -gate device of self -balancing</t>
  </si>
  <si>
    <t>CN206957446</t>
  </si>
  <si>
    <t>Electronic swing car of self -balancing</t>
  </si>
  <si>
    <t>CN206954391</t>
  </si>
  <si>
    <t>CN206954392</t>
  </si>
  <si>
    <t>Nuclear power station trunk line hoist and mount self -balancing device</t>
  </si>
  <si>
    <t>CN206940213</t>
  </si>
  <si>
    <t>Double round steering control's self -balancing car</t>
  </si>
  <si>
    <t>CN206938947</t>
  </si>
  <si>
    <t>Self -balancing impeller structure</t>
  </si>
  <si>
    <t>CN206929083</t>
  </si>
  <si>
    <t>Filling lifting gear</t>
  </si>
  <si>
    <t>CN206915670</t>
  </si>
  <si>
    <t>Wet -type double -clutch transmission hydraulic control system</t>
  </si>
  <si>
    <t>CN206874808</t>
  </si>
  <si>
    <t>Gearbox hydraulic control system</t>
  </si>
  <si>
    <t>CN206874809</t>
  </si>
  <si>
    <t>Simple and easy measuring apparatu of hydraulic engineering slope</t>
  </si>
  <si>
    <t>CN206876163</t>
  </si>
  <si>
    <t>Tensile irradiation of slow rate of strain of four -axis promotes stress corrosion testing machine</t>
  </si>
  <si>
    <t>CN206876489</t>
  </si>
  <si>
    <t>Self -balancing stretcher</t>
  </si>
  <si>
    <t>CN206880789</t>
  </si>
  <si>
    <t>A test device for testing main push -towing rope yawing force</t>
  </si>
  <si>
    <t>CN206891635</t>
  </si>
  <si>
    <t>Vehicle's novel self -balancing device</t>
  </si>
  <si>
    <t>CN206885272</t>
  </si>
  <si>
    <t>Dismantle multistage centrifugal pump impeller device</t>
  </si>
  <si>
    <t>CN206889363</t>
  </si>
  <si>
    <t>Hinder small handcart more</t>
  </si>
  <si>
    <t>CN206914379</t>
  </si>
  <si>
    <t>SELF-BALANCING SLIDING WHEEL</t>
  </si>
  <si>
    <t>WO2018040991</t>
  </si>
  <si>
    <t>ELECTRIC SELF-BALANCING SCOOTER</t>
  </si>
  <si>
    <t>WO2018040084</t>
  </si>
  <si>
    <t>WO2018040083</t>
  </si>
  <si>
    <t>WO2018040082</t>
  </si>
  <si>
    <t>WO2018040086</t>
  </si>
  <si>
    <t>WO2018040081</t>
  </si>
  <si>
    <t>WO2018040087</t>
  </si>
  <si>
    <t>WO2018040085</t>
  </si>
  <si>
    <t>SELF-BALANCING SCOOTER CONTROL MECHANISM BASED ON HANDLEBAR, AND CONTROL METHOD</t>
  </si>
  <si>
    <t>WO2018040088</t>
  </si>
  <si>
    <t>SELF-BALANCING SCOOTER CONTROL MECHANISM BASED ON SCOOTER ROD, AND CONTROL METHOD</t>
  </si>
  <si>
    <t>WO2018040089</t>
  </si>
  <si>
    <t>Heat press machine but self -balancing hot pressed is shaken head</t>
  </si>
  <si>
    <t>CN206899963</t>
  </si>
  <si>
    <t>System for spent lye treatment and treatment method thereof</t>
  </si>
  <si>
    <t>CN107758964</t>
  </si>
  <si>
    <t>All-terrain intelligent rescue robot with self-balancing article carrying platform</t>
  </si>
  <si>
    <t>CN107757737</t>
  </si>
  <si>
    <t>Self-balancing pallet truck</t>
  </si>
  <si>
    <t>CN107757673</t>
  </si>
  <si>
    <t>Polygonal self-balancing type vibration exciter for concrete mixing equipment</t>
  </si>
  <si>
    <t>CN107745443</t>
  </si>
  <si>
    <t>ELECTRIC SELF-BALANCING VEHICLE</t>
  </si>
  <si>
    <t>WO2018035715</t>
  </si>
  <si>
    <t>LIMITING STRUCTURE FOR USE ON SCOOTER WHEEL</t>
  </si>
  <si>
    <t>WO2018035798</t>
  </si>
  <si>
    <t>WO2018035714</t>
  </si>
  <si>
    <t>Rollover-prevented and self-balancing electric car</t>
  </si>
  <si>
    <t>CN107719544</t>
  </si>
  <si>
    <t>Control system of double-wheel self-balancing vehicle</t>
  </si>
  <si>
    <t>CN107728636</t>
  </si>
  <si>
    <t>Hydraulic turbine integrated type axial force self-balancing rotor assembly</t>
  </si>
  <si>
    <t>CN107725254</t>
  </si>
  <si>
    <t>Small scouting self-balancing robot</t>
  </si>
  <si>
    <t>CN107717942</t>
  </si>
  <si>
    <t>CN107719549</t>
  </si>
  <si>
    <t>OMNI-DIRECTIONAL SELF-BALANCING VEHICLE</t>
  </si>
  <si>
    <t>WO2018032584</t>
  </si>
  <si>
    <t>SELF-BALANCING ELECTRIC VEHICLE</t>
  </si>
  <si>
    <t>WO2018032401</t>
  </si>
  <si>
    <t>WO2018032397</t>
  </si>
  <si>
    <t>WO2018032400</t>
  </si>
  <si>
    <t>WO2018032404</t>
  </si>
  <si>
    <t>WO2018032398</t>
  </si>
  <si>
    <t>Two-wheeled self-balancing vehicle</t>
  </si>
  <si>
    <t>USD810618</t>
  </si>
  <si>
    <t>Self-balancing type water hose pressing mechanism, water hose conveying device and fire fighting truck</t>
  </si>
  <si>
    <t>CN107693987</t>
  </si>
  <si>
    <t>Electric inspection robot based power station switching-station sedimentation early-warning system and method</t>
  </si>
  <si>
    <t>CN107702691</t>
  </si>
  <si>
    <t>Self-balancing and anti-drowning baby carriage based on water-sensitive induction</t>
  </si>
  <si>
    <t>CN107697139</t>
  </si>
  <si>
    <t>Construction installation method for anti-corrosion construction electrical cabinet</t>
  </si>
  <si>
    <t>CN107700520</t>
  </si>
  <si>
    <t>SELF-BALANCING WHEELCHAIR</t>
  </si>
  <si>
    <t>US2018042797</t>
  </si>
  <si>
    <t>Tower crane self-balancing control method and device</t>
  </si>
  <si>
    <t>CN107686065</t>
  </si>
  <si>
    <t>Pressure self-balancing type reaction kettle</t>
  </si>
  <si>
    <t>CN107684882</t>
  </si>
  <si>
    <t>Self-balancing robot and speed control device and method thereof</t>
  </si>
  <si>
    <t>CN107685325</t>
  </si>
  <si>
    <t>Automatic charging system of self-balancing scooter</t>
  </si>
  <si>
    <t>CN107662521</t>
  </si>
  <si>
    <t>Cable crane tower self-balancing system and installing method thereof</t>
  </si>
  <si>
    <t>CN107673239</t>
  </si>
  <si>
    <t>Rotary wheel type stereo parking device</t>
  </si>
  <si>
    <t>CN107675922</t>
  </si>
  <si>
    <t>Self-balancing non-isolated modular multilevel DC-DC converter</t>
  </si>
  <si>
    <t>CN107681886</t>
  </si>
  <si>
    <t>Gravity maintaining method of master-slave heterogeneous mechanical hand</t>
  </si>
  <si>
    <t>CN107679019</t>
  </si>
  <si>
    <t>Self-balancing adjusting method for electric motorcycle with adjusting mechanism</t>
  </si>
  <si>
    <t>CN107672718</t>
  </si>
  <si>
    <t>Method and system for realizing use of interprocess AVL (Self-Balancing Binary Search Tree) tree</t>
  </si>
  <si>
    <t>CN107656993</t>
  </si>
  <si>
    <t>Temperature controller with peak shaving and valley filling functions and method</t>
  </si>
  <si>
    <t>CN107658869</t>
  </si>
  <si>
    <t>Track hoisting mechanism and inspection robot with same</t>
  </si>
  <si>
    <t>CN107642587</t>
  </si>
  <si>
    <t>Ball-wheel steering handlebar-free self-balancing bike</t>
  </si>
  <si>
    <t>CN107628175</t>
  </si>
  <si>
    <t>Omnidirectional ball wheel driven handlebar-free self-balancing bike</t>
  </si>
  <si>
    <t>CN107628174</t>
  </si>
  <si>
    <t>Self-balancing mechanism for printing head</t>
  </si>
  <si>
    <t>CN107627745</t>
  </si>
  <si>
    <t>TWO WHEEL SELF-BALANCING ROBOT AND ITS CONTROL METHOD BY CONTROL MOMENT GYROSCOPE</t>
  </si>
  <si>
    <t>KR20180007208</t>
  </si>
  <si>
    <t>Safety control method and device for balancing vehicles</t>
  </si>
  <si>
    <t>CN107618613</t>
  </si>
  <si>
    <t>Self-balancing scooter inspection and law enforcement method and device</t>
  </si>
  <si>
    <t>CN107622666</t>
  </si>
  <si>
    <t>Self-balancing mechanism for elevator car</t>
  </si>
  <si>
    <t>CN107618961</t>
  </si>
  <si>
    <t>Weight self-balancing device for floating crane</t>
  </si>
  <si>
    <t>CN107601300</t>
  </si>
  <si>
    <t>SELF-BALANCING SCOOTER DIFFERENTIAL CONTROL APPARATUS</t>
  </si>
  <si>
    <t>WO2018026595</t>
  </si>
  <si>
    <t>Two-wheel self-balancing vehicle with platform borne sensor control</t>
  </si>
  <si>
    <t>US2018037293</t>
  </si>
  <si>
    <t>Backflow prevention self-balancing device for well cementing</t>
  </si>
  <si>
    <t>CN107605430</t>
  </si>
  <si>
    <t>End clearance automatic compensation device used for two-cycle aviation piston engine scavenging pump</t>
  </si>
  <si>
    <t>CN107605731</t>
  </si>
  <si>
    <t>Slag ladle hoisting and tipping device capable of making slag ladle maintain original tipping state</t>
  </si>
  <si>
    <t>CN107585720</t>
  </si>
  <si>
    <t>Intelligent self-balancing electric wheelchair</t>
  </si>
  <si>
    <t>CN107569336</t>
  </si>
  <si>
    <t>Self-balancing system of crawler crane</t>
  </si>
  <si>
    <t>CN107572432</t>
  </si>
  <si>
    <t>Circular single-rotor unmanned aerial vehicle</t>
  </si>
  <si>
    <t>CN107571989</t>
  </si>
  <si>
    <t>Control device of anti-corrosion electrical equipment</t>
  </si>
  <si>
    <t>CN107580437</t>
  </si>
  <si>
    <t>Control of a two-wheeled self-balancing vehicle</t>
  </si>
  <si>
    <t>TW201733844</t>
  </si>
  <si>
    <t>METHOD AND APPARATUS FOR CONTROLLING SELF-BALANCING VEHICLE</t>
  </si>
  <si>
    <t>US2018029661</t>
  </si>
  <si>
    <t>WO2018014279</t>
  </si>
  <si>
    <t>WO2018014280</t>
  </si>
  <si>
    <t>SELF-BALANCING VEHICLE-BASED SUPERMARKET SHOPPING GUIDE METHOD, AND SELF-BALANCING VEHICLE</t>
  </si>
  <si>
    <t>WO2018014321</t>
  </si>
  <si>
    <t>ELECTRIC-POWERED SELF-BALANCING SCOOTER</t>
  </si>
  <si>
    <t>WO2018014278</t>
  </si>
  <si>
    <t>WO2018014177</t>
  </si>
  <si>
    <t>WO2018014176</t>
  </si>
  <si>
    <t>WO2018014175</t>
  </si>
  <si>
    <t>ELECTRICALLY POWERED SELF-BALANCING VEHICLE</t>
  </si>
  <si>
    <t>WO2018014182</t>
  </si>
  <si>
    <t>WO2018014180</t>
  </si>
  <si>
    <t>WORK MACHINE</t>
  </si>
  <si>
    <t>WO2018134276</t>
  </si>
  <si>
    <t>Omnidirectional-wheel-steered handlebar-free self-balancing bicycle</t>
  </si>
  <si>
    <t>CN107554663</t>
  </si>
  <si>
    <t>Self-balancing bicycle axle distance automatic regulating mechanism and method</t>
  </si>
  <si>
    <t>CN107554665</t>
  </si>
  <si>
    <t>Device for promoting vapor condensation by regulating and controlling dynamic characteristics of non-condensable gas column</t>
  </si>
  <si>
    <t>CN107537168</t>
  </si>
  <si>
    <t>New energy electric tricycle special for express</t>
  </si>
  <si>
    <t>CN107539204</t>
  </si>
  <si>
    <t>Electric new energy tricycle special for catering industry</t>
  </si>
  <si>
    <t>CN107539205</t>
  </si>
  <si>
    <t>TRANSPORT DEVICE FOR ELECTRIC SELF-BALANCING VEHICLE</t>
  </si>
  <si>
    <t>WO2018010115</t>
  </si>
  <si>
    <t>SELF-BALANCING VEHICLE PATROL AND LAW ENFORCEMENT METHOD AND APPARATUS</t>
  </si>
  <si>
    <t>WO2018010121</t>
  </si>
  <si>
    <t>METHOD AND APPARATUS FOR BALANCING VEHICLE SAFETY CONTROL</t>
  </si>
  <si>
    <t>WO2018010120</t>
  </si>
  <si>
    <t>CONNECTING MEANS USED FOR ELECTRICALLY POWERED SELF-BALANCING VEHICLE, AND ELECTRICALLY POWERED SELF-BALANCING VEHICLE USED FOR PULLING GOODS</t>
  </si>
  <si>
    <t>WO2018010116</t>
  </si>
  <si>
    <t>CONNECTING DEVICE FOR ELECTRIC SELF-BALANCING VEHICLE AND ELECTRIC SELF-BALANCING VEHICLE FOR GOODS TRANSPORTATION</t>
  </si>
  <si>
    <t>WO2018010112</t>
  </si>
  <si>
    <t>CONNECTION DEVICE FOR ELECTRIC SELF-BALANCING VEHICLE AND ELECTRIC SELF-BALANCING VEHICLE FOR CARRYING GOODS</t>
  </si>
  <si>
    <t>WO2018010113</t>
  </si>
  <si>
    <t>CONNECTING APPARATUS FOR USE IN ELECTRIC-POWERED SELF-BALANCING SCOOTER, AND ELECTRIC-POWERED SELF-BALANCING SCOOTER FOR PULLING CARGO</t>
  </si>
  <si>
    <t>WO2018010110</t>
  </si>
  <si>
    <t>self-balancing two-wheeled electric vehicle</t>
  </si>
  <si>
    <t>KR101813143</t>
  </si>
  <si>
    <t>WO2018118856</t>
  </si>
  <si>
    <t>METHOD FOR USING BALANCING VEHICLE TO CARRY OBJECT, AND BALANCING VEHICLE</t>
  </si>
  <si>
    <t>WO2018006298</t>
  </si>
  <si>
    <t>BALANCING VEHICLE SAFETY CONTROL METHOD AND DEVICE</t>
  </si>
  <si>
    <t>WO2018006301</t>
  </si>
  <si>
    <t>METHOD FOR BALANCING VEHICLE TO CARRY OBJECT, AND BALANCING VEHICLE</t>
  </si>
  <si>
    <t>WO2018006300</t>
  </si>
  <si>
    <t>METHOD FOR BODY-SENSING VEHICLE TO CARRY OBJECT, AND BODY-SENSING VEHICLE</t>
  </si>
  <si>
    <t>WO2018006299</t>
  </si>
  <si>
    <t>Pipeline debris are smashed and are used reducing mechanism</t>
  </si>
  <si>
    <t>CN206854288</t>
  </si>
  <si>
    <t>Self -balancing robot</t>
  </si>
  <si>
    <t>CN206863590</t>
  </si>
  <si>
    <t>Bionical car casing of self -balancing</t>
  </si>
  <si>
    <t>CN206856870</t>
  </si>
  <si>
    <t>Small -size hydraulic press of pressure self -balancing</t>
  </si>
  <si>
    <t>CN206854653</t>
  </si>
  <si>
    <t>Self -balancing is unsteady display device in air</t>
  </si>
  <si>
    <t>CN206864148</t>
  </si>
  <si>
    <t>A clamping device for test of fuel cell monocell</t>
  </si>
  <si>
    <t>CN206863066</t>
  </si>
  <si>
    <t>Scooter is from balance mechanism</t>
  </si>
  <si>
    <t>CN206856878</t>
  </si>
  <si>
    <t>Rotary table device</t>
  </si>
  <si>
    <t>CN206838324</t>
  </si>
  <si>
    <t>Self -balancing carousel</t>
  </si>
  <si>
    <t>CN206838323</t>
  </si>
  <si>
    <t>Self -balancing is digging device for tree planting</t>
  </si>
  <si>
    <t>CN206835586</t>
  </si>
  <si>
    <t>Elevator self -balancing car device</t>
  </si>
  <si>
    <t>CN206842794</t>
  </si>
  <si>
    <t>Two branch dynamic formula pedrail robot that drive of self -balancing</t>
  </si>
  <si>
    <t>CN206841563</t>
  </si>
  <si>
    <t>Longitudinal wall of self -balancing hangs</t>
  </si>
  <si>
    <t>CN206841644</t>
  </si>
  <si>
    <t>TWO-WHEELED ELECTRIC SCOOTER</t>
  </si>
  <si>
    <t>WO2017219714</t>
  </si>
  <si>
    <t>ELECTRIC SELF-BALANCING ONE-WHEELED SCOOTER</t>
  </si>
  <si>
    <t>WO2017219715</t>
  </si>
  <si>
    <t>Mechanical type safety hook</t>
  </si>
  <si>
    <t>CN206829735</t>
  </si>
  <si>
    <t>Air propeller for aircraft</t>
  </si>
  <si>
    <t>CN206813318</t>
  </si>
  <si>
    <t>Self -balancing sound barrier</t>
  </si>
  <si>
    <t>CN206815202</t>
  </si>
  <si>
    <t>Double -wheel scooter</t>
  </si>
  <si>
    <t>CN206813194</t>
  </si>
  <si>
    <t>Ternary-form type quickly-disassembled structure self-balancing vehicle based on bionics</t>
  </si>
  <si>
    <t>CN107521597</t>
  </si>
  <si>
    <t>Adjustable pressure -shear combined test system technology platform</t>
  </si>
  <si>
    <t>CN206804451</t>
  </si>
  <si>
    <t>Centrifugal pump inlet pressure self -balancing device</t>
  </si>
  <si>
    <t>CN206801938</t>
  </si>
  <si>
    <t>Self -balancing intelligence switching -over beam -pumping unit</t>
  </si>
  <si>
    <t>CN206801536</t>
  </si>
  <si>
    <t>Take goat's horn chain link grapple</t>
  </si>
  <si>
    <t>CN206798959</t>
  </si>
  <si>
    <t>Multi -motor driving self -synchronizing self -balancing vibrator</t>
  </si>
  <si>
    <t>CN206778581</t>
  </si>
  <si>
    <t>Road handrail horizontal pushing force loading test device</t>
  </si>
  <si>
    <t>CN206787816</t>
  </si>
  <si>
    <t>Two-wheel self-balancing robot</t>
  </si>
  <si>
    <t>CN107499393</t>
  </si>
  <si>
    <t>MULTIFUNCTIONAL INTELLIGENT PERSONAL TRANSPORTER</t>
  </si>
  <si>
    <t>WO2017215113</t>
  </si>
  <si>
    <t>Mail steamer self -balancing food delivery robot</t>
  </si>
  <si>
    <t>CN206764791</t>
  </si>
  <si>
    <t>Self-balancing electric flatbed vehicle</t>
  </si>
  <si>
    <t>CN107487409</t>
  </si>
  <si>
    <t>Fracturing is fast discharge manifold system that allies oneself with of self -balancing for pump truck</t>
  </si>
  <si>
    <t>CN206770985</t>
  </si>
  <si>
    <t>Self -balancing lifting device that sits on fence</t>
  </si>
  <si>
    <t>CN206769356</t>
  </si>
  <si>
    <t>CN206766003</t>
  </si>
  <si>
    <t>Tire for a single wheel self-balancing vehicle</t>
  </si>
  <si>
    <t>USD805464</t>
  </si>
  <si>
    <t>Self balancing scooter</t>
  </si>
  <si>
    <t>USD805429</t>
  </si>
  <si>
    <t>Robot helps disabled</t>
  </si>
  <si>
    <t>CN206748440</t>
  </si>
  <si>
    <t>Manned suitcase</t>
  </si>
  <si>
    <t>CN206744776</t>
  </si>
  <si>
    <t>Self -balancing device and electric vehicle</t>
  </si>
  <si>
    <t>CN206750011</t>
  </si>
  <si>
    <t>550kN composite insulator duplex double-hanging-point leveling suspension string</t>
  </si>
  <si>
    <t>CN107481816</t>
  </si>
  <si>
    <t>Method for active obstacle avoidance trajectory planning and stable tracking control of two-wheeled self-balancing vehicle</t>
  </si>
  <si>
    <t>CN107479556</t>
  </si>
  <si>
    <t>A self -balancing fluorescence sign for underground cavern excavation construction process</t>
  </si>
  <si>
    <t>CN206741864</t>
  </si>
  <si>
    <t>Curtain is hung directional rotation of installation gravity self -balancing with point and is connected pendant combination</t>
  </si>
  <si>
    <t>CN206737212</t>
  </si>
  <si>
    <t>Subcritical hydrolysis-based organic solid waste treatment system and treatment method utilizing same</t>
  </si>
  <si>
    <t>CN107460111</t>
  </si>
  <si>
    <t>Self-balancing cable net structure capable of moderating wind load</t>
  </si>
  <si>
    <t>CN107460956</t>
  </si>
  <si>
    <t>Self-balancing type ceramic printer</t>
  </si>
  <si>
    <t>CN107458093</t>
  </si>
  <si>
    <t>Building compensation terrace</t>
  </si>
  <si>
    <t>CN206721940</t>
  </si>
  <si>
    <t>Self -balancing wheel barrow auxiliary balancing device</t>
  </si>
  <si>
    <t>CN206719381</t>
  </si>
  <si>
    <t>Self -balancing wheel barrow characteristic damping device</t>
  </si>
  <si>
    <t>CN206719414</t>
  </si>
  <si>
    <t>CONCURRENT DISTRIBUTED GRAPH PROCESSING SYSTEM WITH SELF-BALANCE</t>
  </si>
  <si>
    <t>US2017351551</t>
  </si>
  <si>
    <t>Frozen swelling experimental bucket of self -balancing soil body</t>
  </si>
  <si>
    <t>CN206725559</t>
  </si>
  <si>
    <t>Industrial pipeline endoscope self -adaptation support</t>
  </si>
  <si>
    <t>CN206725842</t>
  </si>
  <si>
    <t>Energy -saving horizontal chain drive pumping unit of self -balancing</t>
  </si>
  <si>
    <t>CN206722808</t>
  </si>
  <si>
    <t>Self -balancing high stability developments platform of weighing</t>
  </si>
  <si>
    <t>CN206725073</t>
  </si>
  <si>
    <t>Detachable self-balancing stretcher</t>
  </si>
  <si>
    <t>CN107440846</t>
  </si>
  <si>
    <t>SELF-BALANCING ELECTRIC VEHICLE WITH STRAIN-BASED CONTROLS</t>
  </si>
  <si>
    <t>US2017349231</t>
  </si>
  <si>
    <t>SELF-BALANCING PHOTOVOLTAIC ENERGY STORAGE SYSTEM AND METHOD</t>
  </si>
  <si>
    <t>WO2017210402</t>
  </si>
  <si>
    <t>Self -balancing conveying robot</t>
  </si>
  <si>
    <t>CN206704343</t>
  </si>
  <si>
    <t>Compaction moulding ware</t>
  </si>
  <si>
    <t>CN206710171</t>
  </si>
  <si>
    <t>Self -balancing shaped steel conveyer for building</t>
  </si>
  <si>
    <t>CN206705616</t>
  </si>
  <si>
    <t>Rotary self -balancing lifting device</t>
  </si>
  <si>
    <t>CN206705485</t>
  </si>
  <si>
    <t>Self -balancing cable -stay bridge bridge tower deviation measurement device</t>
  </si>
  <si>
    <t>CN206709830</t>
  </si>
  <si>
    <t>It bears a burden to utilize realizes controlling device and exoskeleton of self -balancing</t>
  </si>
  <si>
    <t>CN206690137</t>
  </si>
  <si>
    <t>Hanging wheel is from balanced structure</t>
  </si>
  <si>
    <t>CN206693811</t>
  </si>
  <si>
    <t>Piston state can extrude pile foundation that resets from load box for balance test</t>
  </si>
  <si>
    <t>CN206693279</t>
  </si>
  <si>
    <t>Self-balancing type vibrating, conveying and separating screen</t>
  </si>
  <si>
    <t>CN107413636</t>
  </si>
  <si>
    <t>Self-balancing earth-retaining wall</t>
  </si>
  <si>
    <t>CN107419742</t>
  </si>
  <si>
    <t>Multi-airbag self-balancing car in case of waterlogging</t>
  </si>
  <si>
    <t>CN107415880</t>
  </si>
  <si>
    <t>Arch type fiber grating pressure sensor</t>
  </si>
  <si>
    <t>CN107421666</t>
  </si>
  <si>
    <t>Intelligent robot for supermarket shopping</t>
  </si>
  <si>
    <t>CN107414781</t>
  </si>
  <si>
    <t>Two -wheeled self -balancing electric motor car current foldback circuit</t>
  </si>
  <si>
    <t>CN206086398</t>
  </si>
  <si>
    <t>VEHICLE WITH SELF-BALANCING SCOOTER</t>
  </si>
  <si>
    <t>WO2018096175</t>
  </si>
  <si>
    <t>USD803722</t>
  </si>
  <si>
    <t>Novel self -balancing roof structure</t>
  </si>
  <si>
    <t>CN206681234</t>
  </si>
  <si>
    <t>Three-phase power-factor correcting AC-DC self-balancing rectifier without neutral connection</t>
  </si>
  <si>
    <t>CN107404239</t>
  </si>
  <si>
    <t>Abutment prestressing force reinforced frame device</t>
  </si>
  <si>
    <t>CN206680859</t>
  </si>
  <si>
    <t>Self -balancing robot system</t>
  </si>
  <si>
    <t>CN206679112</t>
  </si>
  <si>
    <t>Self -balancing air spring</t>
  </si>
  <si>
    <t>CN206682208</t>
  </si>
  <si>
    <t>Temperature bearing type multi-layer anchoring and self-balancing supporting system for seasonally frozen soil tunnel and tunnel surrounding ultra-soft rock</t>
  </si>
  <si>
    <t>CN107401412</t>
  </si>
  <si>
    <t>Self -balancing mapping bracket</t>
  </si>
  <si>
    <t>CN206669255</t>
  </si>
  <si>
    <t>Electric motor car of two -wheeled double tops appearance self -balancing</t>
  </si>
  <si>
    <t>CN206664800</t>
  </si>
  <si>
    <t>Track self -balancing agricultural machinery chassis</t>
  </si>
  <si>
    <t>CN206658410</t>
  </si>
  <si>
    <t>Unpowered self -balancing oil gas liquid charge device for well</t>
  </si>
  <si>
    <t>CN206668224</t>
  </si>
  <si>
    <t>Self -balancing magnetic -type steel sheet hoist cable system</t>
  </si>
  <si>
    <t>CN206553061</t>
  </si>
  <si>
    <t>Vertical two -wheeled self -balancing robot and control system</t>
  </si>
  <si>
    <t>CN206664791</t>
  </si>
  <si>
    <t>Intelligent medical robot for lower limb rehabilitation therapy</t>
  </si>
  <si>
    <t>CN107374911</t>
  </si>
  <si>
    <t>Double-wheel self-balancing intelligent carrying equipment with four-degree-of-freedom mechanical arm</t>
  </si>
  <si>
    <t>CN107380298</t>
  </si>
  <si>
    <t>Gesture car</t>
  </si>
  <si>
    <t>CN206654150</t>
  </si>
  <si>
    <t>Two-wheeled self-balancing robot self-adaptive sliding mode variable structure control system</t>
  </si>
  <si>
    <t>CN107368081</t>
  </si>
  <si>
    <t>Novel self-balanced vibration cleaning sieve</t>
  </si>
  <si>
    <t>CN107362976</t>
  </si>
  <si>
    <t>Self-balancing table face system for 3D printer</t>
  </si>
  <si>
    <t>CN107364127</t>
  </si>
  <si>
    <t>Self-balancing scooter easy to dissipate heat</t>
  </si>
  <si>
    <t>CN107364523</t>
  </si>
  <si>
    <t>SELF-BALANCING THERMAL CONTROL DEVICE FOR INTEGRATED CIRCUITS</t>
  </si>
  <si>
    <t>KR20010034003</t>
  </si>
  <si>
    <t>KR20010034145</t>
  </si>
  <si>
    <t>Construction of long span arched bridge non -support is with cable crane device</t>
  </si>
  <si>
    <t>CN206646413</t>
  </si>
  <si>
    <t>Double round self -balancing car that spherical top was adjusted</t>
  </si>
  <si>
    <t>CN206644922</t>
  </si>
  <si>
    <t>Multidirectional portable multifunctional maritime post house</t>
  </si>
  <si>
    <t>CN107351987</t>
  </si>
  <si>
    <t>METHOD AND DEVICE FOR CONTROLLING SELF-BALANCING VEHICLE</t>
  </si>
  <si>
    <t>RU2016116903</t>
  </si>
  <si>
    <t>Self-balancing vehicle obstacle avoidance system based on PID (Proportion Integration Differentiation) controller</t>
  </si>
  <si>
    <t>CN107344587</t>
  </si>
  <si>
    <t>CN107344588</t>
  </si>
  <si>
    <t>Worm gear formula self -balancing operation platform for slope construction</t>
  </si>
  <si>
    <t>CN206635781</t>
  </si>
  <si>
    <t>Two single wheels combination formula self -balancing car</t>
  </si>
  <si>
    <t>CN206171644</t>
  </si>
  <si>
    <t>Wearable self-balancing exoskeleton device capable of moving unrestrictedly in situ</t>
  </si>
  <si>
    <t>CN107320293</t>
  </si>
  <si>
    <t>Prestress concrete filled steel tube self-balancing type static load test table for bridge static load test</t>
  </si>
  <si>
    <t>CN107340185</t>
  </si>
  <si>
    <t>Double-single-wheel self-balancing electric vehicle and coordination control method thereof</t>
  </si>
  <si>
    <t>CN107336775</t>
  </si>
  <si>
    <t>Adjustable pressure cultural relic display cabinet</t>
  </si>
  <si>
    <t>CN206621140</t>
  </si>
  <si>
    <t>All-direction wheel type movable heavy casting robot</t>
  </si>
  <si>
    <t>CN107321969</t>
  </si>
  <si>
    <t>Self-balancing floating type shear loading device for rock testing</t>
  </si>
  <si>
    <t>CN107328664</t>
  </si>
  <si>
    <t>Egg-shaped pressure-resistant shell device for self-balancing bathyscaphe</t>
  </si>
  <si>
    <t>CN107323603</t>
  </si>
  <si>
    <t>Motor with redundant backup function</t>
  </si>
  <si>
    <t>CN107332380</t>
  </si>
  <si>
    <t>Direction control method for self-balancing electric vehicle and electric vehicle using the same</t>
  </si>
  <si>
    <t>TW201726471</t>
  </si>
  <si>
    <t>Double feed inlet self -balancing multistage centrifugal pump</t>
  </si>
  <si>
    <t>CN206608316</t>
  </si>
  <si>
    <t>Self -balancing pressurization slip casting steel pipe soil nail structure</t>
  </si>
  <si>
    <t>CN206607586</t>
  </si>
  <si>
    <t>Two-axis gyroscope-type virtual motion spherical capsule</t>
  </si>
  <si>
    <t>CN107305750</t>
  </si>
  <si>
    <t>Anti overturning device of single -column mound bridge based on structure self -balancing</t>
  </si>
  <si>
    <t>CN206599729</t>
  </si>
  <si>
    <t>Steel device is put to self -balancing of shaped steel pile up neatly equipment</t>
  </si>
  <si>
    <t>CN206599248</t>
  </si>
  <si>
    <t>Pneumatic welding set in hydraulic pressure self -balancing position</t>
  </si>
  <si>
    <t>CN206588473</t>
  </si>
  <si>
    <t>Nested formula double -drill -bit of moment of torsion self -balancing</t>
  </si>
  <si>
    <t>CN206592076</t>
  </si>
  <si>
    <t>Array inserted concrete vibrator reaches from balanced hoisting system</t>
  </si>
  <si>
    <t>CN206591836</t>
  </si>
  <si>
    <t>Self -balancing dipperstick</t>
  </si>
  <si>
    <t>CN206593654</t>
  </si>
  <si>
    <t>Can keep away barrier self -balancing car controlling means and self -balancing car</t>
  </si>
  <si>
    <t>CN206594528</t>
  </si>
  <si>
    <t>Self -balancing emergency exit that formula of lifting is mining</t>
  </si>
  <si>
    <t>CN206580431</t>
  </si>
  <si>
    <t>Novel self -balancing angle mill</t>
  </si>
  <si>
    <t>CN206578696</t>
  </si>
  <si>
    <t>Fork trunk mast deflection measurement detection device</t>
  </si>
  <si>
    <t>CN107290116</t>
  </si>
  <si>
    <t>Intelligent electric self-balancing scooter based on four-wheel drive</t>
  </si>
  <si>
    <t>CN107284578</t>
  </si>
  <si>
    <t>Mixer for fire-fighting foam liquid extinguishing agent</t>
  </si>
  <si>
    <t>CN107269894</t>
  </si>
  <si>
    <t>Modular test framework</t>
  </si>
  <si>
    <t>CN107271171</t>
  </si>
  <si>
    <t>Processing method of spiced macadamia nut</t>
  </si>
  <si>
    <t>CN107259483</t>
  </si>
  <si>
    <t>Reciprocating cutting knife device with self-balancing structure</t>
  </si>
  <si>
    <t>CN107263563</t>
  </si>
  <si>
    <t>Unmanned self-balancing travelling two-wheel steering system</t>
  </si>
  <si>
    <t>CN107264697</t>
  </si>
  <si>
    <t>Self -balancing aerogenerator</t>
  </si>
  <si>
    <t>CN206571623</t>
  </si>
  <si>
    <t>Pipe network does not have negative pressure self -balancing water supply equipment</t>
  </si>
  <si>
    <t>CN206570861</t>
  </si>
  <si>
    <t>Two -wheeled self -balancing floor truck is cascaded in non -contact</t>
  </si>
  <si>
    <t>CN206569189</t>
  </si>
  <si>
    <t>Two -sided removal construction platform of wall is found to self -balancing</t>
  </si>
  <si>
    <t>CN206570757</t>
  </si>
  <si>
    <t>SELF-BALANCING VEHICLE WITH GRAVITY CONTROL</t>
  </si>
  <si>
    <t>US2017297653</t>
  </si>
  <si>
    <t>Self -balancing detection robot with two from steady cloud platform</t>
  </si>
  <si>
    <t>CN206561410</t>
  </si>
  <si>
    <t>Wire coil support is put to many balanced hydraulic pressure</t>
  </si>
  <si>
    <t>CN206562214</t>
  </si>
  <si>
    <t>Compound trussed movable overload casting robot</t>
  </si>
  <si>
    <t>CN107253179</t>
  </si>
  <si>
    <t>Self -balancing bone china lamps and lanterns</t>
  </si>
  <si>
    <t>CN205979594</t>
  </si>
  <si>
    <t>SELF-BALANCING ELECTRIC VEHICLE HAVING TWO WHEELS</t>
  </si>
  <si>
    <t>WO2017166296</t>
  </si>
  <si>
    <t>METHODS AND DEVICES FOR CONTROLLING SELF-BALANCING VEHICLE TO PARK</t>
  </si>
  <si>
    <t>US2017285650</t>
  </si>
  <si>
    <t>WATER SHIELD FOR USE IN A FRICTION DRIVE VEHICLE AND A VEHICLE HAVING SAME</t>
  </si>
  <si>
    <t>US2017284531</t>
  </si>
  <si>
    <t>METHOD, DEVICE AND COMPUTER-READABLE STORAGE MEDIUM FOR PARKING A SELF-BALANCING VEHICLE</t>
  </si>
  <si>
    <t>US2017282913</t>
  </si>
  <si>
    <t>Measurement self-balancing type mixing technology for foam fire-fighting system</t>
  </si>
  <si>
    <t>CN107213564</t>
  </si>
  <si>
    <t>Town road rainwater well is hydrophobic comb of self -balancing for mouth</t>
  </si>
  <si>
    <t>CN206538856</t>
  </si>
  <si>
    <t>Folding two -wheeled self -balancing car</t>
  </si>
  <si>
    <t>CN206528567</t>
  </si>
  <si>
    <t>Self-Balancing Enclosed Motorcycle</t>
  </si>
  <si>
    <t>US2017277202</t>
  </si>
  <si>
    <t>Turbine interstage seal with self-balancing capability</t>
  </si>
  <si>
    <t>US9771821</t>
  </si>
  <si>
    <t>self-balancing mobile robot</t>
  </si>
  <si>
    <t>Two-wheel self-balancing follow service robot based on depth information and panoramic information</t>
  </si>
  <si>
    <t>CN106826753</t>
  </si>
  <si>
    <t>Ball-borne self-balancing mobile robot platform support</t>
  </si>
  <si>
    <t>CN106627824</t>
  </si>
  <si>
    <t>Self-balancing mobile robot which can be pushed to move</t>
  </si>
  <si>
    <t>CN105291085</t>
  </si>
  <si>
    <t>Multifunctional intelligent accompanying mobile robot</t>
  </si>
  <si>
    <t>CN105108758</t>
  </si>
  <si>
    <t>Self -balancing mobile robot platform support on ball</t>
  </si>
  <si>
    <t>CN204775573</t>
  </si>
  <si>
    <t>The methods of operation of robot boxing match stand on the basis two wheel self balancing mobile device and top body operating pneumatic cylinder</t>
  </si>
  <si>
    <t>KR20150020875</t>
  </si>
  <si>
    <t>self-balancing robot</t>
  </si>
  <si>
    <t>Automatic arm swinging two-wheel self-balancing service robot</t>
  </si>
  <si>
    <t>CN107186736</t>
  </si>
  <si>
    <t>Automatic device is felt to power simulating aircraft 's virtual reality body</t>
  </si>
  <si>
    <t>CN206499863</t>
  </si>
  <si>
    <t>Many connecting rods counter weight mechanism of moment self -balancing</t>
  </si>
  <si>
    <t>CN206484588</t>
  </si>
  <si>
    <t>Self-balancing robot</t>
  </si>
  <si>
    <t>CN107037825</t>
  </si>
  <si>
    <t>Control system for self-balancing ball robot</t>
  </si>
  <si>
    <t>CN106994688</t>
  </si>
  <si>
    <t>Status switching device of self -balancing robot</t>
  </si>
  <si>
    <t>CN206344175</t>
  </si>
  <si>
    <t>Split type input device of outer surface cleaning robot of high -rise building</t>
  </si>
  <si>
    <t>CN206342431</t>
  </si>
  <si>
    <t>Dual-wheel self-balancing robot</t>
  </si>
  <si>
    <t>CN106904153</t>
  </si>
  <si>
    <t>Self-balancing robot system</t>
  </si>
  <si>
    <t>CN106864617</t>
  </si>
  <si>
    <t>Control parameter adjustment method and device and double-wheeled self-balancing robot</t>
  </si>
  <si>
    <t>CN106842927</t>
  </si>
  <si>
    <t>Self -balancing robot that can stand automatically again after empting</t>
  </si>
  <si>
    <t>CN206277398</t>
  </si>
  <si>
    <t>Moment-self-balancing multi-connecting-rod counter weight mechanism and balancing algorithm thereof</t>
  </si>
  <si>
    <t>CN106737841</t>
  </si>
  <si>
    <t>Dynamic suspension self-balancing frame capable of independently driving a plurality of wheels</t>
  </si>
  <si>
    <t>CN106696629</t>
  </si>
  <si>
    <t>One-wheel robot design method possessing yaw ability</t>
  </si>
  <si>
    <t>CN106773663</t>
  </si>
  <si>
    <t>Main structure of wall-climbing cleaning robot for substation</t>
  </si>
  <si>
    <t>CN106733875</t>
  </si>
  <si>
    <t>Self-balancing detection robot with self-stabilizing biaxial platform</t>
  </si>
  <si>
    <t>CN106625569</t>
  </si>
  <si>
    <t>Two-wheeled longitudinal self-balancing robot and control system</t>
  </si>
  <si>
    <t>CN106627894</t>
  </si>
  <si>
    <t>CN206185856</t>
  </si>
  <si>
    <t>Drilling hydraulic mining downhole excavating robot</t>
  </si>
  <si>
    <t>CN106593438</t>
  </si>
  <si>
    <t>Self-Balancing Robot System Comprising Robotic Omniwheel</t>
  </si>
  <si>
    <t>US2017106738</t>
  </si>
  <si>
    <t>Sliding mode adaptive controller with built-in brushless DC motor current loop control for two-wheeled self-balancing robot</t>
  </si>
  <si>
    <t>CN106452206</t>
  </si>
  <si>
    <t>Formula self -balancing unipods robot is awaken up to intelligence</t>
  </si>
  <si>
    <t>CN205928674</t>
  </si>
  <si>
    <t>SELF-BALANCING ROBOT</t>
  </si>
  <si>
    <t>US2017008579</t>
  </si>
  <si>
    <t>AIR FLOW COOLING SYSTEM AND SELF BALANCING ROBOT INCORPORATING THE SAME</t>
  </si>
  <si>
    <t>US2017008176</t>
  </si>
  <si>
    <t>Two-wheeled self-balancing robot control system based on partial known parameters</t>
  </si>
  <si>
    <t>CN106239503</t>
  </si>
  <si>
    <t>Single wheel self -balancing intellectual education robot</t>
  </si>
  <si>
    <t>CN205679960</t>
  </si>
  <si>
    <t>Self -balancing food delivery robot system</t>
  </si>
  <si>
    <t>CN205692040</t>
  </si>
  <si>
    <t>Sliding-mode self-adaptive control system of two-wheeled self-balancing robot</t>
  </si>
  <si>
    <t>CN106078744</t>
  </si>
  <si>
    <t>A multi -functional imitative ant robot for crossing over obstacle</t>
  </si>
  <si>
    <t>CN205469357</t>
  </si>
  <si>
    <t>Developments of many rounds of individual drives hang self -balancing frame</t>
  </si>
  <si>
    <t>CN205468385</t>
  </si>
  <si>
    <t>Self -balancing intelligence firefighting robot</t>
  </si>
  <si>
    <t>CN205216018</t>
  </si>
  <si>
    <t>Can realize top formula wheel barrow robot system of self -balancing</t>
  </si>
  <si>
    <t>CN205176659</t>
  </si>
  <si>
    <t>Clear storehouse of self -adaptation device</t>
  </si>
  <si>
    <t>CN205169904</t>
  </si>
  <si>
    <t>Two-wheeled self-balancing intelligent vehicle posture control method</t>
  </si>
  <si>
    <t>CN105404296</t>
  </si>
  <si>
    <t>Self-adaptive storehouse cleaning device</t>
  </si>
  <si>
    <t>CN105398840</t>
  </si>
  <si>
    <t>Swing arm formula single wheel tight -wire walking robot</t>
  </si>
  <si>
    <t>CN205075070</t>
  </si>
  <si>
    <t>Two -wheeled self -balancing remote control dolly</t>
  </si>
  <si>
    <t>CN205067990</t>
  </si>
  <si>
    <t>Small -size bionical four -footed robot of electric drive</t>
  </si>
  <si>
    <t>CN205034207</t>
  </si>
  <si>
    <t>Step height locking device and self-balancing handlebar rod with height step adjustment function</t>
  </si>
  <si>
    <t>CN105314043</t>
  </si>
  <si>
    <t>Anti-rolling self-balancing car and anti-rolling method thereof</t>
  </si>
  <si>
    <t>CN105314020</t>
  </si>
  <si>
    <t>Gyroscopic wheelbarrow robot system capable of realizing self-balancing</t>
  </si>
  <si>
    <t>CN105302148</t>
  </si>
  <si>
    <t>Small-sized self-balancing scooter</t>
  </si>
  <si>
    <t>CN105270524</t>
  </si>
  <si>
    <t>Weight self-balancing radiotherapy particle implantation robot</t>
  </si>
  <si>
    <t>CN105268093</t>
  </si>
  <si>
    <t>High flexibility ratio self -balancing industrial robot</t>
  </si>
  <si>
    <t>CN204935631</t>
  </si>
  <si>
    <t>Obstacle crossing robot</t>
  </si>
  <si>
    <t>CN105216899</t>
  </si>
  <si>
    <t>Self-balancing scooter</t>
  </si>
  <si>
    <t>CN105197153</t>
  </si>
  <si>
    <t>Collapsible seat installation who accomodates and electronic two wheeler of self -balancing thereof</t>
  </si>
  <si>
    <t>CN204895668</t>
  </si>
  <si>
    <t>Seat device with foldable storage function and self-balancing electric bicycle of seat device</t>
  </si>
  <si>
    <t>CN105151169</t>
  </si>
  <si>
    <t>Pesticide sprays unmanned aerial vehicle</t>
  </si>
  <si>
    <t>CN204846379</t>
  </si>
  <si>
    <t>Dual -purpose double round electric motor car of self -balancing and slide</t>
  </si>
  <si>
    <t>CN204846214</t>
  </si>
  <si>
    <t>Dual -purpose electric motor car of self -balancing and slide</t>
  </si>
  <si>
    <t>CN204846213</t>
  </si>
  <si>
    <t>Dual -purpose tricycle electric motor car of self -balancing and slide</t>
  </si>
  <si>
    <t>CN204821912</t>
  </si>
  <si>
    <t>High-flexibility self-balancing industrial robot</t>
  </si>
  <si>
    <t>CN105082102</t>
  </si>
  <si>
    <t>Self-balancing two-wheel robot</t>
  </si>
  <si>
    <t>CN105068541</t>
  </si>
  <si>
    <t>Self-balancing and sliding plate dual-purpose three-wheel electric vehicle</t>
  </si>
  <si>
    <t>CN105000107</t>
  </si>
  <si>
    <t>Self-balancing and sliding plate dual-purpose electric vehicle</t>
  </si>
  <si>
    <t>CN105000106</t>
  </si>
  <si>
    <t>Spherical self-balancing robot</t>
  </si>
  <si>
    <t>CN104985584</t>
  </si>
  <si>
    <t>Single wheel self -balancing robot of horizontal top structure</t>
  </si>
  <si>
    <t>CN204673629</t>
  </si>
  <si>
    <t>Wall climbing robot</t>
  </si>
  <si>
    <t>CN204641939</t>
  </si>
  <si>
    <t>Gear shaft subassembly of self -balancing two wheeler reducing gear box</t>
  </si>
  <si>
    <t>CN204628516</t>
  </si>
  <si>
    <t>Electrically-driven small bionic four-leg robot</t>
  </si>
  <si>
    <t>CN104875813</t>
  </si>
  <si>
    <t>STEERING DRIVING DEVICE FOR SELF-BALANCING TWO WHEELED VEHICLE</t>
  </si>
  <si>
    <t>US2015239521</t>
  </si>
  <si>
    <t>ONLINE LOAD DETECTION DEVICE FOR SELF-BALANCING TWO-WHEEL VEHICLE</t>
  </si>
  <si>
    <t>US2015239499</t>
  </si>
  <si>
    <t>Be equipped with load detection device's single wheel self-balancing car</t>
  </si>
  <si>
    <t>CN204548330</t>
  </si>
  <si>
    <t>Parking mechanism reaches self-balancing two wheeler including this parking mechanism</t>
  </si>
  <si>
    <t>CN204548290</t>
  </si>
  <si>
    <t>Wall-climbing robot</t>
  </si>
  <si>
    <t>CN104802877</t>
  </si>
  <si>
    <t>Mining safety monitoring patrolling robot</t>
  </si>
  <si>
    <t>CN204476465</t>
  </si>
  <si>
    <t>Two-wheeled self-balancing robot control method based on Kinect device</t>
  </si>
  <si>
    <t>CN104777775</t>
  </si>
  <si>
    <t>Parking mechanism and self-balancing two-wheeled vehicle with parking mechanism</t>
  </si>
  <si>
    <t>CN104787152</t>
  </si>
  <si>
    <t>REMOTE CONTROLLER PAIRING METHOD AND DEVICE FOR SELF-BALANCING TWO-WHEELED SCOOTER</t>
  </si>
  <si>
    <t>WO2015106598</t>
  </si>
  <si>
    <t>METHOD AND SYSTEM FOR CRUISING TWO-WHEEL SELF-BALANCING SCOOTER AT CONSTANT SPEED</t>
  </si>
  <si>
    <t>WO2015101114</t>
  </si>
  <si>
    <t>Self-balancing multi-spiral ground drilling robot</t>
  </si>
  <si>
    <t>CN104653111</t>
  </si>
  <si>
    <t>CN104632274</t>
  </si>
  <si>
    <t>Robot</t>
  </si>
  <si>
    <t>CN104494725</t>
  </si>
  <si>
    <t>Automatic road test device for self-balancing two-wheel vehicle</t>
  </si>
  <si>
    <t>CN104458281</t>
  </si>
  <si>
    <t>High-rigidity hybrid robot capable of achieving gravity self balancing</t>
  </si>
  <si>
    <t>CN104526684</t>
  </si>
  <si>
    <t>Method for judging lower-limb movement intentions of exoskeleton walking aid robot wearer</t>
  </si>
  <si>
    <t>CN104523403</t>
  </si>
  <si>
    <t>Multifunctional two-wheeled self-balancing robot</t>
  </si>
  <si>
    <t>CN204236697</t>
  </si>
  <si>
    <t>Two-wheel self-balancing robot attitude calculation method based on improved Extended Kalman Filter algorithm</t>
  </si>
  <si>
    <t>CN104316055</t>
  </si>
  <si>
    <t>Small self-balancing trolley</t>
  </si>
  <si>
    <t>CN204037782</t>
  </si>
  <si>
    <t>Suspension damping device for self-balancing electric two-wheeler</t>
  </si>
  <si>
    <t>CN204077962</t>
  </si>
  <si>
    <t>Two-wheeled self-balancing robot obstacle avoidance system and control method based on fuzzy control</t>
  </si>
  <si>
    <t>CN104216409</t>
  </si>
  <si>
    <t>self-balancing tour guide</t>
  </si>
  <si>
    <t>self-balancing segway</t>
  </si>
  <si>
    <t>Segway self-balancing two-wheeled vehicle type hook lock device</t>
  </si>
  <si>
    <t>KR20160002006</t>
  </si>
  <si>
    <t>self-balancing electronic tour</t>
  </si>
  <si>
    <t>self-balancing platform</t>
  </si>
  <si>
    <t>Underwater self-balancing device of deep ocean current power generating platform and platform</t>
  </si>
  <si>
    <t>CN107187556</t>
  </si>
  <si>
    <t>Self-balancing transportation device with angular movement of foot platform</t>
  </si>
  <si>
    <t>US2017267306</t>
  </si>
  <si>
    <t>Dynamic bionic self-balancing adjusting device for ocean current power generating platform and platform</t>
  </si>
  <si>
    <t>CN107161295</t>
  </si>
  <si>
    <t>A self -balancing extending mechanism for dual -rope restricts and arranges</t>
  </si>
  <si>
    <t>CN206437835</t>
  </si>
  <si>
    <t>Adjustable technology platform of testing system with combined functions of compressing and shearing</t>
  </si>
  <si>
    <t>CN107063896</t>
  </si>
  <si>
    <t>SELF-BALANCING VEHICLE WITH ADJUSTABLE OR MOVABLE POSITIONING OF FOOT PLATFORMS</t>
  </si>
  <si>
    <t>US2017233023</t>
  </si>
  <si>
    <t>Self-Balancing Load Bearing Vehicle</t>
  </si>
  <si>
    <t>US2017225736</t>
  </si>
  <si>
    <t>Self-balancing support used for balancing flight state of unmanned aerial vehicle</t>
  </si>
  <si>
    <t>CN107010207</t>
  </si>
  <si>
    <t>Fore-aft self-balancing transportation device with low and centered foot platform</t>
  </si>
  <si>
    <t>CN107000804</t>
  </si>
  <si>
    <t>Foot Placement Sensor and Self-Balancing Personal Transportation Device Having Same</t>
  </si>
  <si>
    <t>US2017217529</t>
  </si>
  <si>
    <t>Novel separable express delivery vehicle</t>
  </si>
  <si>
    <t>CN106965886</t>
  </si>
  <si>
    <t>Marching type self -balancing derrick workover rig</t>
  </si>
  <si>
    <t>CN206329280</t>
  </si>
  <si>
    <t>Self -balancing is complete, and bullet car is hung to topography</t>
  </si>
  <si>
    <t>CN206307163</t>
  </si>
  <si>
    <t>Vehicle Comprising Autonomous Steering Column System</t>
  </si>
  <si>
    <t>US2017190335</t>
  </si>
  <si>
    <t>Air -cushion type self -balancing vibration isolation platform</t>
  </si>
  <si>
    <t>CN206300783</t>
  </si>
  <si>
    <t>Air floating vibration control system air spring stiffness self-balancing iteration identification method</t>
  </si>
  <si>
    <t>CN106844991</t>
  </si>
  <si>
    <t>Seabed base in-situ observation platform auxiliary probe rod separation and safety protection device</t>
  </si>
  <si>
    <t>CN106802147</t>
  </si>
  <si>
    <t>High-stability self-balancing dynamic weighing platform</t>
  </si>
  <si>
    <t>CN106768250</t>
  </si>
  <si>
    <t>Overwater balance vessel</t>
  </si>
  <si>
    <t>CN106741785</t>
  </si>
  <si>
    <t>Stepping type self-balancing derrick workover rig</t>
  </si>
  <si>
    <t>CN106639894</t>
  </si>
  <si>
    <t>SELF-BALANCING SCOOTER OR PERSONAL TRANSPORTER</t>
  </si>
  <si>
    <t>WO2017207400</t>
  </si>
  <si>
    <t>Self-balancing type all-terrain bomb hanging vehicle</t>
  </si>
  <si>
    <t>CN106585749</t>
  </si>
  <si>
    <t>Jacket platform life building buckled plate bearing capacity model test device that shears</t>
  </si>
  <si>
    <t>CN206127970</t>
  </si>
  <si>
    <t>Novel marine self -balancing is transferd device</t>
  </si>
  <si>
    <t>CN206049991</t>
  </si>
  <si>
    <t>Round offshore platform</t>
  </si>
  <si>
    <t>CN106494584</t>
  </si>
  <si>
    <t>Electric self-balancing vehicle</t>
  </si>
  <si>
    <t>GB2557589</t>
  </si>
  <si>
    <t>Remote control self -balancing camera car</t>
  </si>
  <si>
    <t>CN205987061</t>
  </si>
  <si>
    <t>Remote control self -balancing panoramic shooting car</t>
  </si>
  <si>
    <t>CN205987062</t>
  </si>
  <si>
    <t>Shear strength model testing device for living building corrugated plate of jacket platform</t>
  </si>
  <si>
    <t>CN106400730</t>
  </si>
  <si>
    <t>Sealing structure for independent support and pressure bearing shell in wind tunnel</t>
  </si>
  <si>
    <t>CN106402541</t>
  </si>
  <si>
    <t>Self -balancing towed vehicle for fire -fighting equipment</t>
  </si>
  <si>
    <t>CN205924782</t>
  </si>
  <si>
    <t>Three degrees of freedom of overconstraint self -balancing platform that connects in parallel</t>
  </si>
  <si>
    <t>CN205915333</t>
  </si>
  <si>
    <t>Self -balancing cloud platform, handheld yun tai and from rapping bar</t>
  </si>
  <si>
    <t>CN205908977</t>
  </si>
  <si>
    <t>Last lower wall of grinding machine or burnishing machine is from balance mechanism</t>
  </si>
  <si>
    <t>CN205904863</t>
  </si>
  <si>
    <t>SELF-BALANCING UNICYCLE DEVICE</t>
  </si>
  <si>
    <t>US2017008590</t>
  </si>
  <si>
    <t>Self -balancing manpower wheel barrow</t>
  </si>
  <si>
    <t>CN205854379</t>
  </si>
  <si>
    <t>WO2017108481</t>
  </si>
  <si>
    <t>Double round self -balancing car</t>
  </si>
  <si>
    <t>CN205737859</t>
  </si>
  <si>
    <t>SELF BALANCING AIR FIXTURE</t>
  </si>
  <si>
    <t>US2016341439</t>
  </si>
  <si>
    <t>Multi -functional photographic track of portable self -balancing rotation cloud platform</t>
  </si>
  <si>
    <t>CN205690018</t>
  </si>
  <si>
    <t>POWERED UNICYCLE DEVICE</t>
  </si>
  <si>
    <t>US2016325801</t>
  </si>
  <si>
    <t>Heavy load self-balancing three-degree-of-freedom parallel mechanism</t>
  </si>
  <si>
    <t>CN106078688</t>
  </si>
  <si>
    <t>Over-constrained self-balancing three-degree-of-freedom parallel-connection platform</t>
  </si>
  <si>
    <t>CN106002956</t>
  </si>
  <si>
    <t>Number statistical system based on four shaft air vehicle</t>
  </si>
  <si>
    <t>CN205621048</t>
  </si>
  <si>
    <t>Non - self -balancing steel truss long -span arch bridge turns</t>
  </si>
  <si>
    <t>CN205529935</t>
  </si>
  <si>
    <t>Can automatic start or close self -balancing car from balance function</t>
  </si>
  <si>
    <t>CN205499187</t>
  </si>
  <si>
    <t>Self -balancing image acquisition device based on ultrasonic sensor range finding</t>
  </si>
  <si>
    <t>CN205490832</t>
  </si>
  <si>
    <t>Self -balancing carrying platform</t>
  </si>
  <si>
    <t>CN205440451</t>
  </si>
  <si>
    <t>SELF-BALANCING POWERED TRANSPORTATION DEVICE</t>
  </si>
  <si>
    <t>WO2017009612</t>
  </si>
  <si>
    <t>Screw type self-balancing operation platform for side slope construction</t>
  </si>
  <si>
    <t>CN105780786</t>
  </si>
  <si>
    <t>Non - self -balancing steel truss long -span arch bridge</t>
  </si>
  <si>
    <t>CN205387664</t>
  </si>
  <si>
    <t>Self -balancing is cut fork and is removed lift platform</t>
  </si>
  <si>
    <t>CN205328561</t>
  </si>
  <si>
    <t>Self-balancing two-wheel balance vehicle and control method</t>
  </si>
  <si>
    <t>CN105676858</t>
  </si>
  <si>
    <t>Self-balancing oil-way system for simulation experiment platform for anti-vibration performance of mechanical structure</t>
  </si>
  <si>
    <t>CN105715599</t>
  </si>
  <si>
    <t>Movable sieving and impurity removing cleaning system</t>
  </si>
  <si>
    <t>CN105618380</t>
  </si>
  <si>
    <t>Self -balancing oil piping system of mechanical structure anti vibration performance simulation experiment platform</t>
  </si>
  <si>
    <t>CN205260463</t>
  </si>
  <si>
    <t>Three jar self -balancing hydraulic pumping unit</t>
  </si>
  <si>
    <t>CN205260008</t>
  </si>
  <si>
    <t>FOOT EXERCISING DEVICE AND SELF-BALANCING POWERED UNICYCLE DEVICE INCORPORATING THE SAME</t>
  </si>
  <si>
    <t>WO2016181113</t>
  </si>
  <si>
    <t>Efficient integrated cleaning equipment</t>
  </si>
  <si>
    <t>CN105583157</t>
  </si>
  <si>
    <t>Self-balancing material conveying vehicle</t>
  </si>
  <si>
    <t>CN105564534</t>
  </si>
  <si>
    <t>Non-self-balancing steel truss large-span arch bridge swivel and construction method thereof</t>
  </si>
  <si>
    <t>CN105544374</t>
  </si>
  <si>
    <t>Self-balancing bike capable of automatically starting or stopping self-balancing function</t>
  </si>
  <si>
    <t>CN105539673</t>
  </si>
  <si>
    <t>Finish machining is self -balancing conveying platform for axle sleeve</t>
  </si>
  <si>
    <t>CN205150945</t>
  </si>
  <si>
    <t>Self -balancing gangway ladder</t>
  </si>
  <si>
    <t>CN205150173</t>
  </si>
  <si>
    <t>Buckling-restrained brace self-balancing vertical loading test system and method thereof</t>
  </si>
  <si>
    <t>CN105424483</t>
  </si>
  <si>
    <t>Self -balancing 3D laser scanner</t>
  </si>
  <si>
    <t>CN205066710</t>
  </si>
  <si>
    <t>Small -size dive load cabin self -balancing system</t>
  </si>
  <si>
    <t>CN205044930</t>
  </si>
  <si>
    <t>Well drilling self -balancing washs jar</t>
  </si>
  <si>
    <t>CN205042791</t>
  </si>
  <si>
    <t>Three-cylinder self-balancing hydraulic pumping unit system</t>
  </si>
  <si>
    <t>CN105350945</t>
  </si>
  <si>
    <t>But multi -functional annular self -balancing electric motor car of independent assortment</t>
  </si>
  <si>
    <t>CN205034254</t>
  </si>
  <si>
    <t>CN205022781</t>
  </si>
  <si>
    <t>CN204979012</t>
  </si>
  <si>
    <t>Car as a house self -balancing system</t>
  </si>
  <si>
    <t>CN204978382</t>
  </si>
  <si>
    <t>Self-balancing type marine equipment delivery platform</t>
  </si>
  <si>
    <t>CN105109647</t>
  </si>
  <si>
    <t>Straightening machine self -balancing lift work or material rest</t>
  </si>
  <si>
    <t>CN204673592</t>
  </si>
  <si>
    <t>Multiscale loading device for recycled concrete long-term crack test</t>
  </si>
  <si>
    <t>CN104949888</t>
  </si>
  <si>
    <t>Loading and measuring device for recycled concrete long-term deformation test</t>
  </si>
  <si>
    <t>CN104949885</t>
  </si>
  <si>
    <t>Mechanism test platform</t>
  </si>
  <si>
    <t>CN104897391</t>
  </si>
  <si>
    <t>Medical both arms surgery of self-balancing operation tower crane</t>
  </si>
  <si>
    <t>CN204542386</t>
  </si>
  <si>
    <t>Intelligence balance car control system</t>
  </si>
  <si>
    <t>CN204536780</t>
  </si>
  <si>
    <t>Unpowered self-balancing tripod</t>
  </si>
  <si>
    <t>CN204534005</t>
  </si>
  <si>
    <t>Wave-resisting type offshore mobile platform</t>
  </si>
  <si>
    <t>CN104627335</t>
  </si>
  <si>
    <t>Water pump leakage detection apparatus</t>
  </si>
  <si>
    <t>CN104422567</t>
  </si>
  <si>
    <t>Narrow-foundation-tower single-pile pier-type self-stabilized foundation for power transmission line</t>
  </si>
  <si>
    <t>CN104499501</t>
  </si>
  <si>
    <t>self-balancing mobile</t>
  </si>
  <si>
    <t>Self-balancing small oil press</t>
  </si>
  <si>
    <t>CN107008898</t>
  </si>
  <si>
    <t>Self -balancing solar cooker pot circle</t>
  </si>
  <si>
    <t>CN206269393</t>
  </si>
  <si>
    <t>Automatic following solar range</t>
  </si>
  <si>
    <t>CN206269394</t>
  </si>
  <si>
    <t>Two -wheeled self -balancing bluetooth intelligent vehicle</t>
  </si>
  <si>
    <t>CN206162197</t>
  </si>
  <si>
    <t>Front and rear two-wheeled self-balancing cart based on grey neural network prediction algorithm</t>
  </si>
  <si>
    <t>CN106240705</t>
  </si>
  <si>
    <t>Balance bike safety control method and device</t>
  </si>
  <si>
    <t>CN106184519</t>
  </si>
  <si>
    <t>Electric self-balancing scooter navigation method, navigation apparatus and electric self-balancing scooter thereof</t>
  </si>
  <si>
    <t>CN106092112</t>
  </si>
  <si>
    <t>self-balancing mobile platform</t>
  </si>
  <si>
    <t>self-balancing outdoor platform</t>
  </si>
  <si>
    <t>self-balancing outdoor tour</t>
  </si>
  <si>
    <t>self-balancing outdoor mobile</t>
  </si>
  <si>
    <t>self-balancing outdoor robot</t>
  </si>
  <si>
    <t>self-balancing indoor platform</t>
  </si>
  <si>
    <t>self-balancing indoor mobile</t>
  </si>
  <si>
    <t>self-balancing indoor robot</t>
  </si>
  <si>
    <t>indoor tour robot</t>
  </si>
  <si>
    <t>Infrared tour robot</t>
  </si>
  <si>
    <t>CN207522607</t>
  </si>
  <si>
    <t>Remote intelligent of switch gear room of transformer substation tours robot</t>
  </si>
  <si>
    <t>CN207216426</t>
  </si>
  <si>
    <t>Device inspection method, device and system, computer readable storage medium and tour inspection robot</t>
  </si>
  <si>
    <t>CN107832770</t>
  </si>
  <si>
    <t>Behaviour system is patrolled to indoor multi -functional trolley -bus modularization of transformer substation</t>
  </si>
  <si>
    <t>CN207123750</t>
  </si>
  <si>
    <t>Then robot is tourd to room of guarantor</t>
  </si>
  <si>
    <t>CN206937299</t>
  </si>
  <si>
    <t>Intelligent robot</t>
  </si>
  <si>
    <t>CN106393142</t>
  </si>
  <si>
    <t>Portable air cleaner ware people of intelligence with security protection monitoring function</t>
  </si>
  <si>
    <t>CN205897359</t>
  </si>
  <si>
    <t>Portable service robot of family based on raspberry group and arduino</t>
  </si>
  <si>
    <t>CN205614688</t>
  </si>
  <si>
    <t>Indoor track robot system with fire control linkage function</t>
  </si>
  <si>
    <t>CN205219159</t>
  </si>
  <si>
    <t>Multi -functional service robot of family</t>
  </si>
  <si>
    <t>CN204976641</t>
  </si>
  <si>
    <t>Unattended substation indoor tour of protection and reconnaissance robot</t>
  </si>
  <si>
    <t>CN204913887</t>
  </si>
  <si>
    <t>Intelligent tour guide robot</t>
  </si>
  <si>
    <t>CN103699126</t>
  </si>
  <si>
    <t>indoor tour platform</t>
  </si>
  <si>
    <t>Long -range wireless tour transmission recording system</t>
  </si>
  <si>
    <t>CN205793013</t>
  </si>
  <si>
    <t>indoor tour mobile</t>
  </si>
  <si>
    <t>Person and asset searching system and method for tourist attractions and freight yards</t>
  </si>
  <si>
    <t>CN106941654</t>
  </si>
  <si>
    <t>Wisdom tour guiding system based on WLAN (Wireless Local Area Network) LBS (Location-based Service)</t>
  </si>
  <si>
    <t>CN105336285</t>
  </si>
  <si>
    <t>outdoor tour robot</t>
  </si>
  <si>
    <t>The robot is patrolled and examined to the transformer substation's intelligence that has wireless temperature measurement function</t>
  </si>
  <si>
    <t>CN204515533</t>
  </si>
  <si>
    <t>outdoor tour platform</t>
  </si>
  <si>
    <t>Natural outdoor bathing place and water bank anti-drowning rescue platform</t>
  </si>
  <si>
    <t>CN103192961</t>
  </si>
  <si>
    <t>Safe riding slide</t>
  </si>
  <si>
    <t>CN202509697</t>
  </si>
  <si>
    <t>System and method of virtual tourism on network</t>
  </si>
  <si>
    <t>CN1410906</t>
  </si>
  <si>
    <t>System and method used for virtual tourism</t>
  </si>
  <si>
    <t>CN1410858</t>
  </si>
  <si>
    <t>commercial tour guide robot</t>
  </si>
  <si>
    <t>CN207139820</t>
  </si>
  <si>
    <t>commercial tour guide platform</t>
  </si>
  <si>
    <t>tour guide robot</t>
  </si>
  <si>
    <t>Guide robot and method of calibrating moving region thereof, and computer readable storage medium</t>
  </si>
  <si>
    <t>AU2017344125</t>
  </si>
  <si>
    <t>Power transmission line leaking current tour inspection robot control device</t>
  </si>
  <si>
    <t>CN108196542</t>
  </si>
  <si>
    <t>Conduct a sightseeing tour from mobile robot based on arduino</t>
  </si>
  <si>
    <t>CN207489434</t>
  </si>
  <si>
    <t>Intelligent guide system</t>
  </si>
  <si>
    <t>CN107993601</t>
  </si>
  <si>
    <t>Gap bridge device of ground wire suspension clamp for tour inspection robot of power transmission line</t>
  </si>
  <si>
    <t>CN107947016</t>
  </si>
  <si>
    <t>Shaft tower for guide rail magnetic force walking wheel step on tower tour robot with transmission line</t>
  </si>
  <si>
    <t>CN206908182</t>
  </si>
  <si>
    <t>Tour guide service robot</t>
  </si>
  <si>
    <t>CN107168320</t>
  </si>
  <si>
    <t>Three-wheel omnidirectional movement-based interactive autonomous guidance system and method</t>
  </si>
  <si>
    <t>CN107045342</t>
  </si>
  <si>
    <t>Stride across guide rail</t>
  </si>
  <si>
    <t>CN206370655</t>
  </si>
  <si>
    <t>Smart guiding robot</t>
  </si>
  <si>
    <t>CN106406319</t>
  </si>
  <si>
    <t>Robot is tourd to terraced building of powering up and down that can decide for oneself</t>
  </si>
  <si>
    <t>CN206287133</t>
  </si>
  <si>
    <t>Mutual induction type has guide robot of navigation and explanation function</t>
  </si>
  <si>
    <t>CN206115270</t>
  </si>
  <si>
    <t>Robot power station tour-inspection system and method</t>
  </si>
  <si>
    <t>CN106532946</t>
  </si>
  <si>
    <t>Method of intelligent robot tour guide</t>
  </si>
  <si>
    <t>CN106446290</t>
  </si>
  <si>
    <t>Intelligent tour guide people system based on tourist data cube</t>
  </si>
  <si>
    <t>CN106251253</t>
  </si>
  <si>
    <t>Automatic charging system of transmission line inspection robot</t>
  </si>
  <si>
    <t>CN205753571</t>
  </si>
  <si>
    <t>Intelligent voice tour guide robot and path optimizing method thereof</t>
  </si>
  <si>
    <t>CN105955252</t>
  </si>
  <si>
    <t>PHOTO BOT</t>
  </si>
  <si>
    <t>KR20160071640</t>
  </si>
  <si>
    <t>Automatic temperature pattern monitored control system that tours of over -and -under type</t>
  </si>
  <si>
    <t>CN205017474</t>
  </si>
  <si>
    <t>mobile tour</t>
  </si>
  <si>
    <t>AUTOMATIC ALERT AND LEAD GENERATION SYSTEM</t>
  </si>
  <si>
    <t>US2018300826</t>
  </si>
  <si>
    <t>METHOD AND APPARATUS FOR INFORMATION RECOMMENDATION</t>
  </si>
  <si>
    <t>US2018268460</t>
  </si>
  <si>
    <t>System and method for arranging user-sourced private local tours amongst parties through the use of mobile devices and web services</t>
  </si>
  <si>
    <t>KR20180075860</t>
  </si>
  <si>
    <t>B2B Tour Platform</t>
  </si>
  <si>
    <t>KR20180065634</t>
  </si>
  <si>
    <t>Intelligent mobile platform fire disaster pre-warning system and method thereof</t>
  </si>
  <si>
    <t>CN108230597</t>
  </si>
  <si>
    <t>Interference-free autonomous tour guide system</t>
  </si>
  <si>
    <t>CN108200539</t>
  </si>
  <si>
    <t>Independent travel method and mobile terminal</t>
  </si>
  <si>
    <t>CN108198098</t>
  </si>
  <si>
    <t>Movable inspection terminal back splint</t>
  </si>
  <si>
    <t>CN207518585</t>
  </si>
  <si>
    <t>GUIDANCE TYPE SHOES-COMBINED GUDING SYSTEM SELECTABLE TOUR COURSE AND METHOD THEREOF</t>
  </si>
  <si>
    <t>KR20180055128</t>
  </si>
  <si>
    <t>MOBILE DEVICE DETECTION AND TRACKING</t>
  </si>
  <si>
    <t>US2018152818</t>
  </si>
  <si>
    <t>In-shop customer data statistic method based on wifi positioning</t>
  </si>
  <si>
    <t>CN108090493</t>
  </si>
  <si>
    <t>Bridge defect smart push system</t>
  </si>
  <si>
    <t>CN108053132</t>
  </si>
  <si>
    <t>Wireless IoT based smart video analysis system and method</t>
  </si>
  <si>
    <t>CN108053605</t>
  </si>
  <si>
    <t>Method and system for a mobile computerized multiple function real estate brokers assistant</t>
  </si>
  <si>
    <t>US9978109</t>
  </si>
  <si>
    <t>Mobile terminal management method of power equipment</t>
  </si>
  <si>
    <t>CN108021988</t>
  </si>
  <si>
    <t>Self-help tour guide system based on deep learning</t>
  </si>
  <si>
    <t>CN107945353</t>
  </si>
  <si>
    <t>GAME-TYPE TOUR SYSTEM USING AUGMENTED REALITY AND METHOD THEREOF</t>
  </si>
  <si>
    <t>KR101840659</t>
  </si>
  <si>
    <t>Multifunctional information switch sign box</t>
  </si>
  <si>
    <t>CN207217331</t>
  </si>
  <si>
    <t>Communication module for general use of public and private networks of electricity system and its communication method</t>
  </si>
  <si>
    <t>CN107872250</t>
  </si>
  <si>
    <t>Intelligent measurement and control device of heat exchanger group of heat exchange station</t>
  </si>
  <si>
    <t>CN207179804</t>
  </si>
  <si>
    <t>Train multifunctional working management system based on multimode communication</t>
  </si>
  <si>
    <t>CN207164837</t>
  </si>
  <si>
    <t>AUTONOMOUS AERIAL POINT OF ATTRACTION HIGHLIGHTING FOR TOUR GUIDES</t>
  </si>
  <si>
    <t>US2018088595</t>
  </si>
  <si>
    <t>Take precious multi -functional rening from rapping bar of charging</t>
  </si>
  <si>
    <t>CN207150668</t>
  </si>
  <si>
    <t>GPS and hand-drawn map-based position conversion system for dual-coordinate system</t>
  </si>
  <si>
    <t>CN107844523</t>
  </si>
  <si>
    <t>Intelligent tour guide device</t>
  </si>
  <si>
    <t>CN107819485</t>
  </si>
  <si>
    <t>Waterproof on -line monitoring system that floods of low lying areas power equipment</t>
  </si>
  <si>
    <t>CN207095649</t>
  </si>
  <si>
    <t>Sightseeing picking robot</t>
  </si>
  <si>
    <t>CN107796390</t>
  </si>
  <si>
    <t>Emergent auxiliary system that deals with of electric wire netting incident</t>
  </si>
  <si>
    <t>CN206977465</t>
  </si>
  <si>
    <t>Special HVDC line inspection and feedback system based on big data</t>
  </si>
  <si>
    <t>CN206906519</t>
  </si>
  <si>
    <t>Tour content and its delivery system using Augmented Reality in Virtual Reality</t>
  </si>
  <si>
    <t>KR20180014910</t>
  </si>
  <si>
    <t>Calling device applied to tourist group</t>
  </si>
  <si>
    <t>CN107682818</t>
  </si>
  <si>
    <t>Method for designing intelligent tour guide system capable of being edited by users based on geo-fencing algorithm</t>
  </si>
  <si>
    <t>CN107682814</t>
  </si>
  <si>
    <t>Near-field travel platform based on GIS technology</t>
  </si>
  <si>
    <t>CN107610000</t>
  </si>
  <si>
    <t>Panoramic photography wired unmanned aerial vehicle and tour live broadcast method</t>
  </si>
  <si>
    <t>CN107613174</t>
  </si>
  <si>
    <t>METHOD FOR TOURISM SERVICE RROVIDED FROM SILVERTOWN LOCATED IN TOURIST ATTRACTION SUCH AS GYEONGJU</t>
  </si>
  <si>
    <t>KR20180005400</t>
  </si>
  <si>
    <t>Substation secondary equipment intelligent tour inspection mobile terminal, server and system</t>
  </si>
  <si>
    <t>CN107564126</t>
  </si>
  <si>
    <t>Intelligent counting monitoring management system based on mobile terminal</t>
  </si>
  <si>
    <t>CN107566459</t>
  </si>
  <si>
    <t>TRAVELER BOARDING/ALIGHTING MANAGEMENT SYSTEM</t>
  </si>
  <si>
    <t>JP2018005482</t>
  </si>
  <si>
    <t>FIT Foreign Independent Tourists MD Direct e-Commerce Platform Service System and Its Method with Tourism Experts and Professional Merchandisers for Offering the Service to Foreign Independent Tourists</t>
  </si>
  <si>
    <t>KR20170136390</t>
  </si>
  <si>
    <t>A monitoring system of robot for campus is tourd</t>
  </si>
  <si>
    <t>CN206807488</t>
  </si>
  <si>
    <t>Scenic area recreation facility information sharing platform system</t>
  </si>
  <si>
    <t>CN107516381</t>
  </si>
  <si>
    <t>Region division guidance system based on Internet</t>
  </si>
  <si>
    <t>CN107506838</t>
  </si>
  <si>
    <t>Mobile tour guiding device</t>
  </si>
  <si>
    <t>TWM475649</t>
  </si>
  <si>
    <t>Tour inspection treatment method for metering full-automatic production operation</t>
  </si>
  <si>
    <t>CN107481348</t>
  </si>
  <si>
    <t>Intelligent tour guiding method based on third-party application program, tour guiding device and equipment</t>
  </si>
  <si>
    <t>CN107484120</t>
  </si>
  <si>
    <t>Intelligent self-service tour guiding system based on depth learning and method thereof</t>
  </si>
  <si>
    <t>CN107451276</t>
  </si>
  <si>
    <t>Can provide scenic spot security preventing and controlling system of AR realtime graphic</t>
  </si>
  <si>
    <t>CN206712972</t>
  </si>
  <si>
    <t>Method and device for realizing self-service tour guide</t>
  </si>
  <si>
    <t>CN107437393</t>
  </si>
  <si>
    <t>US2017342878</t>
  </si>
  <si>
    <t>Infrared high temperature of substation equipment is surveyed scanning in kind and is patrolled and examined appearance</t>
  </si>
  <si>
    <t>CN206674101</t>
  </si>
  <si>
    <t>City-tour question-answering system based on mobile internet</t>
  </si>
  <si>
    <t>CN107391706</t>
  </si>
  <si>
    <t>Method of automatically loading page by App</t>
  </si>
  <si>
    <t>CN107368288</t>
  </si>
  <si>
    <t>Tour-inspection robot and system thereof</t>
  </si>
  <si>
    <t>CN107368083</t>
  </si>
  <si>
    <t>Method for expanding function of electric vehicle and power frequency electric mobile power supply vehicle using same method</t>
  </si>
  <si>
    <t>CN107332306</t>
  </si>
  <si>
    <t>Tour guide equipment renting method and system and renting terminal</t>
  </si>
  <si>
    <t>CN107331063</t>
  </si>
  <si>
    <t>Tourist management terminal</t>
  </si>
  <si>
    <t>CN107330673</t>
  </si>
  <si>
    <t>Travel route planning system in which a cloud platform is provided and comprises a tour editing interface to allow a person to operate for schedule a person tip or a group trip</t>
  </si>
  <si>
    <t>TW201727563</t>
  </si>
  <si>
    <t>Renting method by tour guide equipment card reading</t>
  </si>
  <si>
    <t>CN107301591</t>
  </si>
  <si>
    <t>Humidity automated inspection and regulation box -type substation</t>
  </si>
  <si>
    <t>CN206585256</t>
  </si>
  <si>
    <t>Personalized Tour Information System based on Big-data Technology</t>
  </si>
  <si>
    <t>KR20170107865</t>
  </si>
  <si>
    <t>Intelligent tour guide assistant system based on WeChat customer service interface</t>
  </si>
  <si>
    <t>CN107248121</t>
  </si>
  <si>
    <t>Mini-train seat turnover mechanism of tourist self-selected orientations</t>
  </si>
  <si>
    <t>CN107215348</t>
  </si>
  <si>
    <t>Museum navigation system and use method thereof</t>
  </si>
  <si>
    <t>CN107192385</t>
  </si>
  <si>
    <t>Modular mobile charging device</t>
  </si>
  <si>
    <t>CN206506327</t>
  </si>
  <si>
    <t>Scenic area tour guiding method, server end, client end and system</t>
  </si>
  <si>
    <t>CN107122846</t>
  </si>
  <si>
    <t>METHOD OF MATCHING TOURIST TO GUIDE WITH REALTIME USING MOBILE APPLICATION</t>
  </si>
  <si>
    <t>KR20170092505</t>
  </si>
  <si>
    <t>COMPUTER SYSTEM AND METHOD FOR PROVIDING ON-DEMAND REALTOR SERVICES</t>
  </si>
  <si>
    <t>US2017243311</t>
  </si>
  <si>
    <t>Mobile monitoring system used for intelligence of building</t>
  </si>
  <si>
    <t>CN107085915</t>
  </si>
  <si>
    <t>UHV DC transmission line tour inspection and feedback system based on big data</t>
  </si>
  <si>
    <t>CN107085170</t>
  </si>
  <si>
    <t>INTELLIGENT TOUR GUIDING METHOD, TERMINAL AND SERVER, AND INTELLIGENT TOUR GUIDING SYSTEM</t>
  </si>
  <si>
    <t>CN107079235</t>
  </si>
  <si>
    <t>Travel notebook automatic generation system and method based on intelligent tour guide system</t>
  </si>
  <si>
    <t>CN107066622</t>
  </si>
  <si>
    <t>MOBILE DEVICE DETECTION AND ENGAGING</t>
  </si>
  <si>
    <t>WO2017139379</t>
  </si>
  <si>
    <t>Mobile modular monitoring system applied to comprehensive pipe gallery</t>
  </si>
  <si>
    <t>CN107037773</t>
  </si>
  <si>
    <t>Video device enabling 360 degree omnibearing inspection tour of police car</t>
  </si>
  <si>
    <t>CN106960576</t>
  </si>
  <si>
    <t>Tour augmented reality analysis system</t>
  </si>
  <si>
    <t>CN106951482</t>
  </si>
  <si>
    <t>A method and device for optimizing a scenic region tour guiding path</t>
  </si>
  <si>
    <t>CN106918345</t>
  </si>
  <si>
    <t>Intelligent tour guiding method and device based on mobile terminal</t>
  </si>
  <si>
    <t>CN106920002</t>
  </si>
  <si>
    <t>Substation equipment tour method based on two-dimensional barcode encryption recognition</t>
  </si>
  <si>
    <t>CN107016499</t>
  </si>
  <si>
    <t>System and method for intelligently planning tour-visit guiding route of scenic area based on hand-drawn map</t>
  </si>
  <si>
    <t>CN106931985</t>
  </si>
  <si>
    <t>METHOD AND SYSTEM FOR EVALUATING AGENT ON REAL ESTATE WEBSITES</t>
  </si>
  <si>
    <t>WO2017128351</t>
  </si>
  <si>
    <t>MOBILE LOCATION BASED INFORMATION PLATFORM</t>
  </si>
  <si>
    <t>US2017223497</t>
  </si>
  <si>
    <t>Wisdom management system of tourist party</t>
  </si>
  <si>
    <t>CN206353798</t>
  </si>
  <si>
    <t>Travel insurance method based on mobile APP</t>
  </si>
  <si>
    <t>CN106981028</t>
  </si>
  <si>
    <t>Supply chain management system</t>
  </si>
  <si>
    <t>CN106980934</t>
  </si>
  <si>
    <t>Intelligent tour guide system and method based on map coordinate positive and negative calculation</t>
  </si>
  <si>
    <t>CN106971683</t>
  </si>
  <si>
    <t>Intelligent tour inspection table tennis ball pickup device</t>
  </si>
  <si>
    <t>CN106964121</t>
  </si>
  <si>
    <t>Power transmission line hidden danger management method and system based on mobile phone APP</t>
  </si>
  <si>
    <t>CN106845834</t>
  </si>
  <si>
    <t>Enhanced multifunctional electronic tour guide system and method thereof</t>
  </si>
  <si>
    <t>CN106817416</t>
  </si>
  <si>
    <t>Interactive sand table demonstration method based on 2D code and augmented reality technologies</t>
  </si>
  <si>
    <t>CN106816077</t>
  </si>
  <si>
    <t>TRAVEL SUPPORT SYSTEM</t>
  </si>
  <si>
    <t>JP2017111777</t>
  </si>
  <si>
    <t>TRAVELER POSITION INFORMATION CONFIRMATION SYSTEM, AND TRAVELER POSITION INFORMATION CONFIRMATION METHOD</t>
  </si>
  <si>
    <t>JP2017111497</t>
  </si>
  <si>
    <t>Cage layer health behavior monitoring system based on robot</t>
  </si>
  <si>
    <t>CN206227364</t>
  </si>
  <si>
    <t>Early warning emergency processing system of public electric power equipment</t>
  </si>
  <si>
    <t>CN106802621</t>
  </si>
  <si>
    <t>Scenic region self-service travel method based on mobile Internet</t>
  </si>
  <si>
    <t>CN106780166</t>
  </si>
  <si>
    <t>Virtual tour guide device and implementation method</t>
  </si>
  <si>
    <t>CN106782223</t>
  </si>
  <si>
    <t>Rural tour hiking backpack</t>
  </si>
  <si>
    <t>CN106723891</t>
  </si>
  <si>
    <t>Comprehensive positioning and calling-for-help system for tourism</t>
  </si>
  <si>
    <t>CN106781261</t>
  </si>
  <si>
    <t>Real-time multifunctional switching and tour-inspection operation recording system</t>
  </si>
  <si>
    <t>CN106780153</t>
  </si>
  <si>
    <t>System and method for collecting parking lot information</t>
  </si>
  <si>
    <t>CN106781675</t>
  </si>
  <si>
    <t>City road pavement daily tour-inspection device</t>
  </si>
  <si>
    <t>CN106758712</t>
  </si>
  <si>
    <t>Method for rapidly searching scenic spots by images and tour guide system</t>
  </si>
  <si>
    <t>CN106776849</t>
  </si>
  <si>
    <t>Online synchronous traveling method</t>
  </si>
  <si>
    <t>CN106777119</t>
  </si>
  <si>
    <t>Self-driving tour information broadcasting method and device</t>
  </si>
  <si>
    <t>CN106681682</t>
  </si>
  <si>
    <t>Intelligent power tour-inspection terminal and mobile phone</t>
  </si>
  <si>
    <t>CN106655486</t>
  </si>
  <si>
    <t>Vending machine used for tour and provided with WIFI</t>
  </si>
  <si>
    <t>CN106652187</t>
  </si>
  <si>
    <t>Scenic spot self-guided tour system and method based on mobile network</t>
  </si>
  <si>
    <t>CN106657027</t>
  </si>
  <si>
    <t>A cultural assets tour guide system based on mobile mashups using open APIs</t>
  </si>
  <si>
    <t>KR101728160</t>
  </si>
  <si>
    <t>Sulfur hexafluoride air leakage detects and control circuit</t>
  </si>
  <si>
    <t>CN206161627</t>
  </si>
  <si>
    <t>SYSTEM AND METHOD FOR CONTEXT AWARE AND CUSTOMISED SMART TOUR SERVICE</t>
  </si>
  <si>
    <t>KR20170040114</t>
  </si>
  <si>
    <t>Transmission &amp; distribution electric wire netting inspection system based on mobile terminal</t>
  </si>
  <si>
    <t>CN206133652</t>
  </si>
  <si>
    <t>Sensitive data exception access detection method based on clustering analysis</t>
  </si>
  <si>
    <t>CN106570131</t>
  </si>
  <si>
    <t>METHOD AND APPARATUS FOR MANAGING REAL ESTATE DATA</t>
  </si>
  <si>
    <t>US2017098289</t>
  </si>
  <si>
    <t>3D visualized smart water affairs operation system</t>
  </si>
  <si>
    <t>CN106529764</t>
  </si>
  <si>
    <t>SYSTEM FOR PROVIDING TOUR GUIDE SERVICE USING MOBILE APPLICATION</t>
  </si>
  <si>
    <t>KR20170019605</t>
  </si>
  <si>
    <t>Equipment inspection tour maintenance method based on two-dimensional code</t>
  </si>
  <si>
    <t>CN106485298</t>
  </si>
  <si>
    <t>Wisdom tour guide guide to visitors system based on iBeacon technique</t>
  </si>
  <si>
    <t>CN206004906</t>
  </si>
  <si>
    <t>Exhibition activities tour system</t>
  </si>
  <si>
    <t>CN106454718</t>
  </si>
  <si>
    <t>Mobile terminal based intelligent tour inspection method</t>
  </si>
  <si>
    <t>CN106447818</t>
  </si>
  <si>
    <t>Full -automatic tour alarm ware people</t>
  </si>
  <si>
    <t>CN205992276</t>
  </si>
  <si>
    <t>Tour guide interpretation system scanning two-dimensional code</t>
  </si>
  <si>
    <t>CN106250949</t>
  </si>
  <si>
    <t>Tour group service management platform</t>
  </si>
  <si>
    <t>CN106384312</t>
  </si>
  <si>
    <t>Tour information system based on big data</t>
  </si>
  <si>
    <t>CN106373043</t>
  </si>
  <si>
    <t>Independent kitchen guarding of passenger -cargo miniature car as a house of tour's three way crouches and bathes mobile device</t>
  </si>
  <si>
    <t>CN205916021</t>
  </si>
  <si>
    <t>Mobile phone APP-based scenic area tour guide system of augmented reality glasses</t>
  </si>
  <si>
    <t>CN106357924</t>
  </si>
  <si>
    <t>Virtual tour experience system</t>
  </si>
  <si>
    <t>CN106358010</t>
  </si>
  <si>
    <t>Vital signs monitoring system for observation patients</t>
  </si>
  <si>
    <t>TWM531823</t>
  </si>
  <si>
    <t>Intelligent tour guide method applied to online resource interaction of travel agencies</t>
  </si>
  <si>
    <t>CN106339959</t>
  </si>
  <si>
    <t>APP-based individual traveler request joining method</t>
  </si>
  <si>
    <t>CN106327373</t>
  </si>
  <si>
    <t>Tourist fast signing up method used for mobile phone terminal</t>
  </si>
  <si>
    <t>CN106327372</t>
  </si>
  <si>
    <t>Intelligent mobile security device</t>
  </si>
  <si>
    <t>CN106303381</t>
  </si>
  <si>
    <t>Augmented reality apparatus and method</t>
  </si>
  <si>
    <t>GB2543416</t>
  </si>
  <si>
    <t>Tourism information dynamic navigation system and method</t>
  </si>
  <si>
    <t>CN106225799</t>
  </si>
  <si>
    <t>A city management system</t>
  </si>
  <si>
    <t>CN106126735</t>
  </si>
  <si>
    <t>PROVIDING INFORMATION BASED ON BEACON DETECTION</t>
  </si>
  <si>
    <t>US2016358273</t>
  </si>
  <si>
    <t>Automatic introduction method and device of scenic spot</t>
  </si>
  <si>
    <t>CN106127621</t>
  </si>
  <si>
    <t>Automatic tour guide system for scenic spots</t>
  </si>
  <si>
    <t>CN106102015</t>
  </si>
  <si>
    <t>Mobile phone terminal based citizen oversea security assurance emergency system</t>
  </si>
  <si>
    <t>CN106056261</t>
  </si>
  <si>
    <t>POS CRADLE PROVIDING TOUR INFORMATION</t>
  </si>
  <si>
    <t>KR20160114276</t>
  </si>
  <si>
    <t>A machine room tour inspection method and system</t>
  </si>
  <si>
    <t>CN106033509</t>
  </si>
  <si>
    <t>Big circular knitting machine operational monitoring system based on remove end</t>
  </si>
  <si>
    <t>CN205644202</t>
  </si>
  <si>
    <t>Intelligence guide system based on bluetooth and sound wave recognition technology</t>
  </si>
  <si>
    <t>CN205609160</t>
  </si>
  <si>
    <t>Open passway for transmitting electricity security protection early warning system</t>
  </si>
  <si>
    <t>CN205608954</t>
  </si>
  <si>
    <t>Seal passway for transmitting electricity security protection early warning system</t>
  </si>
  <si>
    <t>CN205608940</t>
  </si>
  <si>
    <t>Visitor receiving management method, visitor management method and tour guide end equipment</t>
  </si>
  <si>
    <t>CN105956949</t>
  </si>
  <si>
    <t>Power transmission line tour inspection method and system based on intelligent mobile terminal</t>
  </si>
  <si>
    <t>CN105956758</t>
  </si>
  <si>
    <t>Network booking tour guide service providing method</t>
  </si>
  <si>
    <t>CN105956679</t>
  </si>
  <si>
    <t>Electric wire netting regulation and control place on duty intelligence tour instrument</t>
  </si>
  <si>
    <t>CN205583855</t>
  </si>
  <si>
    <t>Tour supervise machine</t>
  </si>
  <si>
    <t>CN205566366</t>
  </si>
  <si>
    <t>Safety tour inspection management system</t>
  </si>
  <si>
    <t>CN105913183</t>
  </si>
  <si>
    <t>Making method of three-dimensional virtual scene tour guidance system</t>
  </si>
  <si>
    <t>CN105894998</t>
  </si>
  <si>
    <t>Patrol and examine record appearance in pit</t>
  </si>
  <si>
    <t>CN205486330</t>
  </si>
  <si>
    <t>Real-time panoramic audio-video wireless sharing method and real-time panoramic audio-video wireless sharing platform based on unmanned aerial vehicle</t>
  </si>
  <si>
    <t>CN105872467</t>
  </si>
  <si>
    <t>Unmanned video inspection system of industrial?field</t>
  </si>
  <si>
    <t>CN205453970</t>
  </si>
  <si>
    <t>Fire fighting device intelligent tour inspection system and method based on internet of things GIS</t>
  </si>
  <si>
    <t>CN105844730</t>
  </si>
  <si>
    <t>Broadcasting emission building environment is monitored and is patrolled and examined affirmation system based on wireless network deployment</t>
  </si>
  <si>
    <t>CN205430324</t>
  </si>
  <si>
    <t>Headset and wireless tour guide system applying same</t>
  </si>
  <si>
    <t>CN105828228</t>
  </si>
  <si>
    <t>Tourist management system based on position sharing in mobile internet environment</t>
  </si>
  <si>
    <t>CN105657664</t>
  </si>
  <si>
    <t>Multifunctional tourist attraction service system with team organization function and realization method</t>
  </si>
  <si>
    <t>CN105657038</t>
  </si>
  <si>
    <t>Intelligent tour guide system of museum</t>
  </si>
  <si>
    <t>CN105810132</t>
  </si>
  <si>
    <t>Information interaction system based on spatial orientation sensing</t>
  </si>
  <si>
    <t>CN105791424</t>
  </si>
  <si>
    <t>Rockhole tour detection robot</t>
  </si>
  <si>
    <t>CN105784969</t>
  </si>
  <si>
    <t>Mobile electronic travel cabinet</t>
  </si>
  <si>
    <t>TWI529649</t>
  </si>
  <si>
    <t>Alarm service information releasing system based on Internet</t>
  </si>
  <si>
    <t>CN105761457</t>
  </si>
  <si>
    <t>Self-guided tour device</t>
  </si>
  <si>
    <t>CN105761649</t>
  </si>
  <si>
    <t>All -round transformer station tour -inspection system</t>
  </si>
  <si>
    <t>CN205375555</t>
  </si>
  <si>
    <t>Grain bin grain condition intelligent detection and monitoring system based on mobile robot technology</t>
  </si>
  <si>
    <t>CN105739579</t>
  </si>
  <si>
    <t>Merchandize tour exhibition activity management method and system</t>
  </si>
  <si>
    <t>CN105719067</t>
  </si>
  <si>
    <t>Tour guide method and system based on scenic spot label</t>
  </si>
  <si>
    <t>CN105718547</t>
  </si>
  <si>
    <t>LIGHT TYPE TRAFFIC SIGN MANAGEMENT SYSTEM</t>
  </si>
  <si>
    <t>KR101621668</t>
  </si>
  <si>
    <t>Multifunctional alpenstock</t>
  </si>
  <si>
    <t>CN205267241</t>
  </si>
  <si>
    <t>Intelligence monitoring helmet</t>
  </si>
  <si>
    <t>CN205233585</t>
  </si>
  <si>
    <t>Bluetooth-based exhibit electronic tag and Bluetooth-based exhibit information presentation system</t>
  </si>
  <si>
    <t>CN105574564</t>
  </si>
  <si>
    <t>COMMUNICATION DEVICE SYSTEM AND PROGRAM</t>
  </si>
  <si>
    <t>JP2016072811</t>
  </si>
  <si>
    <t>JP2016072812</t>
  </si>
  <si>
    <t>Electron guide system based on PN512 realizes mobile payment and position location</t>
  </si>
  <si>
    <t>CN205210953</t>
  </si>
  <si>
    <t>Exhibit electronic label based on NFC and exhibit information display system</t>
  </si>
  <si>
    <t>CN105550722</t>
  </si>
  <si>
    <t>Substation equipment electron system of patrolling and examining</t>
  </si>
  <si>
    <t>CN205193900</t>
  </si>
  <si>
    <t>Campus electronic tour guide system based on GPS positioning</t>
  </si>
  <si>
    <t>CN105516918</t>
  </si>
  <si>
    <t>System based on two -dimensional code discernment substation equipment parameter</t>
  </si>
  <si>
    <t>CN205140025</t>
  </si>
  <si>
    <t>Mobile tour guiding system based on Beacon and operation method thereof</t>
  </si>
  <si>
    <t>CN105472133</t>
  </si>
  <si>
    <t>GEOGRAPHICAL LOCATION BASED APPLICATION</t>
  </si>
  <si>
    <t>WO2016043663</t>
  </si>
  <si>
    <t>GIS based power transmission line center management system</t>
  </si>
  <si>
    <t>CN105404968</t>
  </si>
  <si>
    <t>Online detection device and detection method of rough yarn uniformity of roving machine</t>
  </si>
  <si>
    <t>CN105386175</t>
  </si>
  <si>
    <t>Method, system, and computer program product of adaptive tour</t>
  </si>
  <si>
    <t>TW201546748</t>
  </si>
  <si>
    <t>Mobile doctor ward round system</t>
  </si>
  <si>
    <t>CN105373871</t>
  </si>
  <si>
    <t>Mobile terminal-based mutual-help tour guide application method and system</t>
  </si>
  <si>
    <t>CN105355160</t>
  </si>
  <si>
    <t>Be used for inspecting inflexible test equipment of lunar surface tour detector mobile device</t>
  </si>
  <si>
    <t>CN204964167</t>
  </si>
  <si>
    <t>Electric power communication identifier management method based on two-dimensional code</t>
  </si>
  <si>
    <t>CN105225071</t>
  </si>
  <si>
    <t>Intelligence drinking cup</t>
  </si>
  <si>
    <t>CN204838930</t>
  </si>
  <si>
    <t>Guide explains device with locate function</t>
  </si>
  <si>
    <t>CN204795009</t>
  </si>
  <si>
    <t>Visitor fixes a position communication device</t>
  </si>
  <si>
    <t>CN204795008</t>
  </si>
  <si>
    <t>Mobile communication dolly</t>
  </si>
  <si>
    <t>CN204790563</t>
  </si>
  <si>
    <t>Robot tour monitoring method</t>
  </si>
  <si>
    <t>CN105072402</t>
  </si>
  <si>
    <t>Travel location management system</t>
  </si>
  <si>
    <t>CN105050051</t>
  </si>
  <si>
    <t>Method for providing tour guide description for user</t>
  </si>
  <si>
    <t>CN105049479</t>
  </si>
  <si>
    <t>Medical mobile dosing car</t>
  </si>
  <si>
    <t>CN105030465</t>
  </si>
  <si>
    <t>GOLF BOOKING SYSTEM USING MOBILE AND INTERNET COMPUTER</t>
  </si>
  <si>
    <t>KR20150121972</t>
  </si>
  <si>
    <t>Hand-drawn map-based intelligent guide and navigation system of Android system</t>
  </si>
  <si>
    <t>CN105025101</t>
  </si>
  <si>
    <t>IOS system-based hand-drawn map intelligent guide and navigation system</t>
  </si>
  <si>
    <t>CN105025100</t>
  </si>
  <si>
    <t>Intelligent tour-guiding and view-guiding system based on hand-drawn map</t>
  </si>
  <si>
    <t>CN105021186</t>
  </si>
  <si>
    <t>METHOD FOR PROVIDING TOUR ROUTE USING WIRELESS NETWORK AND TERMINAL USING THE SAME</t>
  </si>
  <si>
    <t>KR20150117899</t>
  </si>
  <si>
    <t>Transmission line tours intelligent management and control system</t>
  </si>
  <si>
    <t>CN204732782</t>
  </si>
  <si>
    <t>Mobile intelligent tour guiding and navigating system based on cloud server</t>
  </si>
  <si>
    <t>CN105007320</t>
  </si>
  <si>
    <t>Independently supplying power, cell -phone is omnipotent to be filled</t>
  </si>
  <si>
    <t>CN204696710</t>
  </si>
  <si>
    <t>Blood pressure monitoring management health system with cloud computing</t>
  </si>
  <si>
    <t>TW201525926</t>
  </si>
  <si>
    <t>Tourist geographic position positioning and communication management system and method</t>
  </si>
  <si>
    <t>CN104954990</t>
  </si>
  <si>
    <t>Tour guide terminal system and tour guide method</t>
  </si>
  <si>
    <t>CN104952007</t>
  </si>
  <si>
    <t>Tour guide management background system</t>
  </si>
  <si>
    <t>CN104951892</t>
  </si>
  <si>
    <t>Tour guide system and method</t>
  </si>
  <si>
    <t>CN104951891</t>
  </si>
  <si>
    <t>Automatic identifying and classifying method for sensitive data</t>
  </si>
  <si>
    <t>CN104933443</t>
  </si>
  <si>
    <t>Wireless mobile terminal equipment for IT mobile tour inspection platform</t>
  </si>
  <si>
    <t>CN104916000</t>
  </si>
  <si>
    <t>Shooting electric torch capable of positioning and used for equipment tour inspection</t>
  </si>
  <si>
    <t>CN104869717</t>
  </si>
  <si>
    <t>THE METHOD WHICH CAN BE USED FOR THE TOUR ROUT PLANNING, PREVIEWING AND NAVIGATED TOUR WITH DOWNLOADABLE APPLICATION</t>
  </si>
  <si>
    <t>KR20150088379</t>
  </si>
  <si>
    <t>Intelligent tour guide system and method based on real-time information</t>
  </si>
  <si>
    <t>CN104851062</t>
  </si>
  <si>
    <t>System for Maintaining the Integrity of a Tour Group</t>
  </si>
  <si>
    <t>US2015237477</t>
  </si>
  <si>
    <t>Personnel's mobile device on novel container ship deck</t>
  </si>
  <si>
    <t>CN204507187</t>
  </si>
  <si>
    <t>Novel business trip, tour and small team tour guide service mode</t>
  </si>
  <si>
    <t>CN104809670</t>
  </si>
  <si>
    <t>REAL-TIME BROADCAST CONTENT SYNCHRONIZATION DATABASE SYSTEM</t>
  </si>
  <si>
    <t>US2015193516</t>
  </si>
  <si>
    <t>Roll-call and sign-in system for mobile phones</t>
  </si>
  <si>
    <t>CN104732604</t>
  </si>
  <si>
    <t>Mobile operation and maintenance method for power communication network machine rooms</t>
  </si>
  <si>
    <t>CN104732322</t>
  </si>
  <si>
    <t>Wireless tour guide system using mobile phone</t>
  </si>
  <si>
    <t>CN104683944</t>
  </si>
  <si>
    <t>Scenic spot self-help tour system and scenic spot self-help tour method based on mobile Internet</t>
  </si>
  <si>
    <t>CN104680440</t>
  </si>
  <si>
    <t>BUILDING AUTOMATION REMOTE CONTROL DEVICE WITH AN IN-APPLICATION TOUR</t>
  </si>
  <si>
    <t>US2015159900</t>
  </si>
  <si>
    <t>Mobile phone with synchronized sound playing function</t>
  </si>
  <si>
    <t>CN104660800</t>
  </si>
  <si>
    <t>Industrial ignition monitoring system based on Beidou system and Internet of Things technology</t>
  </si>
  <si>
    <t>CN204347585</t>
  </si>
  <si>
    <t>Ultraviolet flame monitoring system based on Beidou system and Internet of Things technology</t>
  </si>
  <si>
    <t>CN204346497</t>
  </si>
  <si>
    <t>Systems And Methods For Creating And Providing Location-Based Content</t>
  </si>
  <si>
    <t>US2015141059</t>
  </si>
  <si>
    <t>Indoor/outdoor shopping-guide and tour-guide system based on NFC</t>
  </si>
  <si>
    <t>CN204334960</t>
  </si>
  <si>
    <t>Multi-target optimization calculation method for mobile school bus safety whole-process monitoring based on wireless PDA</t>
  </si>
  <si>
    <t>CN104599188</t>
  </si>
  <si>
    <t>Mobile travel IOT (internet of things) platform based on Zigbee and LBS (Location Based Service)</t>
  </si>
  <si>
    <t>CN104426966</t>
  </si>
  <si>
    <t>A power transmission line lightning arrester on-line monitoring device</t>
  </si>
  <si>
    <t>CN204256090</t>
  </si>
  <si>
    <t>Scenic spot self-help guiding system and method based on Beidou navigation</t>
  </si>
  <si>
    <t>CN104469675</t>
  </si>
  <si>
    <t>Method and equipment for excavating tour route based on tour destination</t>
  </si>
  <si>
    <t>CN104463730</t>
  </si>
  <si>
    <t>Self-service tour guide terminal</t>
  </si>
  <si>
    <t>CN204291127</t>
  </si>
  <si>
    <t>Shale-gas well site monitoring system based on mobile intelligent terminal</t>
  </si>
  <si>
    <t>CN204287891</t>
  </si>
  <si>
    <t>High-altitude wireless itinerant detector for transformer substations</t>
  </si>
  <si>
    <t>CN104539894</t>
  </si>
  <si>
    <t>Method and equipment for mining tourism destination attractions</t>
  </si>
  <si>
    <t>CN104537070</t>
  </si>
  <si>
    <t>IOTIPS (internet of things in power systems) based power transformation primary equipment information acquisition and management system</t>
  </si>
  <si>
    <t>CN204203734</t>
  </si>
  <si>
    <t>Mobile type hydrogen energy storage device</t>
  </si>
  <si>
    <t>CN204189879</t>
  </si>
  <si>
    <t>Battery inspection tour system</t>
  </si>
  <si>
    <t>CN204188778</t>
  </si>
  <si>
    <t>Low-voltage power distribution cabinet safety protection method</t>
  </si>
  <si>
    <t>CN104393576</t>
  </si>
  <si>
    <t>Intelligent monitoring device of transformer station</t>
  </si>
  <si>
    <t>CN204155126</t>
  </si>
  <si>
    <t>Tour group search and rescue system</t>
  </si>
  <si>
    <t>CN104333847</t>
  </si>
  <si>
    <t>Manufacturing method for three-dimensional virtual scene tour-guiding and view-guiding system</t>
  </si>
  <si>
    <t>CN104331926</t>
  </si>
  <si>
    <t>Attendance method and system for public security inspection tour</t>
  </si>
  <si>
    <t>CN104299286</t>
  </si>
  <si>
    <t>Tour-inspection task management method and apparatus thereof</t>
  </si>
  <si>
    <t>CN104299285</t>
  </si>
  <si>
    <t>Ultrathin solar mobile power supply</t>
  </si>
  <si>
    <t>CN204068321</t>
  </si>
  <si>
    <t>Solar-direct-driven long-distance sightseeing bicycle with two riding styles</t>
  </si>
  <si>
    <t>CN204056184</t>
  </si>
  <si>
    <t>Test device used for simulating moonwalk load</t>
  </si>
  <si>
    <t>CN203981411</t>
  </si>
  <si>
    <t>RFID intelligent tour guide roll-call system based on Android platform</t>
  </si>
  <si>
    <t>CN203966194</t>
  </si>
  <si>
    <t>RFID (Radio Frequency Identification) intelligent tour guide roll call system based on Android platform</t>
  </si>
  <si>
    <t>CN104134178</t>
  </si>
  <si>
    <t>Omnidirectional free mobile device</t>
  </si>
  <si>
    <t>CN203911810</t>
  </si>
  <si>
    <t>Solar energy direct drive double-riding method long-distance sightseeing bicycle</t>
  </si>
  <si>
    <t>CN104118521</t>
  </si>
  <si>
    <t>Tour guide Bluetooth mobile phone roll call system with functions of roll call and automatically sending message to notify gathering time and location</t>
  </si>
  <si>
    <t>TW201426579</t>
  </si>
  <si>
    <t>Spherical detector for ground inspection tour</t>
  </si>
  <si>
    <t>CN203888918</t>
  </si>
  <si>
    <t>Tourist action-tracking and calling device</t>
  </si>
  <si>
    <t>CN203859884</t>
  </si>
  <si>
    <t>Tourist radio name-calling and paging system</t>
  </si>
  <si>
    <t>CN203859881</t>
  </si>
  <si>
    <t>PROVIDING CONTENT FOR TOURING POINTS-OF-INTEREST OF A REAL PROPERTY ASSET</t>
  </si>
  <si>
    <t>US2014279247</t>
  </si>
  <si>
    <t>Interactive experience pack for tourist at scenic spot or in museum and method thereof</t>
  </si>
  <si>
    <t>CN104036225</t>
  </si>
  <si>
    <t>Subject Matter Based Tour Guide</t>
  </si>
  <si>
    <t>US2014248911</t>
  </si>
  <si>
    <t>Transformer station supervision, tour-inspection, and safeguard integrated alarming system</t>
  </si>
  <si>
    <t>CN203773709</t>
  </si>
  <si>
    <t>Mobile tour guide management terminal</t>
  </si>
  <si>
    <t>CN203759753</t>
  </si>
  <si>
    <t>Remote on-duty system of transformer station</t>
  </si>
  <si>
    <t>CN203758622</t>
  </si>
  <si>
    <t>Tour guide mobile terminal and tour guide method</t>
  </si>
  <si>
    <t>CN103971623</t>
  </si>
  <si>
    <t>Scenic spot mobile tourist self-explanation ticket device</t>
  </si>
  <si>
    <t>CN103944613</t>
  </si>
  <si>
    <t>An intelligent mobile tour-inspection geographical information system based on a GML</t>
  </si>
  <si>
    <t>CN203722668</t>
  </si>
  <si>
    <t>Portable wireless radio frequency card reader</t>
  </si>
  <si>
    <t>CN203720851</t>
  </si>
  <si>
    <t>SYSTEM AND METHOD FOR SERVICING TWO-WAY TOUR INFORMATION BASED ON POSITION INFORMATION</t>
  </si>
  <si>
    <t>KR20140070702</t>
  </si>
  <si>
    <t>Multifunctional concealed bag</t>
  </si>
  <si>
    <t>CN203676344</t>
  </si>
  <si>
    <t>Outdoor sports picture shooting system based on rope and picture obtaining method</t>
  </si>
  <si>
    <t>CN103888533</t>
  </si>
  <si>
    <t>Traveling losing prevention system</t>
  </si>
  <si>
    <t>CN103871213</t>
  </si>
  <si>
    <t>Power transmission intelligent tour-inspection system</t>
  </si>
  <si>
    <t>CN103824337</t>
  </si>
  <si>
    <t>METHOD OF PROVIDING NATURAL TOUR GUIDE FUNCTIONALITY TO LOCATION TRACKING COMPUTERIZED DEVICES</t>
  </si>
  <si>
    <t>WO2014071454</t>
  </si>
  <si>
    <t>Self-guided tour method based on mobile cloud computing image recognition</t>
  </si>
  <si>
    <t>CN103778261</t>
  </si>
  <si>
    <t>Charging structure of handheld mobile tour guide device</t>
  </si>
  <si>
    <t>TWM472357</t>
  </si>
  <si>
    <t>Audio/video tour guiding system based on mobile device</t>
  </si>
  <si>
    <t>TW201406177</t>
  </si>
  <si>
    <t>Tour guiding method and system based on mobile terminals</t>
  </si>
  <si>
    <t>CN103763341</t>
  </si>
  <si>
    <t>Systems and Methods of Using Motion Control to Navigate Panoramas and Virtual Tours</t>
  </si>
  <si>
    <t>US2014089850</t>
  </si>
  <si>
    <t>Method and equipment used for providing resource information corresponding to mobile equipment</t>
  </si>
  <si>
    <t>CN103685472</t>
  </si>
  <si>
    <t>DEVICE AND METHOD FOR MOBILE PHONE HAVING THE INTERNET ONLY FOR THE FOREIGN TOURIST AND ITS RENTAL BUSINESS MODEL</t>
  </si>
  <si>
    <t>KR20140021934</t>
  </si>
  <si>
    <t>DEVICE AND METHOD FOR MOBILE PHONE HAVING THE TOURISM INFORMATION FOR THE FOREIGN TOURIST AND ITS RENTAL BUSINESS MODEL</t>
  </si>
  <si>
    <t>KR20140021456</t>
  </si>
  <si>
    <t>Weather adaptive system of substation tour inspection robot</t>
  </si>
  <si>
    <t>CN203490535</t>
  </si>
  <si>
    <t>ASSISTANT SYSTEM FOR THE TOUR GUIDE</t>
  </si>
  <si>
    <t>US2014074747</t>
  </si>
  <si>
    <t>Intelligent tour guide realizing method and intelligent tour guide device based on mobile network and mobile client</t>
  </si>
  <si>
    <t>CN103632626</t>
  </si>
  <si>
    <t>Operation and maintenance method of substation device</t>
  </si>
  <si>
    <t>CN103617500</t>
  </si>
  <si>
    <t>METHOD FOR PROVIDING TOUR RELATED IOT SERVICE</t>
  </si>
  <si>
    <t>KR20140008669</t>
  </si>
  <si>
    <t>METHOD FOR PROVIDING GUIDE INFORMATION USING MULTIPLE TRANSPARENT DISPLAY DEVICES</t>
  </si>
  <si>
    <t>KR20140001538</t>
  </si>
  <si>
    <t>Method and device for acquiring user subscription resources</t>
  </si>
  <si>
    <t>CN103593408</t>
  </si>
  <si>
    <t>Method and apparatus for virtual TOUR creation in mobile device</t>
  </si>
  <si>
    <t>CN103577099</t>
  </si>
  <si>
    <t>Mobile terminal for tours</t>
  </si>
  <si>
    <t>CN203405852</t>
  </si>
  <si>
    <t>GPS (global positioning system) and 3G network based tour bus scheduling system and method</t>
  </si>
  <si>
    <t>CN103531037</t>
  </si>
  <si>
    <t>Method and device for logging in target application</t>
  </si>
  <si>
    <t>CN103516720</t>
  </si>
  <si>
    <t>SYSTEMS AND METHODS FOR TRACKING USER POSTURES AND MOTIONS TO CONTROL DISPLAY OF AND NAVIGATE PANORAMAS</t>
  </si>
  <si>
    <t>WO2014008438</t>
  </si>
  <si>
    <t>Intelligent safety tour inspection method</t>
  </si>
  <si>
    <t>CN103498701</t>
  </si>
  <si>
    <t>Method and equipment for loading target application on mobile terminal</t>
  </si>
  <si>
    <t>CN103473085</t>
  </si>
  <si>
    <t>Tour guide management system based on mobile tour guide management general terminal</t>
  </si>
  <si>
    <t>CN203350907</t>
  </si>
  <si>
    <t>Satellite network based converged group-divisible data linkage information sub-docking station</t>
  </si>
  <si>
    <t>CN203327055</t>
  </si>
  <si>
    <t>Robot inspection tour system based on hierarchical control structure</t>
  </si>
  <si>
    <t>CN203326440</t>
  </si>
  <si>
    <t>Method and system for querying weather of tourist attractions</t>
  </si>
  <si>
    <t>CN103428342</t>
  </si>
  <si>
    <t>Emergency maintenance and update integrated system and method based on target tracking</t>
  </si>
  <si>
    <t>CN103426061</t>
  </si>
  <si>
    <t>Three-arm annular inspection tour robot mechanism</t>
  </si>
  <si>
    <t>CN203293182</t>
  </si>
  <si>
    <t>Method and apparatus for displaying augmented reality on a handheld device</t>
  </si>
  <si>
    <t>GB2508070</t>
  </si>
  <si>
    <t>A fireproof online monitoring system</t>
  </si>
  <si>
    <t>CN203276452</t>
  </si>
  <si>
    <t>Position obtaining method for tourist group</t>
  </si>
  <si>
    <t>CN103383461</t>
  </si>
  <si>
    <t>MOBILE PHOTO ZONE SERVICE SYSTEM AND METHOD THEREOF</t>
  </si>
  <si>
    <t>KR101310185</t>
  </si>
  <si>
    <t>Method and system for locating through scenic region guide map</t>
  </si>
  <si>
    <t>CN103344974</t>
  </si>
  <si>
    <t>Non-contact navigation electric power tour inspection robot</t>
  </si>
  <si>
    <t>CN203224630</t>
  </si>
  <si>
    <t>GPS DRIVEN ARCHITECTURE FOR DELIVERY OF LOCATION BASED MULTIMEDIA AND METHOD OF USE</t>
  </si>
  <si>
    <t>US2013252639</t>
  </si>
  <si>
    <t>CN103310395</t>
  </si>
  <si>
    <t>Tour guide aid terminal system</t>
  </si>
  <si>
    <t>CN203191563</t>
  </si>
  <si>
    <t>Power saving method for positioning of mobile terminal</t>
  </si>
  <si>
    <t>CN103245961</t>
  </si>
  <si>
    <t>Systems and Methods for Panoramic Video Streaming of Virtual Tours</t>
  </si>
  <si>
    <t>US2013204977</t>
  </si>
  <si>
    <t>Systems and Methods for Monetizing Advertisement Locations of Virtual Tour Applications</t>
  </si>
  <si>
    <t>US2013204712</t>
  </si>
  <si>
    <t>SYSTEMS AND METHODS FOR MONETIZING ADVERTISEMENT LOCATIONS OF VIRTUAL TOUR APPLICATIONS</t>
  </si>
  <si>
    <t>WO2013112756</t>
  </si>
  <si>
    <t>METHOD AND APPARATUS FOR VIRTUAL TOUR CREATION IN MOBILE DEVICE</t>
  </si>
  <si>
    <t>KR20130060121</t>
  </si>
  <si>
    <t>CN203104445</t>
  </si>
  <si>
    <t>Automatic broadcasting method for team tour</t>
  </si>
  <si>
    <t>CN103220620</t>
  </si>
  <si>
    <t>Systems and Methods for Acceleration-Based Motion Control of Virtual Tour Applications</t>
  </si>
  <si>
    <t>US2013191787</t>
  </si>
  <si>
    <t>Systems and Methods for Reliable Motion Control of Virtual Tour Applications</t>
  </si>
  <si>
    <t>US2013191067</t>
  </si>
  <si>
    <t>Novel wireless intelligent mobile terminal speaking guide machine</t>
  </si>
  <si>
    <t>CN203072161</t>
  </si>
  <si>
    <t>Multifunctional mobile phone cover</t>
  </si>
  <si>
    <t>CN203039755</t>
  </si>
  <si>
    <t>Kitchen vehicle</t>
  </si>
  <si>
    <t>CN203032516</t>
  </si>
  <si>
    <t>10kV user tour information managing system</t>
  </si>
  <si>
    <t>CN103164778</t>
  </si>
  <si>
    <t>Facial tissue voice tour guide device</t>
  </si>
  <si>
    <t>CN103150982</t>
  </si>
  <si>
    <t>Transformer station intelligent patrol inspection device</t>
  </si>
  <si>
    <t>CN202975761</t>
  </si>
  <si>
    <t>WiFi-positioning automatic navigation service system in pavilion</t>
  </si>
  <si>
    <t>CN202949571</t>
  </si>
  <si>
    <t>Transformer substation intelligent tour-inspection device</t>
  </si>
  <si>
    <t>CN103092151</t>
  </si>
  <si>
    <t>ADAPTIVE PRESENTATION OF GUIDED TOUR INFORMATION ON MOBILE CLIENT TERMINAL(S)</t>
  </si>
  <si>
    <t>US2013110633</t>
  </si>
  <si>
    <t>Power distribution network real-time monitoring and control system based on internet of things</t>
  </si>
  <si>
    <t>CN202906579</t>
  </si>
  <si>
    <t>Method of achieving intelligent digital tour guide in museum</t>
  </si>
  <si>
    <t>CN103064921</t>
  </si>
  <si>
    <t>Intelligent travel terminal based on general packet radio service (GPRS) and radio frequency identification devices (RFID)</t>
  </si>
  <si>
    <t>CN202855251</t>
  </si>
  <si>
    <t>TOUR GUIDANCE SYSTEM FOR SHARING TOUR INFORMATION USING MOBILE TERMINAL AND METHOD THEREOF</t>
  </si>
  <si>
    <t>KR20120135717</t>
  </si>
  <si>
    <t>MOBILE TERMINAL, METHOD FOR CONTROLLING OF THE MOBILE TERMINAL AND SYSTEM</t>
  </si>
  <si>
    <t>KR20130017179</t>
  </si>
  <si>
    <t>Tour guide system and method with translating function based on mobile phone</t>
  </si>
  <si>
    <t>CN102970424</t>
  </si>
  <si>
    <t>Power transmission iron tower intensity and vibration off-line intelligent inspection tour system</t>
  </si>
  <si>
    <t>CN202748234</t>
  </si>
  <si>
    <t>Tour guide system and method having translation function and based on Mobile Pentium 4(MP4)</t>
  </si>
  <si>
    <t>CN102930805</t>
  </si>
  <si>
    <t>Tour guide system for voice broadcast by using mobile phone</t>
  </si>
  <si>
    <t>CN102917134</t>
  </si>
  <si>
    <t>Electronic tourist-guiding device based on general packet radio service (GPRS)</t>
  </si>
  <si>
    <t>CN202696892</t>
  </si>
  <si>
    <t>Power distribution tour-inspection geographic navigation and power distribution information management master station system</t>
  </si>
  <si>
    <t>CN102843429</t>
  </si>
  <si>
    <t>CUSTOMIZED REAL TIME KOREA MEDICAL TOUR SERVICE AND GIFT CERTIFICATE FOR FOREIGN MEDICAL TOURIST</t>
  </si>
  <si>
    <t>KR101187338</t>
  </si>
  <si>
    <t>Distribution line tour-inspection system</t>
  </si>
  <si>
    <t>CN202586151</t>
  </si>
  <si>
    <t>Novel seaplane wing</t>
  </si>
  <si>
    <t>CN202541829</t>
  </si>
  <si>
    <t>Museum Tour System and Method</t>
  </si>
  <si>
    <t>US2012278721</t>
  </si>
  <si>
    <t>All-in-one machine for rapidly detecting pesticide residues of agricultural product</t>
  </si>
  <si>
    <t>CN102749464</t>
  </si>
  <si>
    <t>Mobile robot platform controlled by Android operating system</t>
  </si>
  <si>
    <t>CN202494922</t>
  </si>
  <si>
    <t>City tour guide mobile phone</t>
  </si>
  <si>
    <t>CN202488719</t>
  </si>
  <si>
    <t>Mobile terminal supporting Internet of Things monitoring function</t>
  </si>
  <si>
    <t>CN202435470</t>
  </si>
  <si>
    <t>Apparatus for selecting tour sites by utilizing mobile phone technology</t>
  </si>
  <si>
    <t>CN202404655</t>
  </si>
  <si>
    <t>Portable solar power supply box</t>
  </si>
  <si>
    <t>CN202353249</t>
  </si>
  <si>
    <t>Tour guide and safety control method based on satellite equipment</t>
  </si>
  <si>
    <t>CN102611747</t>
  </si>
  <si>
    <t>Method and platform for tour guide, visit guide and shopping guide</t>
  </si>
  <si>
    <t>CN102592233</t>
  </si>
  <si>
    <t>Security assurance method based on satellite equipment</t>
  </si>
  <si>
    <t>CN102590826</t>
  </si>
  <si>
    <t>Method for creating and taking a driving tour</t>
  </si>
  <si>
    <t>CN102567440</t>
  </si>
  <si>
    <t>Tour guiding system with mobile terminal as carrier</t>
  </si>
  <si>
    <t>CN202310105</t>
  </si>
  <si>
    <t>Intelligent tour guide service system with scenic spot and intersection broadcasting function</t>
  </si>
  <si>
    <t>CN102522085</t>
  </si>
  <si>
    <t>Method for judging dispersion degree of team and application thereof in tour guide field</t>
  </si>
  <si>
    <t>CN102522044</t>
  </si>
  <si>
    <t>Visual multi-media management method of network users</t>
  </si>
  <si>
    <t>CN102521253</t>
  </si>
  <si>
    <t>LOCATION AWARE TRAVEL MEDIA</t>
  </si>
  <si>
    <t>US2012143980</t>
  </si>
  <si>
    <t>SYSTEM FOR PROVIDING TOUR INFORMATION SERVICE OF MOBILE COMMUNICATION TERMINAL</t>
  </si>
  <si>
    <t>KR20120036444</t>
  </si>
  <si>
    <t>Driving and wind power generation device on bicycle</t>
  </si>
  <si>
    <t>CN202209255</t>
  </si>
  <si>
    <t>Tour conversion socket with universal serial bus (USB) interface</t>
  </si>
  <si>
    <t>CN202206007</t>
  </si>
  <si>
    <t>GIS (Geographic Information System)-based emergency condition management system for tour group</t>
  </si>
  <si>
    <t>CN102421060</t>
  </si>
  <si>
    <t>SIGHTSEEING GUIDE SYSTEM IN FOREIGN LANGUAGE</t>
  </si>
  <si>
    <t>JP2012038278</t>
  </si>
  <si>
    <t>TOUR INFORMATION GUIDE METHOD AND MOBILE DEVICE USING THE SAME</t>
  </si>
  <si>
    <t>KR20120016855</t>
  </si>
  <si>
    <t>Wireless electronic travel assistant</t>
  </si>
  <si>
    <t>CN102385662</t>
  </si>
  <si>
    <t>System and method for producing a tour</t>
  </si>
  <si>
    <t>CN102375870</t>
  </si>
  <si>
    <t>Robot for transformer station device inspection tour</t>
  </si>
  <si>
    <t>CN202153615</t>
  </si>
  <si>
    <t>DEVICE, FACILITY, AND METHOD FOR MIXING SUBSTANCES IN LIQUID AND/OR POWDER FORM</t>
  </si>
  <si>
    <t>WO2012098329</t>
  </si>
  <si>
    <t>Tour-inspection system based on transformer station mobile tour-inspection apparatus</t>
  </si>
  <si>
    <t>CN202145538</t>
  </si>
  <si>
    <t>Multimedia tour description system and method</t>
  </si>
  <si>
    <t>CN102354474</t>
  </si>
  <si>
    <t>Radio signal repeater monitoring system</t>
  </si>
  <si>
    <t>CN102348223</t>
  </si>
  <si>
    <t>Electric power enterprise production site mobile monitoring system</t>
  </si>
  <si>
    <t>CN202103479</t>
  </si>
  <si>
    <t>CN202102887</t>
  </si>
  <si>
    <t>CN202085225</t>
  </si>
  <si>
    <t>System and method for delivering virtual tour content using the hyper-text transfer protocol (HTTP)</t>
  </si>
  <si>
    <t>US2011314090</t>
  </si>
  <si>
    <t>System and method of tour guide service and tourist security monitoring for recreation area.</t>
  </si>
  <si>
    <t>TW201123095</t>
  </si>
  <si>
    <t>Travel tour-guide system utilizing mobile phone to utilizing mobile phone to combine ticket.</t>
  </si>
  <si>
    <t>TW201120789</t>
  </si>
  <si>
    <t>RFID SIM card, and mobile communication module and identification system using the same</t>
  </si>
  <si>
    <t>TW201040841</t>
  </si>
  <si>
    <t>Mobile tour-guide apparatus</t>
  </si>
  <si>
    <t>TW201116800</t>
  </si>
  <si>
    <t>CAPABLE OF COLLECTING INFORMATION USING MOBILE DEVICES AROUND THE REAL WORLD OF VIRTUAL REALITY, REALITY OR THE VIRTUAL WORLD OF HARMONY, AND CONVERT ANALOG HANDS WITH THE GAME SERVER, AND CULTURAL TOURISM CONTROL METHOD</t>
  </si>
  <si>
    <t>KR20110089221</t>
  </si>
  <si>
    <t>Mobile phone lithium battery emergency charging device with only two batteries</t>
  </si>
  <si>
    <t>CN202026112</t>
  </si>
  <si>
    <t>GPS group navigation system and the method thereof</t>
  </si>
  <si>
    <t>TW200813905</t>
  </si>
  <si>
    <t>Tour-group managing equipment based on radio-frequency technology</t>
  </si>
  <si>
    <t>CN201993782</t>
  </si>
  <si>
    <t>LOCATION BASED VIRTUAL TOUR</t>
  </si>
  <si>
    <t>WO2011109347</t>
  </si>
  <si>
    <t>Fault monitoring system of belt conveyer supporting roller</t>
  </si>
  <si>
    <t>CN201951977</t>
  </si>
  <si>
    <t>Personnel in-position management system</t>
  </si>
  <si>
    <t>CN201927083</t>
  </si>
  <si>
    <t>MOBILE PHONE FOR TOUR</t>
  </si>
  <si>
    <t>KR20110068156</t>
  </si>
  <si>
    <t>TWM369497</t>
  </si>
  <si>
    <t>Multifunctional positioning and tour-guiding system in tourist attraction</t>
  </si>
  <si>
    <t>CN201869363</t>
  </si>
  <si>
    <t>Tourism information interaction system based on internet and mobile phone</t>
  </si>
  <si>
    <t>CN201867868</t>
  </si>
  <si>
    <t>Geography information system of mobile tour inspection based on GML and WebServices</t>
  </si>
  <si>
    <t>CN201867807</t>
  </si>
  <si>
    <t>Portable power supply</t>
  </si>
  <si>
    <t>CN201859927</t>
  </si>
  <si>
    <t>Electronic tour guide system and method based on bluetooth technology</t>
  </si>
  <si>
    <t>CN102055501</t>
  </si>
  <si>
    <t>Data processing and communication method for driving tour team</t>
  </si>
  <si>
    <t>CN102044164</t>
  </si>
  <si>
    <t>Auxiliary guide system based on global positioning and mobile communication technology</t>
  </si>
  <si>
    <t>CN201813535</t>
  </si>
  <si>
    <t>Tour guidance information processing method for self-help tour guidance system in stadium</t>
  </si>
  <si>
    <t>CN102024397</t>
  </si>
  <si>
    <t>SMARTPHONE BASED WORLD TOUR GUIDE APPLICATION</t>
  </si>
  <si>
    <t>KR20110013808</t>
  </si>
  <si>
    <t>SECURITY SYSTEM, MOBILE SECURITY DEVICE, AND METHODS OF OPERATING</t>
  </si>
  <si>
    <t>US2011062226</t>
  </si>
  <si>
    <t>MOBILE VEHICLE NAVIGATION METHOD AND APPARATUS THEREOF</t>
  </si>
  <si>
    <t>KR20100129627</t>
  </si>
  <si>
    <t>Wireless ad hoc network-based miniature mobile multifunctional prompt positioning system</t>
  </si>
  <si>
    <t>CN101951550</t>
  </si>
  <si>
    <t>Supermarket tour method</t>
  </si>
  <si>
    <t>CN101938511</t>
  </si>
  <si>
    <t>Intelligent guide system, portable tour guide device and tour guide system</t>
  </si>
  <si>
    <t>CN101909073</t>
  </si>
  <si>
    <t>AUTOMATED AREA INSPECTION AND RECORDKEEPING SYSTEM AND METHOD</t>
  </si>
  <si>
    <t>US2010299179</t>
  </si>
  <si>
    <t>Mobile LED lighting lamp for automobile</t>
  </si>
  <si>
    <t>CN201636561</t>
  </si>
  <si>
    <t>Portable multimedia intelligent digital terminal</t>
  </si>
  <si>
    <t>CN201622346</t>
  </si>
  <si>
    <t>TOUR MISSION GAME METHOD USING RADIO FREQUENCY IDENTIFICATION AND MOBILE TERMINAL</t>
  </si>
  <si>
    <t>KR20100096409</t>
  </si>
  <si>
    <t>Venue self-assist tour guide information processing system</t>
  </si>
  <si>
    <t>CN201532749</t>
  </si>
  <si>
    <t>Intelligent tour conducting system and method for scenery spots</t>
  </si>
  <si>
    <t>CN101769747</t>
  </si>
  <si>
    <t>Compound positioning self-service tour guide machine</t>
  </si>
  <si>
    <t>CN101751838</t>
  </si>
  <si>
    <t>Initiative intelligent tourism service system</t>
  </si>
  <si>
    <t>CN101719925</t>
  </si>
  <si>
    <t>Digitalized safety tour guide device based on GSP</t>
  </si>
  <si>
    <t>CN201465512</t>
  </si>
  <si>
    <t>SYSTEM, PROGRAM AND METHOD FOR DELIVERY SUPPORT</t>
  </si>
  <si>
    <t>JP2010134853</t>
  </si>
  <si>
    <t>INTERNET MOBILE USE PERSON TRIP SERVICE</t>
  </si>
  <si>
    <t>KR20100050055</t>
  </si>
  <si>
    <t>Information collection system based on mobile communication technology, device and method thereof</t>
  </si>
  <si>
    <t>CN101695199</t>
  </si>
  <si>
    <t>Method of inquiring about real-time tour information by utilizing mobile communication device</t>
  </si>
  <si>
    <t>CN101685590</t>
  </si>
  <si>
    <t>Waistband head and storage bag capable of storing identity card</t>
  </si>
  <si>
    <t>CN201360586</t>
  </si>
  <si>
    <t>Anti-theft alarm system of power device</t>
  </si>
  <si>
    <t>CN201355510</t>
  </si>
  <si>
    <t>METHOD AND SYSTEM FOR RECOMMANDING INTELLIGENT TOUR GUIDE, SYSTEM FOR WIRED/WIRELESS CONVERGENCE NETWORK USING THE SAME</t>
  </si>
  <si>
    <t>KR20090072284</t>
  </si>
  <si>
    <t>Global multilingual multimedia information inquiry and interaction system and method</t>
  </si>
  <si>
    <t>CN101499089</t>
  </si>
  <si>
    <t>Resource scheduling apparatus and method</t>
  </si>
  <si>
    <t>US2009199192</t>
  </si>
  <si>
    <t>Mobile phone operated intelligent aquarium</t>
  </si>
  <si>
    <t>CN101488014</t>
  </si>
  <si>
    <t>Multifunctional intelligent safe travelling guidance system</t>
  </si>
  <si>
    <t>CN201274483</t>
  </si>
  <si>
    <t>Streetscape type mobile toilet</t>
  </si>
  <si>
    <t>CN201209270</t>
  </si>
  <si>
    <t>Vehicle i.e. bus, locating method for use during city walking tour, involves outputting warning signal depending on difference between time of arrival of vehicle and remaining time up to preset time</t>
  </si>
  <si>
    <t>DE102008033744</t>
  </si>
  <si>
    <t>City parking information service system based on wireless sensor network</t>
  </si>
  <si>
    <t>CN101354836</t>
  </si>
  <si>
    <t>PERSONAL GUIDE APPLICATION</t>
  </si>
  <si>
    <t>US2009005983</t>
  </si>
  <si>
    <t>TOUR INFORMATION'S BWS CONSTRUCTION AND RELATED BIDIRECTIONAL SERVICE METHODS BY CABLE AND WIRELESS TELECOMMUNICATION NETWORKS AT TERRESTRIAL DMB</t>
  </si>
  <si>
    <t>KR20080083390</t>
  </si>
  <si>
    <t>METHOD OF PROVIDING SERVICE USING NATURAL ECOLOGY EXPERIENCE-TORE GUIDE-MAP</t>
  </si>
  <si>
    <t>KR100860636</t>
  </si>
  <si>
    <t>Mobile communication guide system and guide method</t>
  </si>
  <si>
    <t>CN101252722</t>
  </si>
  <si>
    <t>Phone with electronic label read-write function</t>
  </si>
  <si>
    <t>CN101257672</t>
  </si>
  <si>
    <t>Method and system for tourist guiding, including both navigation and narration, utilizing mobile computing and communication devices</t>
  </si>
  <si>
    <t>US2002091793</t>
  </si>
  <si>
    <t>System for mobile videoconferencing</t>
  </si>
  <si>
    <t>US2002027597</t>
  </si>
  <si>
    <t>SYSTEM AND METHOD FOR USING KNOWN PATH DATA IN DELIVERING ENHANCED MULTIMEDIA CONTENT TO MOBILE DEVICES</t>
  </si>
  <si>
    <t>US2008177793</t>
  </si>
  <si>
    <t>Process for purifying fullerenes</t>
  </si>
  <si>
    <t>US5904852</t>
  </si>
  <si>
    <t>System and methods for mobile videoconferencing</t>
  </si>
  <si>
    <t>US2007273751</t>
  </si>
  <si>
    <t>Device for location-dependent automatic delivery of information with integrated custom print-on-demand</t>
  </si>
  <si>
    <t>US6477542</t>
  </si>
  <si>
    <t>System and method for autonomously delivering information on demand</t>
  </si>
  <si>
    <t>US2008114856</t>
  </si>
  <si>
    <t>Use of rfid tags and readers to automate real time alert signals in a security system</t>
  </si>
  <si>
    <t>US2006208857</t>
  </si>
  <si>
    <t>Hyperactive, non-phosphorylated, mutant transposases of mariner mobile genetic elements</t>
  </si>
  <si>
    <t>US2007031967</t>
  </si>
  <si>
    <t>Method and system for data exchange between servers and mobile devices</t>
  </si>
  <si>
    <t>US2007198631</t>
  </si>
  <si>
    <t>Method and apparatus for controlling mobile receivers</t>
  </si>
  <si>
    <t>US6141357</t>
  </si>
  <si>
    <t>Wireless system for interacting with a game service</t>
  </si>
  <si>
    <t>US2002191017</t>
  </si>
  <si>
    <t>THE MOBILE SINGING ROOM SYSTEMS</t>
  </si>
  <si>
    <t>KR20070012764</t>
  </si>
  <si>
    <t>EVENT PROCESSING SYSTEM AND METHOD USING INTERNET</t>
  </si>
  <si>
    <t>KR20080035758</t>
  </si>
  <si>
    <t>INTERACTIVE SIGHTSEEING INTEGRATION MANAGEMENT SYSTEM USING RF TRANSCEIVER DEVICE</t>
  </si>
  <si>
    <t>KR20080012481</t>
  </si>
  <si>
    <t>SYSTEM AND METHOD OF INNOVATIVE DATA ROAMING SERVICE</t>
  </si>
  <si>
    <t>KR20070081288</t>
  </si>
  <si>
    <t>SYSTEM AND METHOD FOR MOBILE HISTORICAL TOUR GAME USING LBS</t>
  </si>
  <si>
    <t>KR20070036219</t>
  </si>
  <si>
    <t>TOUR BAG WITH VOLUME EXPANSION ENABLED</t>
  </si>
  <si>
    <t>KR20030044980</t>
  </si>
  <si>
    <t>TRAVEL SAFETY INSURANCE SERVICE METHOD USING MOBILE TERMINAL AND SYSTEM THEREOF</t>
  </si>
  <si>
    <t>KR20040010013</t>
  </si>
  <si>
    <t>HISTORY INFORMATION PROVIDING SYSTEM FOR MOBILE COMMUNICATION NETWORK</t>
  </si>
  <si>
    <t>KR20040025066</t>
  </si>
  <si>
    <t>METHOD FOR SUPPLYING SIGHTSEEING GUIDE SERVICE</t>
  </si>
  <si>
    <t>KR20030009725</t>
  </si>
  <si>
    <t>GLOBAL ROAMING SYSTEM IN MOBILE COMMUNICATION NETWORK AND SERVICE METHOD THEREOF</t>
  </si>
  <si>
    <t>KR20030001042</t>
  </si>
  <si>
    <t>METHOD FOR SUPPLYING INTERPRETATION SERVICE AND PAYING CHARGE</t>
  </si>
  <si>
    <t>KR20020088846</t>
  </si>
  <si>
    <t>REMOTE TOUR GUIDE SYSTEM</t>
  </si>
  <si>
    <t>KR20020083749</t>
  </si>
  <si>
    <t>METHOD FOR LEASING MOBILE TERMINAL IN LEASE SYSTEM FOR TOURISM</t>
  </si>
  <si>
    <t>KR20020081889</t>
  </si>
  <si>
    <t>METHOD FOR OFFERING TRAVEL INFORMATION HELP SERVICE USING PDA AND INTERNET</t>
  </si>
  <si>
    <t>KR20010078484</t>
  </si>
  <si>
    <t>METHOD AND SYSTEM FOR PERFORMING TOURISM MARKETING BY OFFERING THREE DIMENSIONAL POSITION DATA ON TERMINAL</t>
  </si>
  <si>
    <t>KR20020071125</t>
  </si>
  <si>
    <t>METHOD FOR OFFERING CURRENT POSITION ON ELECTRONIC MAP IN ELECTRONIC BOOK</t>
  </si>
  <si>
    <t>KR20010044437</t>
  </si>
  <si>
    <t>METHOD FOR PROVIDING EXPEDITION OR TOUR GUIDE SERVICE AT REMOTE PLACE</t>
  </si>
  <si>
    <t>KR20020047800</t>
  </si>
  <si>
    <t>RESERVATION SYSTEM AND METHOD USING COMMUNICATION NETWORK</t>
  </si>
  <si>
    <t>KR20000030541</t>
  </si>
  <si>
    <t>ROUTE GUIDE SYSTEM</t>
  </si>
  <si>
    <t>JP2007205947</t>
  </si>
  <si>
    <t>TOURIST ROUTE GUIDING SYSTEM</t>
  </si>
  <si>
    <t>JP2006292550</t>
  </si>
  <si>
    <t>PORTABLE TELEPHONE, FIRMWARE SENDING SERVER, SYSTEM AND PROGRAM FOR CHANGEOVER COMMUNICATION SYSTEM</t>
  </si>
  <si>
    <t>JP2005348039</t>
  </si>
  <si>
    <t>ALBUM CREATION DEVICE, SYSTEM, AND METHOD</t>
  </si>
  <si>
    <t>JP2005259060</t>
  </si>
  <si>
    <t>CREATION SYSTEM FOR TOUR PLAN, CREATION SERVER AND RECEIVING PORTABLE TERMINAL FOR THE PLAN USED IN THE SYSTEM</t>
  </si>
  <si>
    <t>JP2003044555</t>
  </si>
  <si>
    <t>SYSTEM AND METHOD FOR PROVIDING OF LOCAL INFORMATION AND FOR STORING RECORD</t>
  </si>
  <si>
    <t>JP2003044552</t>
  </si>
  <si>
    <t>DEVICE AND METHOD FOR CURRENCY SERVICE ON NEXT- GENERATION MOBILE COMMUNICATION (IMT-2000) NETWORK</t>
  </si>
  <si>
    <t>JP2002056186</t>
  </si>
  <si>
    <t>SYSTEM FOR PROVIDING INFORMATION SERVICE</t>
  </si>
  <si>
    <t>JP2002169919</t>
  </si>
  <si>
    <t>METHOD AND SYSTEM FOR INFORMATION GUIDE</t>
  </si>
  <si>
    <t>JP2002092193</t>
  </si>
  <si>
    <t>PLANT TOUR SYSTEM</t>
  </si>
  <si>
    <t>JPH0916068</t>
  </si>
  <si>
    <t>MOBILE GENETIC ELEMENTS BELONGING TO THE MARINER FAMILY IN HYDROTHERMAL EUKARYOTES</t>
  </si>
  <si>
    <t>WO2004078962</t>
  </si>
  <si>
    <t>DIGITAL RELATIVE POSITION SENSOR</t>
  </si>
  <si>
    <t>WO9917082</t>
  </si>
  <si>
    <t>AMPHIBIOUS VEHICLE, MOBILE ON AN AIR CUSHION</t>
  </si>
  <si>
    <t>WO8806994</t>
  </si>
  <si>
    <t>PROCESS FOR THE PRODUCTION, IN PROKARYOTES, OF ACTIVE, STABLE TRANSPOSASES OF MARINER MOBILE GENETIC ELEMENTS</t>
  </si>
  <si>
    <t>WO2007063033</t>
  </si>
  <si>
    <t>EP1094417</t>
  </si>
  <si>
    <t>Electronic tour guide comprises a single device in which a number of devices are integrated, such as mobile phone, GPS receiver, etc., so that a multitude of travel requirements are fulfilled in a single convenient unit</t>
  </si>
  <si>
    <t>DE10132714</t>
  </si>
  <si>
    <t>Self-help tourist guide apparatus</t>
  </si>
  <si>
    <t>CN201078787</t>
  </si>
  <si>
    <t>Method and device for issuing tour guide information</t>
  </si>
  <si>
    <t>CN101198104</t>
  </si>
  <si>
    <t>CN101198103</t>
  </si>
  <si>
    <t>Folding cup handle</t>
  </si>
  <si>
    <t>CN101036552</t>
  </si>
  <si>
    <t>Case solar energy electricity charger</t>
  </si>
  <si>
    <t>CN2859830</t>
  </si>
  <si>
    <t>Mobile phone or PDA self-assisted voice guiding method and system</t>
  </si>
  <si>
    <t>CN1937801</t>
  </si>
  <si>
    <t>Mobile multimedia intelligent guide service system and its complementing method</t>
  </si>
  <si>
    <t>CN1913473</t>
  </si>
  <si>
    <t>Global position mobile phone multi-language guide method and system</t>
  </si>
  <si>
    <t>CN101090517</t>
  </si>
  <si>
    <t>mobile tour guide</t>
  </si>
  <si>
    <t>electronic tour guide</t>
  </si>
  <si>
    <t>Intelligence storage battery maintenance device</t>
  </si>
  <si>
    <t>CN207517817</t>
  </si>
  <si>
    <t>Cloud computing platform based tour guide device for tourists in exploration</t>
  </si>
  <si>
    <t>CN108133539</t>
  </si>
  <si>
    <t>Automatic scenic area guide system based on Internet of things</t>
  </si>
  <si>
    <t>CN107886877</t>
  </si>
  <si>
    <t>Beacon Augmented Reality METHOD AND SYSTEM FOR PROVIDING COMPREHENSIVE TRAVEL IMFORMATION GUIDE AND RECOMMENDATION PHOTOGRAPHING POSITION INFORMATION USING BEACON AND AUGMENTED REALITY IN OFFLINE ENVIRONMENT OF SMARTPHONE</t>
  </si>
  <si>
    <t>KR20170129472</t>
  </si>
  <si>
    <t>Automatic tour guide device based on position detection</t>
  </si>
  <si>
    <t>CN107492328</t>
  </si>
  <si>
    <t>METHOD FOR DYNAMIC CREATION OF CUSTOMIZED TOUR GUIDES</t>
  </si>
  <si>
    <t>US2017343365</t>
  </si>
  <si>
    <t>Electronic hydrometric tour gauging vehicle</t>
  </si>
  <si>
    <t>CN206609426</t>
  </si>
  <si>
    <t>Power -driven hydraulic hydrology tour gauging car</t>
  </si>
  <si>
    <t>CN206609427</t>
  </si>
  <si>
    <t>Wisdom tourism management system through internet management</t>
  </si>
  <si>
    <t>CN206515887</t>
  </si>
  <si>
    <t>Wireless transmitting earphone, wireless receiving earphone, and wireless transmission earphone system and method</t>
  </si>
  <si>
    <t>CN107071625</t>
  </si>
  <si>
    <t>Bus tourist guide practical training room and practical training method</t>
  </si>
  <si>
    <t>CN106846966</t>
  </si>
  <si>
    <t>Tour guide control system</t>
  </si>
  <si>
    <t>CN106647550</t>
  </si>
  <si>
    <t>Multi -functional electronic conducts a sightseeing tour quick -wittedly</t>
  </si>
  <si>
    <t>CN206115982</t>
  </si>
  <si>
    <t>Novel electronic tour guide device with position information</t>
  </si>
  <si>
    <t>CN106486036</t>
  </si>
  <si>
    <t>Information disclosure system integrating positioning coordinates into doorplate and method thereof</t>
  </si>
  <si>
    <t>TWI557668</t>
  </si>
  <si>
    <t>Safety guide intelligent tour-spot inspection system</t>
  </si>
  <si>
    <t>CN106204784</t>
  </si>
  <si>
    <t>Push display method and system based on geographical location information</t>
  </si>
  <si>
    <t>CN106027621</t>
  </si>
  <si>
    <t>Intelligent electronic tour guide system based on wireless sensor network and method of intelligent electronic tour guide system based on wireless sensor network</t>
  </si>
  <si>
    <t>CN105743530</t>
  </si>
  <si>
    <t>Diversified intelligent electronic tour guide system and method based on wireless sensor network</t>
  </si>
  <si>
    <t>CN105703792</t>
  </si>
  <si>
    <t>Electronic calculating apparatus for generating an interaction index map of an image, and method thereof</t>
  </si>
  <si>
    <t>CN105574059</t>
  </si>
  <si>
    <t>Can detect electron guide system that small region sight spot location identification alternately covered</t>
  </si>
  <si>
    <t>CN205080605</t>
  </si>
  <si>
    <t>Beidou navigation positioning technology based intelligent management system for bicycles in scenic spot</t>
  </si>
  <si>
    <t>CN105046627</t>
  </si>
  <si>
    <t>Design method for location-based scenic region electronic interpretation service system and system thereof</t>
  </si>
  <si>
    <t>CN105025442</t>
  </si>
  <si>
    <t>Based on big dipper satellite positioning intelligence guide machine</t>
  </si>
  <si>
    <t>CN204695741</t>
  </si>
  <si>
    <t>Tourism management system</t>
  </si>
  <si>
    <t>CN104966174</t>
  </si>
  <si>
    <t>Novel electronic tourist guide terminal</t>
  </si>
  <si>
    <t>CN104732666</t>
  </si>
  <si>
    <t>Self-help electronic narrating method and system</t>
  </si>
  <si>
    <t>CN104680956</t>
  </si>
  <si>
    <t>Automatic tour guide system for scenic region based on Internet of Things</t>
  </si>
  <si>
    <t>CN204360397</t>
  </si>
  <si>
    <t>ELECTRONIC GUIDE SYSTEM, CONTENTS SERVER FOR ELECTRONIC GUIDE SYSTEM, PORTABLE ELECTRONIC GUIDE DEVICE, AND INFORMATION PROCESSING METHOD FOR ELECTRONIC GUIDE SYSTEM</t>
  </si>
  <si>
    <t>US2015134247</t>
  </si>
  <si>
    <t>Individual traveler tour guide machine</t>
  </si>
  <si>
    <t>CN204166870</t>
  </si>
  <si>
    <t>Automatic individual traveler tour guide machine</t>
  </si>
  <si>
    <t>CN204166869</t>
  </si>
  <si>
    <t>Multifunctional self-help tour guide machine</t>
  </si>
  <si>
    <t>CN103903536</t>
  </si>
  <si>
    <t>Wearable electronic guide spectacles</t>
  </si>
  <si>
    <t>CN203658686</t>
  </si>
  <si>
    <t>Wireless router with the integration of electronic self-help guide function</t>
  </si>
  <si>
    <t>CN103648192</t>
  </si>
  <si>
    <t>Self-positioning system of tour guide robot</t>
  </si>
  <si>
    <t>CN203444335</t>
  </si>
  <si>
    <t>Autonomous navigation system of tour guide robot</t>
  </si>
  <si>
    <t>CN203444334</t>
  </si>
  <si>
    <t>Smart travel aiding system</t>
  </si>
  <si>
    <t>CN103500385</t>
  </si>
  <si>
    <t>PASSIVE ULTRA-HIGH-FREQUENCY RFID TOUR GUIDE SYSTEM AND OPERATING METHOD</t>
  </si>
  <si>
    <t>WO2013185509</t>
  </si>
  <si>
    <t>Traveling cap facilitating receiving of information of tour guide</t>
  </si>
  <si>
    <t>CN203328031</t>
  </si>
  <si>
    <t>Automatic tour guide device</t>
  </si>
  <si>
    <t>CN203300181</t>
  </si>
  <si>
    <t>Electronic tour guide apparatus capable of preventing tourists from losing</t>
  </si>
  <si>
    <t>CN203261320</t>
  </si>
  <si>
    <t>Smart phone type tour guide explaining device</t>
  </si>
  <si>
    <t>CN103347123</t>
  </si>
  <si>
    <t>Tourism monitoring system positioning method based on RFID</t>
  </si>
  <si>
    <t>CN103344970</t>
  </si>
  <si>
    <t>Multimedia audio-video guiding machine</t>
  </si>
  <si>
    <t>CN203179461</t>
  </si>
  <si>
    <t>Multifunctional tourist attraction electronic tour guide machine</t>
  </si>
  <si>
    <t>CN203150071</t>
  </si>
  <si>
    <t>Charging docking device of tour guide robot</t>
  </si>
  <si>
    <t>CN203071629</t>
  </si>
  <si>
    <t>Autonomous guided system of tour guide robot</t>
  </si>
  <si>
    <t>CN103163885</t>
  </si>
  <si>
    <t>Electronic tour guide system for tour groups</t>
  </si>
  <si>
    <t>CN202957014</t>
  </si>
  <si>
    <t>Guiding system and method</t>
  </si>
  <si>
    <t>TW201250624</t>
  </si>
  <si>
    <t>Cell phone-based tour guide system having translation function</t>
  </si>
  <si>
    <t>CN202907025</t>
  </si>
  <si>
    <t>Intelligent electronic cicerone machine</t>
  </si>
  <si>
    <t>CN202816320</t>
  </si>
  <si>
    <t>Tour guide system and method with translation function based on MP3 (Moving Picture Experts Group Audio Layer III)</t>
  </si>
  <si>
    <t>CN102968941</t>
  </si>
  <si>
    <t>Electronic commentator in scenic region</t>
  </si>
  <si>
    <t>CN102930801</t>
  </si>
  <si>
    <t>Radio receiver with scenic spot tour guide function</t>
  </si>
  <si>
    <t>CN102916757</t>
  </si>
  <si>
    <t>Intelligent self-service electronic tour guide device</t>
  </si>
  <si>
    <t>CN202615752</t>
  </si>
  <si>
    <t>Portable self-service voice electronic tour guide device and system</t>
  </si>
  <si>
    <t>CN202549236</t>
  </si>
  <si>
    <t>Multifunctional electronic tour-guide flag</t>
  </si>
  <si>
    <t>CN102779464</t>
  </si>
  <si>
    <t>Electronic navigation system</t>
  </si>
  <si>
    <t>CN202433914</t>
  </si>
  <si>
    <t>Non-contact and non-human-intervened tour guide information processing method and apparatus</t>
  </si>
  <si>
    <t>CN102654963</t>
  </si>
  <si>
    <t>SCALABLE INTEGRATED ELECTRONIC CONTROL UNIT FOR VEHICLE</t>
  </si>
  <si>
    <t>US2012218412</t>
  </si>
  <si>
    <t>Virtual tour guide system</t>
  </si>
  <si>
    <t>CN102567600</t>
  </si>
  <si>
    <t>Radio-frequency-identification-technology-based electronic navigation system</t>
  </si>
  <si>
    <t>CN102509528</t>
  </si>
  <si>
    <t>Wireless tour electronic assistant</t>
  </si>
  <si>
    <t>CN202275407</t>
  </si>
  <si>
    <t>Electronic tour guide system with positioning function</t>
  </si>
  <si>
    <t>CN202084270</t>
  </si>
  <si>
    <t>CN202058142</t>
  </si>
  <si>
    <t>Electronic alarming device capable of replacing manual roll call and preventing personnel form escaping from team</t>
  </si>
  <si>
    <t>TW201019279</t>
  </si>
  <si>
    <t>TW200903012</t>
  </si>
  <si>
    <t>Tour guide information acquiring method, tour guide information transmitting method and equipment</t>
  </si>
  <si>
    <t>CN102118708</t>
  </si>
  <si>
    <t>Tour guide system in scenic area based on RFID (Radio Frequency Identification)</t>
  </si>
  <si>
    <t>CN102117585</t>
  </si>
  <si>
    <t>Cross-platform electronic tour guide system based on website and location of global positioning system (GPS)</t>
  </si>
  <si>
    <t>CN201846478</t>
  </si>
  <si>
    <t>Tour guide information medium</t>
  </si>
  <si>
    <t>CN201845529</t>
  </si>
  <si>
    <t>Map-type voice guide machine</t>
  </si>
  <si>
    <t>CN201845528</t>
  </si>
  <si>
    <t>Personal electronic tour guide device</t>
  </si>
  <si>
    <t>CN201829165</t>
  </si>
  <si>
    <t>Tourism electronic commerce method and system</t>
  </si>
  <si>
    <t>CN101976405</t>
  </si>
  <si>
    <t>Movable payment intelligent electronic tour guide machine</t>
  </si>
  <si>
    <t>CN201707735</t>
  </si>
  <si>
    <t>System of intelligent electronic cicerone machine</t>
  </si>
  <si>
    <t>CN201499166</t>
  </si>
  <si>
    <t>Method and system for handheld wireless intelligent guide</t>
  </si>
  <si>
    <t>CN101656545</t>
  </si>
  <si>
    <t>Tour guide and navigation method and tour guide and navigation terminal</t>
  </si>
  <si>
    <t>CN101620814</t>
  </si>
  <si>
    <t>Intelligent tour guide and navigation terminal and tour guide and navigation method thereof</t>
  </si>
  <si>
    <t>CN101619982</t>
  </si>
  <si>
    <t>Voice tour guide machine</t>
  </si>
  <si>
    <t>CN201345212</t>
  </si>
  <si>
    <t>Map travelling guidance machine for urban travelling</t>
  </si>
  <si>
    <t>CN201274149</t>
  </si>
  <si>
    <t>Portable electronic tour guide device</t>
  </si>
  <si>
    <t>CN201259771</t>
  </si>
  <si>
    <t>TRAVELING GUIDE DEVICE USING A KIOSK BASED ON RFID AND METHOD THEREOF</t>
  </si>
  <si>
    <t>KR20090028180</t>
  </si>
  <si>
    <t>Tour guiding system for implementing small-area tour guide by reading video codec</t>
  </si>
  <si>
    <t>CN101430767</t>
  </si>
  <si>
    <t>Method for implementing small-area tour guide by using tour guiding label</t>
  </si>
  <si>
    <t>CN101430766</t>
  </si>
  <si>
    <t>ELECTRONIC NAME CARD, AND UNITED SERVICE METHOD USING THEREOF AND SYSTEM THEREOF</t>
  </si>
  <si>
    <t>KR20090003524</t>
  </si>
  <si>
    <t>Electronic guide apparatus and electronic guide implementing method</t>
  </si>
  <si>
    <t>CN101388166</t>
  </si>
  <si>
    <t>Self-help tour guide device</t>
  </si>
  <si>
    <t>CN201122418</t>
  </si>
  <si>
    <t>Electronic tour guide system</t>
  </si>
  <si>
    <t>US4163123</t>
  </si>
  <si>
    <t>INTERACTIVE MULTIMEDIA TOUR GUIDE</t>
  </si>
  <si>
    <t>US2003009281</t>
  </si>
  <si>
    <t>Electronic tour guide and photo location finder</t>
  </si>
  <si>
    <t>US2002093435</t>
  </si>
  <si>
    <t>GPS driven, remotely downloaded, electronic tour guide</t>
  </si>
  <si>
    <t>US2005096843</t>
  </si>
  <si>
    <t>GPS-based information system for vehicles</t>
  </si>
  <si>
    <t>US5767795</t>
  </si>
  <si>
    <t>US2007174042</t>
  </si>
  <si>
    <t>Electronic guide system, contents server for electronic guide system, portable electronic guide device, and information processing method for electronic guide system</t>
  </si>
  <si>
    <t>US2004078813</t>
  </si>
  <si>
    <t>Tour guide system including means for noise and crosstalk suppression</t>
  </si>
  <si>
    <t>US3934202</t>
  </si>
  <si>
    <t>ELECTRONIC COMMUNICATION SYSTEM ALLOWING A TOUR GUIDE AND A GROUP OF TOUR PARTICIPANTS WITH EACH OTHER</t>
  </si>
  <si>
    <t>PL343135</t>
  </si>
  <si>
    <t>electronic tour</t>
  </si>
  <si>
    <t>DIRECT FORMATION POROUS MATERIALS FOR ELECTRONIC DEVICES</t>
  </si>
  <si>
    <t>US2018294409</t>
  </si>
  <si>
    <t>Automatic electronic tour guiding system and method thereof</t>
  </si>
  <si>
    <t>CN108182646</t>
  </si>
  <si>
    <t>Electronic proper motion case</t>
  </si>
  <si>
    <t>CN207311732</t>
  </si>
  <si>
    <t>Battery cover equipment</t>
  </si>
  <si>
    <t>CN207358542</t>
  </si>
  <si>
    <t>Electronic guard tour system</t>
  </si>
  <si>
    <t>CN207424877</t>
  </si>
  <si>
    <t>Coal gas pipeline intelligent tour inspection robot</t>
  </si>
  <si>
    <t>CN108115687</t>
  </si>
  <si>
    <t>Remote automatic electrical control device</t>
  </si>
  <si>
    <t>CN108107807</t>
  </si>
  <si>
    <t>Flight transit information display method and device, electronic equipment and storage medium</t>
  </si>
  <si>
    <t>CN108009275</t>
  </si>
  <si>
    <t>Ultrasonic cleaner tour-inspection instrument</t>
  </si>
  <si>
    <t>CN107900024</t>
  </si>
  <si>
    <t>Take transformer substation cable trench of electromagnetic shield protection to tour dolly</t>
  </si>
  <si>
    <t>CN207225502</t>
  </si>
  <si>
    <t>Prevent drowned monitored control system</t>
  </si>
  <si>
    <t>CN207184700</t>
  </si>
  <si>
    <t>A system is patrolled at customer service scene based on track</t>
  </si>
  <si>
    <t>CN206920899</t>
  </si>
  <si>
    <t>GRAPHENE NANORIBBON-BASED MATERIALS AND THEIR USE IN ELECTRONIC DEVICES</t>
  </si>
  <si>
    <t>US2018047519</t>
  </si>
  <si>
    <t>Group-oriented tour recommendation method</t>
  </si>
  <si>
    <t>CN107657347</t>
  </si>
  <si>
    <t>Fault remote self-diagnostic device for electric power equipment</t>
  </si>
  <si>
    <t>CN107588801</t>
  </si>
  <si>
    <t>Absorption type multifunctional infrared electronic fence</t>
  </si>
  <si>
    <t>CN107564222</t>
  </si>
  <si>
    <t>Sharing charging device</t>
  </si>
  <si>
    <t>CN206773821</t>
  </si>
  <si>
    <t>METHODS OF FABRICATING LASER-INDUCED GRAPHENE AND COMPOSITIONS THEREOF</t>
  </si>
  <si>
    <t>WO2018085789</t>
  </si>
  <si>
    <t>Tourism resource recommendation method and system based on tour behaviors</t>
  </si>
  <si>
    <t>CN107358471</t>
  </si>
  <si>
    <t>Electronic device and tour route planning method</t>
  </si>
  <si>
    <t>TW201728873</t>
  </si>
  <si>
    <t>Train carriage is seen to modified panorama</t>
  </si>
  <si>
    <t>CN206606200</t>
  </si>
  <si>
    <t>Laser induced graphene hybrid materials for electronic devices</t>
  </si>
  <si>
    <t>CN107206741</t>
  </si>
  <si>
    <t>Networking overload treatment integrated management system</t>
  </si>
  <si>
    <t>CN107169120</t>
  </si>
  <si>
    <t>Smart construction site management system based on global variable frequency positioning and automatic recognition technologies</t>
  </si>
  <si>
    <t>CN107146168</t>
  </si>
  <si>
    <t>Grounding wire detection method</t>
  </si>
  <si>
    <t>CN107067050</t>
  </si>
  <si>
    <t>Streetlamp monitoring device</t>
  </si>
  <si>
    <t>CN107071999</t>
  </si>
  <si>
    <t>Self -service terminal all -in -one of travelling</t>
  </si>
  <si>
    <t>CN206411797</t>
  </si>
  <si>
    <t>Distributed maintenance-free intelligent direct current power supply system based on single batteries and control method thereof</t>
  </si>
  <si>
    <t>CN106941255</t>
  </si>
  <si>
    <t>A mass space object storing method fusing codes and multi-version data</t>
  </si>
  <si>
    <t>CN106991149</t>
  </si>
  <si>
    <t>High -efficient marine photoelectricity equipment of collecting evidence</t>
  </si>
  <si>
    <t>CN206302490</t>
  </si>
  <si>
    <t>Dynamic defense system for safety production of power system</t>
  </si>
  <si>
    <t>CN106875627</t>
  </si>
  <si>
    <t>Electricity distribution room initiative fortune dimension device</t>
  </si>
  <si>
    <t>CN206283321</t>
  </si>
  <si>
    <t>PRODUCTION AND USE OF FLEXIBLE CONDUCTIVE FILMS AND INORGANIC LAYERS IN ELECTRONIC DEVICES</t>
  </si>
  <si>
    <t>US2017179518</t>
  </si>
  <si>
    <t>Substation equipment tours device</t>
  </si>
  <si>
    <t>CN206231287</t>
  </si>
  <si>
    <t>Smart city bridge digital management and maintenance cloud platform system</t>
  </si>
  <si>
    <t>CN106650961</t>
  </si>
  <si>
    <t>Electronic information communication safety detecting system</t>
  </si>
  <si>
    <t>CN106646117</t>
  </si>
  <si>
    <t>Power transformer line safety detection method</t>
  </si>
  <si>
    <t>CN106646113</t>
  </si>
  <si>
    <t>Intelligent travel management system</t>
  </si>
  <si>
    <t>CN206209891</t>
  </si>
  <si>
    <t>TANDEM-TROLLEY, ZIP-LINE SYSTEM AND METHOD</t>
  </si>
  <si>
    <t>US2017144678</t>
  </si>
  <si>
    <t>Helium balloon unmanned aerial vehicle</t>
  </si>
  <si>
    <t>CN206171785</t>
  </si>
  <si>
    <t>Train carriage is seen to panorama that travelling comfort is good</t>
  </si>
  <si>
    <t>CN206171126</t>
  </si>
  <si>
    <t>Examining device is tourd to electric power</t>
  </si>
  <si>
    <t>CN206162668</t>
  </si>
  <si>
    <t>ELECTRONIC PEN SYSTEM</t>
  </si>
  <si>
    <t>KR20170039345</t>
  </si>
  <si>
    <t>GROUP TRAVEL COMMUNICATION METHOD, SERVER, TERMINAL AND SYSTEM</t>
  </si>
  <si>
    <t>WO2017067185</t>
  </si>
  <si>
    <t>Water planting formula vegetable greenhouse of function is patrolled and examined fast in area</t>
  </si>
  <si>
    <t>CN206078294</t>
  </si>
  <si>
    <t>Electronic tags based on RFID power cable operation administration system</t>
  </si>
  <si>
    <t>CN206097146</t>
  </si>
  <si>
    <t>Multifunctional bicycle for tour</t>
  </si>
  <si>
    <t>CN106553727</t>
  </si>
  <si>
    <t>Public transport electronic stop board and LED lamp bead fault detection method</t>
  </si>
  <si>
    <t>CN106548649</t>
  </si>
  <si>
    <t>Electronic guard tour system based on USB communication</t>
  </si>
  <si>
    <t>CN106504364</t>
  </si>
  <si>
    <t>Tourism platform</t>
  </si>
  <si>
    <t>CN106530149</t>
  </si>
  <si>
    <t>Tourism platform based on electronic commerce</t>
  </si>
  <si>
    <t>CN106485577</t>
  </si>
  <si>
    <t>Car is patrolled and examined to multi -functional electronic tricycle</t>
  </si>
  <si>
    <t>CN206012413</t>
  </si>
  <si>
    <t>LASER INDUCED GRAPHENE MATERIALS AND THEIR USE IN ELECTRONIC DEVICES.</t>
  </si>
  <si>
    <t>MX2016010718</t>
  </si>
  <si>
    <t>From a round operation special equipment detection device</t>
  </si>
  <si>
    <t>CN205959026</t>
  </si>
  <si>
    <t>Full-landscape train compartment with good light transmission property</t>
  </si>
  <si>
    <t>CN106364507</t>
  </si>
  <si>
    <t>High-strength full-landscape train carriage</t>
  </si>
  <si>
    <t>CN106347391</t>
  </si>
  <si>
    <t>Prevent that passenger from omitting tour device and passenger train in car</t>
  </si>
  <si>
    <t>CN205890700</t>
  </si>
  <si>
    <t>Transformer substation's fortune dimension integration tool bogie</t>
  </si>
  <si>
    <t>CN205890675</t>
  </si>
  <si>
    <t>High-safety full-landscape train carriage</t>
  </si>
  <si>
    <t>CN106274937</t>
  </si>
  <si>
    <t>Harbour equipment inspection system based on BIM three -dimensional model</t>
  </si>
  <si>
    <t>CN205827412</t>
  </si>
  <si>
    <t>Substation equipment sweeps device of sign indicating number technique based on internet of things</t>
  </si>
  <si>
    <t>CN205827453</t>
  </si>
  <si>
    <t>Electronic station wagon drive axle assembly</t>
  </si>
  <si>
    <t>CN205818804</t>
  </si>
  <si>
    <t>Apparatus and Method of Managing Tour Stamp</t>
  </si>
  <si>
    <t>KR20160128669</t>
  </si>
  <si>
    <t>SYSTEM AND METHOD TO PROVIDE A USER AN INFORMATIONAL TOUR</t>
  </si>
  <si>
    <t>US2016363452</t>
  </si>
  <si>
    <t>Suspension monorail case-type beam inspection tour apparatus</t>
  </si>
  <si>
    <t>CN106124512</t>
  </si>
  <si>
    <t>ELECTRONIC DEVICE, PROCESSING PROGRAM, AND PROCESSING METHOD</t>
  </si>
  <si>
    <t>JP2016200525</t>
  </si>
  <si>
    <t>Blanking machine blocking detection system</t>
  </si>
  <si>
    <t>CN205751169</t>
  </si>
  <si>
    <t>Multifunctional thermal insulation lunchbox for camping</t>
  </si>
  <si>
    <t>CN105996376</t>
  </si>
  <si>
    <t>Warehousing robot capable of automatically making tour for inspecting, cleaning and checking inventories</t>
  </si>
  <si>
    <t>CN106002916</t>
  </si>
  <si>
    <t>Indoor inspection tour analysis method based on two-dimensional outline</t>
  </si>
  <si>
    <t>CN105979217</t>
  </si>
  <si>
    <t>METHOD FOR ELECTRONIC TOURISM</t>
  </si>
  <si>
    <t>WO2016142827</t>
  </si>
  <si>
    <t>METHOD FOR NAVIGATION IN AN INTERACTIVE VIRTUAL TOUR OF A PROPERTY</t>
  </si>
  <si>
    <t>US2016260253</t>
  </si>
  <si>
    <t>Micro-region navigation system and method</t>
  </si>
  <si>
    <t>CN105910600</t>
  </si>
  <si>
    <t>Intelligence fiber optic distribution frame</t>
  </si>
  <si>
    <t>CN205507168</t>
  </si>
  <si>
    <t>Safety monitoring device prevents invading</t>
  </si>
  <si>
    <t>CN205486585</t>
  </si>
  <si>
    <t>Self-walking intelligent tour inspection equipment for overhead line system</t>
  </si>
  <si>
    <t>CN105644572</t>
  </si>
  <si>
    <t>Intelligent tour inspection terminal for substation</t>
  </si>
  <si>
    <t>CN105807766</t>
  </si>
  <si>
    <t>Lithium electricity supply takes water purification device's unmanned aerial vehicle on water to shut down platform</t>
  </si>
  <si>
    <t>CN205293011</t>
  </si>
  <si>
    <t>Electronic template and correlation method thereof on basis of wind power generation enterprise tour-inspection, two tickets and work packages</t>
  </si>
  <si>
    <t>CN105809416</t>
  </si>
  <si>
    <t>CN205405769</t>
  </si>
  <si>
    <t>Scenic area guided tour system and method</t>
  </si>
  <si>
    <t>CN105810130</t>
  </si>
  <si>
    <t>Life cycle perceiving and management system and method of fire extinguisher</t>
  </si>
  <si>
    <t>CN105701525</t>
  </si>
  <si>
    <t>Electronic massage device of stopping for a rest on a walking tour</t>
  </si>
  <si>
    <t>CN205322771</t>
  </si>
  <si>
    <t>Domestic electronic massage of car / official working / bale of cloth that board was used of stopping for a rest on a walking tour</t>
  </si>
  <si>
    <t>CN205339526</t>
  </si>
  <si>
    <t>Inflatable tent</t>
  </si>
  <si>
    <t>CN205277004</t>
  </si>
  <si>
    <t>TOUR SCHEDULER OF ELECTRIC VEHICLES HAVING CHARGER SELECTION MECHANISM</t>
  </si>
  <si>
    <t>KR20160050889</t>
  </si>
  <si>
    <t>Extraction production line stirring vane fault detection system</t>
  </si>
  <si>
    <t>CN205228808</t>
  </si>
  <si>
    <t>Anti-invasion safety monitoring equipment</t>
  </si>
  <si>
    <t>CN105575019</t>
  </si>
  <si>
    <t>Decision assistant system and method of tour travel</t>
  </si>
  <si>
    <t>CN105550951</t>
  </si>
  <si>
    <t>ONLINE SCHEDULING OF REAL ESTATE TOURS</t>
  </si>
  <si>
    <t>CA2907316</t>
  </si>
  <si>
    <t>Method and system for intelligent tour inspection and emergency via digital interphones</t>
  </si>
  <si>
    <t>CN105430631</t>
  </si>
  <si>
    <t>UNATTENDED, SELF-GUIDED, ZIP-LINE, TOUR SYSTEM AND METHOD</t>
  </si>
  <si>
    <t>US2016046305</t>
  </si>
  <si>
    <t>A intermittent type formula device of shooing that be used for transmission line protect district prevent outer broken</t>
  </si>
  <si>
    <t>CN204927952</t>
  </si>
  <si>
    <t>Power distribution line intelligent tour inspection system</t>
  </si>
  <si>
    <t>CN105096048</t>
  </si>
  <si>
    <t>High-voltage power grid inspection application based on RFID</t>
  </si>
  <si>
    <t>CN105095808</t>
  </si>
  <si>
    <t>Multifunctional LED highlight inspection tour lamp</t>
  </si>
  <si>
    <t>CN105042472</t>
  </si>
  <si>
    <t>INTEGRATED MULTIMEDIA TOOL SYSTEM AND METHOD TO EXPLORE AND STUDY THE VIRTUAL HUMAN BODY</t>
  </si>
  <si>
    <t>IN431DEN2015</t>
  </si>
  <si>
    <t>Outward breakage preventing method for monitoring and photographing power transmission line protecting area</t>
  </si>
  <si>
    <t>CN104954649</t>
  </si>
  <si>
    <t>Device is tourd in remote control frequently of unattended substation double vision</t>
  </si>
  <si>
    <t>CN204669522</t>
  </si>
  <si>
    <t>Take unattended substation remote control of leading wheel to tour device</t>
  </si>
  <si>
    <t>CN204669521</t>
  </si>
  <si>
    <t>Usher county magistrate</t>
  </si>
  <si>
    <t>CN204667845</t>
  </si>
  <si>
    <t>Electronic tour bus</t>
  </si>
  <si>
    <t>CN204642047</t>
  </si>
  <si>
    <t>Leakage current of an arrester's monitoring module</t>
  </si>
  <si>
    <t>CN204613285</t>
  </si>
  <si>
    <t>Monitoring leakage current of an arrester's alarm device</t>
  </si>
  <si>
    <t>CN204613284</t>
  </si>
  <si>
    <t>Arrester trouble display module</t>
  </si>
  <si>
    <t>CN204595115</t>
  </si>
  <si>
    <t>Arrester operating condition indicator</t>
  </si>
  <si>
    <t>CN204578082</t>
  </si>
  <si>
    <t>Tour device of infrared probe in unattended substation remote control area</t>
  </si>
  <si>
    <t>CN204539318</t>
  </si>
  <si>
    <t>External intelligent fire extinguisher case</t>
  </si>
  <si>
    <t>CN204522069</t>
  </si>
  <si>
    <t>Little discharge capacity sightseeing place vehicle power blender</t>
  </si>
  <si>
    <t>CN204506519</t>
  </si>
  <si>
    <t>Civil air defense device information management system signal collector</t>
  </si>
  <si>
    <t>CN204440472</t>
  </si>
  <si>
    <t>Multifunctional LED high-light tour inspection lamp</t>
  </si>
  <si>
    <t>CN204437938</t>
  </si>
  <si>
    <t>Multifunctional intelligent analysis and monitor system</t>
  </si>
  <si>
    <t>CN104735422</t>
  </si>
  <si>
    <t>Test device for specific heat capacity parameter of Marshal test piece of asphalt mixture</t>
  </si>
  <si>
    <t>CN204405575</t>
  </si>
  <si>
    <t>Intelligent accumulation and tearing detection device for belt conveyors</t>
  </si>
  <si>
    <t>CN104670845</t>
  </si>
  <si>
    <t>Intelligent tour inspection instrument of urban gas valve well</t>
  </si>
  <si>
    <t>CN104655188</t>
  </si>
  <si>
    <t>Electronic tourism telescope with separated functions of fining view and viewing</t>
  </si>
  <si>
    <t>CN204347337</t>
  </si>
  <si>
    <t>System for generating information sketch map and method thereof</t>
  </si>
  <si>
    <t>TWI476737</t>
  </si>
  <si>
    <t>Movable electronic signpost for tour region</t>
  </si>
  <si>
    <t>CN204315203</t>
  </si>
  <si>
    <t>Intelligent DC volt-ammeter</t>
  </si>
  <si>
    <t>CN204314375</t>
  </si>
  <si>
    <t>Online monitoring system of substation communication automation equipment</t>
  </si>
  <si>
    <t>CN104600846</t>
  </si>
  <si>
    <t>TOUR CONTENTS PROVIDING SYSTEM AND METHOD, AND ELECTRONIC DEVICE SUPPORTING THE SAME</t>
  </si>
  <si>
    <t>KR20150025119</t>
  </si>
  <si>
    <t>Flexible-package lithium ion battery detection cabinet pallet</t>
  </si>
  <si>
    <t>CN204215021</t>
  </si>
  <si>
    <t>Intelligent type power grid tour inspection management system</t>
  </si>
  <si>
    <t>CN204258435</t>
  </si>
  <si>
    <t>Electronic remote control whistle</t>
  </si>
  <si>
    <t>CN204204403</t>
  </si>
  <si>
    <t>RFID-based electronic guard tour system</t>
  </si>
  <si>
    <t>CN204117209</t>
  </si>
  <si>
    <t>Cable trench firewall</t>
  </si>
  <si>
    <t>CN204103418</t>
  </si>
  <si>
    <t>Electric manned suitcase</t>
  </si>
  <si>
    <t>CN204032579</t>
  </si>
  <si>
    <t>Intelligent tour-inspection device for transformer substation</t>
  </si>
  <si>
    <t>CN204010055</t>
  </si>
  <si>
    <t>CN204010054</t>
  </si>
  <si>
    <t>Moving working safety tour-inspection device</t>
  </si>
  <si>
    <t>CN204010052</t>
  </si>
  <si>
    <t>Electric manned luggage box</t>
  </si>
  <si>
    <t>CN104172707</t>
  </si>
  <si>
    <t>Intelligent transformer station integrated monitoring system</t>
  </si>
  <si>
    <t>CN203951270</t>
  </si>
  <si>
    <t>Intelligent point and tour inspection apparatus</t>
  </si>
  <si>
    <t>CN203949698</t>
  </si>
  <si>
    <t>Tour guiding assisting system and method for amusement park</t>
  </si>
  <si>
    <t>TW201426586</t>
  </si>
  <si>
    <t>LED street lamp system with communication function</t>
  </si>
  <si>
    <t>CN104022824</t>
  </si>
  <si>
    <t>Photographer's Tour Guidance Systems</t>
  </si>
  <si>
    <t>US2014247342</t>
  </si>
  <si>
    <t>SYSTEM AND METHOD FOR PROVIDING INTERACTIVE TOUR GUIDANCE</t>
  </si>
  <si>
    <t>US2014229287</t>
  </si>
  <si>
    <t>INTERNAL INSTRUMENTATION SYSTEM FOR A NUCLEAR REACTOR, HAVING A VARIABLE ELECTRONIC CARD AND CORRESPONDING METHOD OF MODIFYING AN INTERNAL INSTRUMENTATION SYSTEM FOR A NUCLEAR REACTOR</t>
  </si>
  <si>
    <t>SI2005441</t>
  </si>
  <si>
    <t>Remotely-controlled tour inspection device for unattended transformer station</t>
  </si>
  <si>
    <t>CN203691532</t>
  </si>
  <si>
    <t>Electronic fault inspection system for engineering structure</t>
  </si>
  <si>
    <t>CN203689543</t>
  </si>
  <si>
    <t>METHOD FOR A TOURIST PRODUCT REALIZATION</t>
  </si>
  <si>
    <t>UA72994</t>
  </si>
  <si>
    <t>Handheld forest fire prevention terminal</t>
  </si>
  <si>
    <t>CN203563150</t>
  </si>
  <si>
    <t>Wireless ad hoc network group managing system</t>
  </si>
  <si>
    <t>CN103745565</t>
  </si>
  <si>
    <t>HOME TOUR AND OPEN HOUSE SCHEDULER</t>
  </si>
  <si>
    <t>US2014100905</t>
  </si>
  <si>
    <t>Operation-maintenance-integrated on-site data collection and feedback tour-inspection management system</t>
  </si>
  <si>
    <t>CN103679348</t>
  </si>
  <si>
    <t>Detection system for aging of RTV coating</t>
  </si>
  <si>
    <t>CN103674967</t>
  </si>
  <si>
    <t>Forest fire prevention hand-held terminal</t>
  </si>
  <si>
    <t>CN103607563</t>
  </si>
  <si>
    <t>ELECTRONIC DEVICES CONTAINING SWITCHABLY CONDUCTIVE SILICON OXIDES AS A SWITCHING ELEMENT AND METHODS FOR PRODUCTION AND USE THEREOF</t>
  </si>
  <si>
    <t>US2014036576</t>
  </si>
  <si>
    <t>Exhibition hall audio tour and explanation system</t>
  </si>
  <si>
    <t>CN203376954</t>
  </si>
  <si>
    <t>Tablet electronic product base</t>
  </si>
  <si>
    <t>CN203336185</t>
  </si>
  <si>
    <t>Control circuit of broken-yarn detecting device</t>
  </si>
  <si>
    <t>CN203320209</t>
  </si>
  <si>
    <t>Manager used for tour guiding equipment</t>
  </si>
  <si>
    <t>CN203300180</t>
  </si>
  <si>
    <t>RFID (radio frequency identification device)-based ticket, shopping and accommodation one-card tourism system</t>
  </si>
  <si>
    <t>CN103325192</t>
  </si>
  <si>
    <t>Method and system for providing virtual tour of a shopping mall via electronic maps</t>
  </si>
  <si>
    <t>US8531483</t>
  </si>
  <si>
    <t>Efficient Electronic Document Ranking For Internet Resources in Sub-linear Time</t>
  </si>
  <si>
    <t>US2013226934</t>
  </si>
  <si>
    <t>Virtual tour player</t>
  </si>
  <si>
    <t>CN203150054</t>
  </si>
  <si>
    <t>Tour train four-wheel turning stability control system</t>
  </si>
  <si>
    <t>CN203094053</t>
  </si>
  <si>
    <t>Single phase industrial frequency transformer type charging equipment</t>
  </si>
  <si>
    <t>CN103138350</t>
  </si>
  <si>
    <t>Controlling circuit of electronic pandas</t>
  </si>
  <si>
    <t>CN103127728</t>
  </si>
  <si>
    <t>Click-reading explaining device of picture containing invisible codes</t>
  </si>
  <si>
    <t>CN202956911</t>
  </si>
  <si>
    <t>Method for providing tour route of sightseeing spots through electronic device</t>
  </si>
  <si>
    <t>TW201248539</t>
  </si>
  <si>
    <t>Inspection system and inspection method</t>
  </si>
  <si>
    <t>CN103035042</t>
  </si>
  <si>
    <t>CN202854905</t>
  </si>
  <si>
    <t>Method of Event and Venue Planning and Delivering System</t>
  </si>
  <si>
    <t>US2013073325</t>
  </si>
  <si>
    <t>Tour self service and interaction system</t>
  </si>
  <si>
    <t>CN102968749</t>
  </si>
  <si>
    <t>Fire alarm joint control system applied to chemical enterprise</t>
  </si>
  <si>
    <t>CN102961842</t>
  </si>
  <si>
    <t>Guiding system with translation function based on radio and guiding method</t>
  </si>
  <si>
    <t>CN102945646</t>
  </si>
  <si>
    <t>US2013040273</t>
  </si>
  <si>
    <t>ELECTRONIC ALBUM CREATION DEVICE, ELECTRONIC ALBUM CREATION SYSTEM, INFORMATION TERMINAL, AND ELECTRONIC ALBUM CREATION METHOD</t>
  </si>
  <si>
    <t>JP2012252409</t>
  </si>
  <si>
    <t>Electronic counting pen</t>
  </si>
  <si>
    <t>CN202656707</t>
  </si>
  <si>
    <t>Slam strap</t>
  </si>
  <si>
    <t>US2012295743</t>
  </si>
  <si>
    <t>Distribution network tour-inspection management system based on internet of things</t>
  </si>
  <si>
    <t>CN102737414</t>
  </si>
  <si>
    <t>Electronic label ticket</t>
  </si>
  <si>
    <t>CN202472713</t>
  </si>
  <si>
    <t>Radio frequency label</t>
  </si>
  <si>
    <t>CN202472711</t>
  </si>
  <si>
    <t>COMPUTER SYSTEM SUPPORTING INTERACTIVE VIRTUAL TOURS AND/OR ELECTRONIC COMMERCE</t>
  </si>
  <si>
    <t>WO2013087242</t>
  </si>
  <si>
    <t>Active navigation system</t>
  </si>
  <si>
    <t>TW201209765</t>
  </si>
  <si>
    <t>Electronic panda tour souvenir</t>
  </si>
  <si>
    <t>CN202407385</t>
  </si>
  <si>
    <t>Mountaineering mirror being convenient for looking up time</t>
  </si>
  <si>
    <t>CN202351546</t>
  </si>
  <si>
    <t>Goggles for checking air temperature conveniently</t>
  </si>
  <si>
    <t>CN202351544</t>
  </si>
  <si>
    <t>Tour guiding electronic game device</t>
  </si>
  <si>
    <t>TWM418350</t>
  </si>
  <si>
    <t>SYSTEMS AND METHODS OF INTEGRATING VIRTUAL FLYOVERS AND VIRTUAL TOURS</t>
  </si>
  <si>
    <t>US2012162253</t>
  </si>
  <si>
    <t>Train loading device management system based on RFID</t>
  </si>
  <si>
    <t>CN202275423</t>
  </si>
  <si>
    <t>Novel multifunctional pen</t>
  </si>
  <si>
    <t>CN202271718</t>
  </si>
  <si>
    <t>Multifunctional solar outdoor cup</t>
  </si>
  <si>
    <t>CN202218691</t>
  </si>
  <si>
    <t>ELECTRONIC COMMERCE METHOD FOR SELLING TOUR PRODUCT BY CLASSIFYING TRANSPORT DISTANCE OF CUSTOMER BY CITY, DISTRICT AND TOWN AND ESTIMATING PRICE OF COMMODITY.</t>
  </si>
  <si>
    <t>KR20010112027</t>
  </si>
  <si>
    <t>Monitoring, alarm and commanding system in modernized management of court of people</t>
  </si>
  <si>
    <t>CN202189437</t>
  </si>
  <si>
    <t>Burdening electronic belt conveyor scale material shortage alarm and burdening electronic belt conveyor scale equipped with alarm</t>
  </si>
  <si>
    <t>CN202177965</t>
  </si>
  <si>
    <t>Navigation map processing method, program product and electronic device</t>
  </si>
  <si>
    <t>TW201126138</t>
  </si>
  <si>
    <t>Ground wire electric leakage detection system based on radio frequency identification(RFID)</t>
  </si>
  <si>
    <t>CN202033770</t>
  </si>
  <si>
    <t>Portable electronic device and tour-guiding method</t>
  </si>
  <si>
    <t>TW201024667</t>
  </si>
  <si>
    <t>Tour guiding broadcasting device</t>
  </si>
  <si>
    <t>CN202018804</t>
  </si>
  <si>
    <t>Intelligent tour guiding machine and service system based on wireless network</t>
  </si>
  <si>
    <t>CN102223598</t>
  </si>
  <si>
    <t>Wireless sensing tour guiding system and method thereof</t>
  </si>
  <si>
    <t>TW200922181</t>
  </si>
  <si>
    <t>Electronic game utilizing photographs</t>
  </si>
  <si>
    <t>TW200914097</t>
  </si>
  <si>
    <t>Steering column fixing device for low-speed electronic tour bus</t>
  </si>
  <si>
    <t>CN201923198</t>
  </si>
  <si>
    <t>ELECTRONIC STAMP RALLY SYSTEM</t>
  </si>
  <si>
    <t>JP2011107932</t>
  </si>
  <si>
    <t>Medical file folder capable of recording audio and video</t>
  </si>
  <si>
    <t>CN201863530</t>
  </si>
  <si>
    <t>Electronic countdown tourist time reminder special for tour group</t>
  </si>
  <si>
    <t>CN201837854</t>
  </si>
  <si>
    <t>Multifunctional electronic tour guiding device</t>
  </si>
  <si>
    <t>CN201829166</t>
  </si>
  <si>
    <t>Method for operating a crust braking device for metal melt with a fluid powered, double-acting crust braking cylinder, comprises guiding the piston rod of the crust braking cylinder with chisel at end side by electronic drive unit</t>
  </si>
  <si>
    <t>DE102009052776</t>
  </si>
  <si>
    <t>Portable electronic tour guider</t>
  </si>
  <si>
    <t>CN201707875</t>
  </si>
  <si>
    <t>VERTICALLY-STACKED ELECTRONIC DEVICES HAVING CONDUCTIVE CARBON FILMS</t>
  </si>
  <si>
    <t>US2010284156</t>
  </si>
  <si>
    <t>Electronic Switching, Memory, and Sensor Devices from Carbon Sheets on Dielectric Materials</t>
  </si>
  <si>
    <t>US2010279426</t>
  </si>
  <si>
    <t>Hybrid Molecular Electronic Devices Containing Molecule-Functionalized Surfaces for Switching, Memory, and Sensor Applications and Methods for Fabricating Same</t>
  </si>
  <si>
    <t>US2010252824</t>
  </si>
  <si>
    <t>Security watching tour inspection record method and system thereof</t>
  </si>
  <si>
    <t>CN101799942</t>
  </si>
  <si>
    <t>Hydrology tour gauging vehicle</t>
  </si>
  <si>
    <t>CN201538267</t>
  </si>
  <si>
    <t>Touch type scenery spot query self-service machine</t>
  </si>
  <si>
    <t>CN101763413</t>
  </si>
  <si>
    <t>Touch type hotel query self-service machine</t>
  </si>
  <si>
    <t>CN101763411</t>
  </si>
  <si>
    <t>METHODS FOR SELECTIVE FUNCTIONALIZATION AND SEPARATION OF CARBON NANOTUBES</t>
  </si>
  <si>
    <t>US2010028247</t>
  </si>
  <si>
    <t>balance robot</t>
  </si>
  <si>
    <t>A segmented head-body hexapod robot</t>
  </si>
  <si>
    <t>AU2018101292</t>
  </si>
  <si>
    <t>ROBOT FOR PERFORMING DROPLET JETTING, AND DROPLET JETTING CONTROL METHOD FOR ROBOT</t>
  </si>
  <si>
    <t>WO2018177211</t>
  </si>
  <si>
    <t>SERVO CONTROL SYSTEM AND ROBOT</t>
  </si>
  <si>
    <t>US2018257224</t>
  </si>
  <si>
    <t>MAIN CONTROL ARM AND ROBOT</t>
  </si>
  <si>
    <t>WO2018152678</t>
  </si>
  <si>
    <t>WORKING ROBOT</t>
  </si>
  <si>
    <t>JP2018114587</t>
  </si>
  <si>
    <t>Punching press handling device of single armed robot</t>
  </si>
  <si>
    <t>CN207560471</t>
  </si>
  <si>
    <t>Online balance material collecting device</t>
  </si>
  <si>
    <t>CN207551328</t>
  </si>
  <si>
    <t>Teaching robot and teaching machine system</t>
  </si>
  <si>
    <t>CN108230869</t>
  </si>
  <si>
    <t>Wheel-legged robot</t>
  </si>
  <si>
    <t>CN108216412</t>
  </si>
  <si>
    <t>Body passive labor-saving device for lower limb exoskeletons</t>
  </si>
  <si>
    <t>CN108214457</t>
  </si>
  <si>
    <t>Soft-body robot capable of autonomously balancing contact force</t>
  </si>
  <si>
    <t>CN108214521</t>
  </si>
  <si>
    <t>Underwater robot and stability analysis and structure optimization application method thereof</t>
  </si>
  <si>
    <t>CN108227723</t>
  </si>
  <si>
    <t>Robot control cabinet semi-automatic production line system</t>
  </si>
  <si>
    <t>CN108217118</t>
  </si>
  <si>
    <t>High intelligent robot of stability</t>
  </si>
  <si>
    <t>CN207534846</t>
  </si>
  <si>
    <t>Can stably process industrial robot of cast member</t>
  </si>
  <si>
    <t>CN207534849</t>
  </si>
  <si>
    <t>Intelligent robot toy</t>
  </si>
  <si>
    <t>CN207532782</t>
  </si>
  <si>
    <t>Fire control surveying robot</t>
  </si>
  <si>
    <t>CN108189050</t>
  </si>
  <si>
    <t>Rust removal equipment for robot</t>
  </si>
  <si>
    <t>CN108188897</t>
  </si>
  <si>
    <t>Automatic guide equipment and corresponding order fulfilling method</t>
  </si>
  <si>
    <t>CN108190337</t>
  </si>
  <si>
    <t>Robot anti-fall device and method</t>
  </si>
  <si>
    <t>CN108189918</t>
  </si>
  <si>
    <t>Automatic piercing press manipulator</t>
  </si>
  <si>
    <t>CN207522615</t>
  </si>
  <si>
    <t>Lead blind robot chassis and balanced damping device thereof</t>
  </si>
  <si>
    <t>CN207526922</t>
  </si>
  <si>
    <t>Dust catcher and dust -collecting robot</t>
  </si>
  <si>
    <t>CN207520089</t>
  </si>
  <si>
    <t>Copper base alloy for welding arm of robot</t>
  </si>
  <si>
    <t>CN108179306</t>
  </si>
  <si>
    <t>High-speed air blowing machine and magnetic rotor thereof</t>
  </si>
  <si>
    <t>CN108180165</t>
  </si>
  <si>
    <t>Underwater operation robot's rotary sealing device</t>
  </si>
  <si>
    <t>CN207514235</t>
  </si>
  <si>
    <t>Adjustable device of plugging into</t>
  </si>
  <si>
    <t>CN207511257</t>
  </si>
  <si>
    <t>Intelligent assembly workstation</t>
  </si>
  <si>
    <t>CN207508654</t>
  </si>
  <si>
    <t>Method and device for improving carrying capacity of SCARA robot</t>
  </si>
  <si>
    <t>CN108161919</t>
  </si>
  <si>
    <t>High-load-capacity electric drive quadruped robot capable of adapting to complex rugged terrain</t>
  </si>
  <si>
    <t>CN108163080</t>
  </si>
  <si>
    <t>Flapping wing robot lift thrust and wing motion information synchronous detection system and method</t>
  </si>
  <si>
    <t>CN108163229</t>
  </si>
  <si>
    <t>AGV is supporting legs for robot</t>
  </si>
  <si>
    <t>CN207496655</t>
  </si>
  <si>
    <t>Protection device of robot reaches robot including device</t>
  </si>
  <si>
    <t>CN207495551</t>
  </si>
  <si>
    <t>Balanced suspension chassis and robot</t>
  </si>
  <si>
    <t>CN207496411</t>
  </si>
  <si>
    <t>Whole Body Manipulation on a Legged Robot Using Dynamic Balance</t>
  </si>
  <si>
    <t>US2018162469</t>
  </si>
  <si>
    <t>General die bed of ground self -adaptation dish and robot</t>
  </si>
  <si>
    <t>CN207482047</t>
  </si>
  <si>
    <t>Robot palletizing system automatic tray warehouse</t>
  </si>
  <si>
    <t>CN108147140</t>
  </si>
  <si>
    <t>High-precision rapid weighing robot with low-power impact force</t>
  </si>
  <si>
    <t>CN108151837</t>
  </si>
  <si>
    <t>Control system and method for learning variable impedance</t>
  </si>
  <si>
    <t>CN108153153</t>
  </si>
  <si>
    <t>High-strength aluminum magnesium alloy for robot and preparation method thereof</t>
  </si>
  <si>
    <t>CN108149086</t>
  </si>
  <si>
    <t>Production process of mechanical arm casting for robot</t>
  </si>
  <si>
    <t>CN108149140</t>
  </si>
  <si>
    <t>High-strength industrial mechanical arm alloy casting and casting process</t>
  </si>
  <si>
    <t>CN108149151</t>
  </si>
  <si>
    <t>Two -wheeled balance car</t>
  </si>
  <si>
    <t>CN207292264</t>
  </si>
  <si>
    <t>Balance cylinder for heavy-duty truss manipulator</t>
  </si>
  <si>
    <t>CN108127693</t>
  </si>
  <si>
    <t>Built -in buffering of drive is waveed track moving platform and is had its robot</t>
  </si>
  <si>
    <t>CN207403829</t>
  </si>
  <si>
    <t>Method using mechanical arm to inhibit attitude interference of spacecraft pedestal</t>
  </si>
  <si>
    <t>CN108132601</t>
  </si>
  <si>
    <t>Robot big cover plate and preparation process thereof</t>
  </si>
  <si>
    <t>CN108130452</t>
  </si>
  <si>
    <t>Join in marriage and float subassembly and robot</t>
  </si>
  <si>
    <t>CN207328793</t>
  </si>
  <si>
    <t>Vending machine</t>
  </si>
  <si>
    <t>CN207337540</t>
  </si>
  <si>
    <t>Intelligence baby nurses robot</t>
  </si>
  <si>
    <t>CN207327009</t>
  </si>
  <si>
    <t>Wall mobile robot</t>
  </si>
  <si>
    <t>CN207345966</t>
  </si>
  <si>
    <t>Corner robot in climbing</t>
  </si>
  <si>
    <t>CN207345968</t>
  </si>
  <si>
    <t>I -shaped axle snakelike robot is twistd reverse to gear formula</t>
  </si>
  <si>
    <t>CN207344586</t>
  </si>
  <si>
    <t>A cylinder pair joint drive and transmission structure for SCARA</t>
  </si>
  <si>
    <t>CN207359114</t>
  </si>
  <si>
    <t>Be applied to sliding rail structure of SCARA robot</t>
  </si>
  <si>
    <t>CN207373168</t>
  </si>
  <si>
    <t>Split type robot</t>
  </si>
  <si>
    <t>CN207374539</t>
  </si>
  <si>
    <t>Robot of equilbrium running</t>
  </si>
  <si>
    <t>CN207373152</t>
  </si>
  <si>
    <t>A spatial digitizer balance adjustment device for underground mine detection robot</t>
  </si>
  <si>
    <t>CN207373185</t>
  </si>
  <si>
    <t>Take legged robot of gyroscope stabilization appearance</t>
  </si>
  <si>
    <t>CN207403833</t>
  </si>
  <si>
    <t>Adjustable industrial robot track</t>
  </si>
  <si>
    <t>CN207402811</t>
  </si>
  <si>
    <t>Motor car -like robot</t>
  </si>
  <si>
    <t>CN207417000</t>
  </si>
  <si>
    <t>CN207417002</t>
  </si>
  <si>
    <t>Robot snatchs arm with automatic balance calibration functions</t>
  </si>
  <si>
    <t>CN207432239</t>
  </si>
  <si>
    <t>Testing combination device is markd by robot</t>
  </si>
  <si>
    <t>CN207300168</t>
  </si>
  <si>
    <t>Semi-submersible type intelligent robot for observing marine profile</t>
  </si>
  <si>
    <t>CN108116642</t>
  </si>
  <si>
    <t>Foot pressure information acquisition device and acquisition method of lower limb exoskeleton robot</t>
  </si>
  <si>
    <t>CN108113681</t>
  </si>
  <si>
    <t>Balance rehabilitation training robot</t>
  </si>
  <si>
    <t>CN108096794</t>
  </si>
  <si>
    <t>High-voltage line deicing robot travelling device</t>
  </si>
  <si>
    <t>CN108110713</t>
  </si>
  <si>
    <t>Feeding and discharging robot</t>
  </si>
  <si>
    <t>CN108098439</t>
  </si>
  <si>
    <t>Method for implementing balance of heavy-load carrying robot</t>
  </si>
  <si>
    <t>CN108098754</t>
  </si>
  <si>
    <t>Continuous sampling detection method of cotton samples</t>
  </si>
  <si>
    <t>CN108107192</t>
  </si>
  <si>
    <t>Wheel-shaped robot</t>
  </si>
  <si>
    <t>CN108081289</t>
  </si>
  <si>
    <t>Spray robot quick teaching device</t>
  </si>
  <si>
    <t>CN108081278</t>
  </si>
  <si>
    <t>Propulsion device of underwater robot and underwater robot</t>
  </si>
  <si>
    <t>CN108082436</t>
  </si>
  <si>
    <t>Toppling prevention device of restaurant meal delivery robot</t>
  </si>
  <si>
    <t>CN108082306</t>
  </si>
  <si>
    <t>High-strength material for robot and preparation method thereof</t>
  </si>
  <si>
    <t>CN108070738</t>
  </si>
  <si>
    <t>Inspection robot</t>
  </si>
  <si>
    <t>CN108058157</t>
  </si>
  <si>
    <t>Four-shaft stacking industrial robot</t>
  </si>
  <si>
    <t>CN108045970</t>
  </si>
  <si>
    <t>Hopping robot with posture balance adjustment mechanism</t>
  </si>
  <si>
    <t>CN108032919</t>
  </si>
  <si>
    <t>Light-sensitive material</t>
  </si>
  <si>
    <t>CN108039383</t>
  </si>
  <si>
    <t>Modular spectrum type four-shaft industrial robot</t>
  </si>
  <si>
    <t>CN108032292</t>
  </si>
  <si>
    <t>Mobile robot path planning method based on improved AFSA</t>
  </si>
  <si>
    <t>CN108037758</t>
  </si>
  <si>
    <t>Robot cover plate and preparation technology thereof</t>
  </si>
  <si>
    <t>CN108034861</t>
  </si>
  <si>
    <t>Parallel compression spring type double-action balance cylinder applied to industrial robot</t>
  </si>
  <si>
    <t>CN108015807</t>
  </si>
  <si>
    <t>Balance supporting mechanism of explosive-proof robot and robot</t>
  </si>
  <si>
    <t>CN108000556</t>
  </si>
  <si>
    <t>Route planning method and system of multiple moving robots</t>
  </si>
  <si>
    <t>CN107992060</t>
  </si>
  <si>
    <t>Foreign matter cleaning robot for power transmission line</t>
  </si>
  <si>
    <t>CN107994504</t>
  </si>
  <si>
    <t>Protection system and method for robot falling to ground</t>
  </si>
  <si>
    <t>CN107962595</t>
  </si>
  <si>
    <t>Foot joint structure of cleaning wall-climbing robot</t>
  </si>
  <si>
    <t>CN107963142</t>
  </si>
  <si>
    <t>Industrial robot balance plate</t>
  </si>
  <si>
    <t>CN207273260</t>
  </si>
  <si>
    <t>Improved structure of step-and-track-composite-type movable robot travelling system</t>
  </si>
  <si>
    <t>CN107953937</t>
  </si>
  <si>
    <t>Rocker-arm-type suspension mechanism fixedly connected with travelling box body through three points</t>
  </si>
  <si>
    <t>CN107953938</t>
  </si>
  <si>
    <t>Skin care product for skin injury and inflammation repair</t>
  </si>
  <si>
    <t>CN107929121</t>
  </si>
  <si>
    <t>Robot self-balance simulation experiment system and method</t>
  </si>
  <si>
    <t>CN107943065</t>
  </si>
  <si>
    <t>Robot riding device and control method</t>
  </si>
  <si>
    <t>CN107932489</t>
  </si>
  <si>
    <t>Novel curtain wall cleaning robot</t>
  </si>
  <si>
    <t>CN107928535</t>
  </si>
  <si>
    <t>Image-based illumination condition detection method and apparatus</t>
  </si>
  <si>
    <t>CN107945224</t>
  </si>
  <si>
    <t>Spraying robot for airplane empennage</t>
  </si>
  <si>
    <t>CN107930924</t>
  </si>
  <si>
    <t>Robot many connecting rods suspension wheel and single hop crawler -type running gear</t>
  </si>
  <si>
    <t>CN207257818</t>
  </si>
  <si>
    <t>Fighting robot and fighting robot device</t>
  </si>
  <si>
    <t>CN107914277</t>
  </si>
  <si>
    <t>Rotatable and multifunctional road maintenance equipment</t>
  </si>
  <si>
    <t>CN107916611</t>
  </si>
  <si>
    <t>Heavy-load robot balancer and application method thereof</t>
  </si>
  <si>
    <t>CN107901081</t>
  </si>
  <si>
    <t>High -efficient intelligent turnning and milling center</t>
  </si>
  <si>
    <t>CN207223373</t>
  </si>
  <si>
    <t>Climb building running gear and have this balance of mechanism car</t>
  </si>
  <si>
    <t>CN207225506</t>
  </si>
  <si>
    <t>Robot speed reducer</t>
  </si>
  <si>
    <t>CN207229680</t>
  </si>
  <si>
    <t>Open-frame all-around sea cucumber catching robot</t>
  </si>
  <si>
    <t>CN107897137</t>
  </si>
  <si>
    <t>Robot wrist and preparation process thereof</t>
  </si>
  <si>
    <t>CN107901078</t>
  </si>
  <si>
    <t>Robot supporting plate and preparation process thereof</t>
  </si>
  <si>
    <t>CN107904450</t>
  </si>
  <si>
    <t>Robot connector and preparation process thereof</t>
  </si>
  <si>
    <t>CN107904449</t>
  </si>
  <si>
    <t>Robot attitude path target track optimization cognitive development method</t>
  </si>
  <si>
    <t>CN107894715</t>
  </si>
  <si>
    <t>Medical rehabilitation machine ware people system of multimode perception feedback</t>
  </si>
  <si>
    <t>CN207186797</t>
  </si>
  <si>
    <t>Balance walking modular operation robot</t>
  </si>
  <si>
    <t>CN107877519</t>
  </si>
  <si>
    <t>Robot lifting system</t>
  </si>
  <si>
    <t>CN107867656</t>
  </si>
  <si>
    <t>Brake disc double -line automated production unit</t>
  </si>
  <si>
    <t>CN207174752</t>
  </si>
  <si>
    <t>In -wheel motor installs fixing device</t>
  </si>
  <si>
    <t>CN207166259</t>
  </si>
  <si>
    <t>A robot for teleservice</t>
  </si>
  <si>
    <t>CN207155808</t>
  </si>
  <si>
    <t>Industrial robot joint drive device</t>
  </si>
  <si>
    <t>CN107856058</t>
  </si>
  <si>
    <t>Motorcycle type robot</t>
  </si>
  <si>
    <t>CN107856762</t>
  </si>
  <si>
    <t>Chassis of blind guiding robot and balance damping device thereof</t>
  </si>
  <si>
    <t>CN107842571</t>
  </si>
  <si>
    <t>Balance car for small robot</t>
  </si>
  <si>
    <t>CN207139782</t>
  </si>
  <si>
    <t>Adjustable track device</t>
  </si>
  <si>
    <t>CN107826654</t>
  </si>
  <si>
    <t>Polypeptide cosmetic skincare product</t>
  </si>
  <si>
    <t>CN107822973</t>
  </si>
  <si>
    <t>Floating-arm feeding and blanking robot</t>
  </si>
  <si>
    <t>CN107824735</t>
  </si>
  <si>
    <t>Robot connecting rod and manufacturing process thereof</t>
  </si>
  <si>
    <t>CN107828990</t>
  </si>
  <si>
    <t>Double-arm moving and taking robot simulation experiment platform and testing method thereof</t>
  </si>
  <si>
    <t>CN107825469</t>
  </si>
  <si>
    <t>Beta structure of balance car</t>
  </si>
  <si>
    <t>CN207129072</t>
  </si>
  <si>
    <t>Deepwater seabed well mouth oil dispersant spraying system and operation method thereof</t>
  </si>
  <si>
    <t>CN107813907</t>
  </si>
  <si>
    <t>Walking balancing unit</t>
  </si>
  <si>
    <t>CN207120810</t>
  </si>
  <si>
    <t>Laser balance system of urban water supply pipeline laying robot</t>
  </si>
  <si>
    <t>CN107813341</t>
  </si>
  <si>
    <t>Laser balance control system of pipeline laying robot</t>
  </si>
  <si>
    <t>CN107813340</t>
  </si>
  <si>
    <t>Laser balance system for petroleum pipeline laying robot</t>
  </si>
  <si>
    <t>CN107813339</t>
  </si>
  <si>
    <t>CN207106679</t>
  </si>
  <si>
    <t>Mark device is beaten by robot</t>
  </si>
  <si>
    <t>CN207087140</t>
  </si>
  <si>
    <t>In -wheel motor fixing device</t>
  </si>
  <si>
    <t>CN207098810</t>
  </si>
  <si>
    <t>Robot wrist body and preparation method thereof</t>
  </si>
  <si>
    <t>CN107791274</t>
  </si>
  <si>
    <t>Balanced support of rubber coating system that detects rubber tube is followed to vision</t>
  </si>
  <si>
    <t>CN207056917</t>
  </si>
  <si>
    <t>Electric operating robot is from your majesty line unloading device</t>
  </si>
  <si>
    <t>CN207053048</t>
  </si>
  <si>
    <t>Vehicular of taking hanging wire unmanned aerial vehicle is from your majesty line unloading device</t>
  </si>
  <si>
    <t>CN207053050</t>
  </si>
  <si>
    <t>Liquid container liquid outlet structure</t>
  </si>
  <si>
    <t>CN207015829</t>
  </si>
  <si>
    <t>Lid of inside and outside pressure differential of balance container</t>
  </si>
  <si>
    <t>CN207015825</t>
  </si>
  <si>
    <t>Subsea equipment heat abstractor</t>
  </si>
  <si>
    <t>CN207022368</t>
  </si>
  <si>
    <t>Automatic arrangement machine of material loading robot</t>
  </si>
  <si>
    <t>CN207029663</t>
  </si>
  <si>
    <t>Cable is patrolled and examined compound clamping device and cable of robot use and is patrolled and examined robot</t>
  </si>
  <si>
    <t>CN207039062</t>
  </si>
  <si>
    <t>High press -grind material water jet cutting ware</t>
  </si>
  <si>
    <t>CN206998642</t>
  </si>
  <si>
    <t>Walking smart bio-robot</t>
  </si>
  <si>
    <t>CN107775653</t>
  </si>
  <si>
    <t>Biserial thin wall ball sealer bearing for robot</t>
  </si>
  <si>
    <t>CN207080506</t>
  </si>
  <si>
    <t>Five-degree-of-freedom prostate acupuncture surgery robot</t>
  </si>
  <si>
    <t>CN107773306</t>
  </si>
  <si>
    <t>Intelligent assembly work station</t>
  </si>
  <si>
    <t>CN107775337</t>
  </si>
  <si>
    <t>Biped robot with balance adjustment ability</t>
  </si>
  <si>
    <t>CN206954342</t>
  </si>
  <si>
    <t>A 6 -degree of freedom measuring target for industrial robot detects</t>
  </si>
  <si>
    <t>CN206945009</t>
  </si>
  <si>
    <t>Robot with balance mechanism</t>
  </si>
  <si>
    <t>CN206869915</t>
  </si>
  <si>
    <t>Stereo garage operating system of adjustable counter weight</t>
  </si>
  <si>
    <t>CN206917361</t>
  </si>
  <si>
    <t>REAL ESTATE MANAGEMENT SYSTEM, METHOD, AND PROGRAM</t>
  </si>
  <si>
    <t>WO2018043647</t>
  </si>
  <si>
    <t>A nitrogen balance cylinder for industrial robot balanced system</t>
  </si>
  <si>
    <t>CN206903974</t>
  </si>
  <si>
    <t>Automatic letter sorting system of overturning of infusion bag</t>
  </si>
  <si>
    <t>CN206900749</t>
  </si>
  <si>
    <t>Gear type torsional H-shaped shaft snake-shaped robot</t>
  </si>
  <si>
    <t>CN107756386</t>
  </si>
  <si>
    <t>Cylindrical pair joint drive and transmission structure for SCARA (selective compliance assembly robot arm) and method of cylindrical pair joint drive and transmission structure</t>
  </si>
  <si>
    <t>CN107756436</t>
  </si>
  <si>
    <t>Intelligent control system for greenhouse</t>
  </si>
  <si>
    <t>CN107765729</t>
  </si>
  <si>
    <t>Double-row thin-wall sealed ball bearing for robot</t>
  </si>
  <si>
    <t>CN107747594</t>
  </si>
  <si>
    <t>Bionic pulling and pressing body system design method</t>
  </si>
  <si>
    <t>CN107745392</t>
  </si>
  <si>
    <t>3D SEGMENTATION FOR ROBOTIC APPLICATIONS</t>
  </si>
  <si>
    <t>US2018056515</t>
  </si>
  <si>
    <t>Medicinal skin care product for chapped skin</t>
  </si>
  <si>
    <t>CN107737032</t>
  </si>
  <si>
    <t>Tensile-resistant enhanced robot arm and preparation method thereof</t>
  </si>
  <si>
    <t>CN107739931</t>
  </si>
  <si>
    <t>Three-dimensional scanner balance adjusting device for underground mine exploration robot</t>
  </si>
  <si>
    <t>CN107718012</t>
  </si>
  <si>
    <t>Automatic balancing device and method of motorcycle-type robot</t>
  </si>
  <si>
    <t>CN107728635</t>
  </si>
  <si>
    <t>CN107717957</t>
  </si>
  <si>
    <t>Robot spot welding production line</t>
  </si>
  <si>
    <t>CN107717283</t>
  </si>
  <si>
    <t>Durable balance weight casting for robot mechanical arm</t>
  </si>
  <si>
    <t>CN107696066</t>
  </si>
  <si>
    <t>Rigidity and flexibility coupling mechanical finger with force level sensing and sensing method thereof</t>
  </si>
  <si>
    <t>CN107696048</t>
  </si>
  <si>
    <t>Manned robot</t>
  </si>
  <si>
    <t>CN107696914</t>
  </si>
  <si>
    <t>Robot capable of carrying out equilibrium running</t>
  </si>
  <si>
    <t>CN107696012</t>
  </si>
  <si>
    <t>Robot fixing base</t>
  </si>
  <si>
    <t>CN107699758</t>
  </si>
  <si>
    <t>Multi-connection rod suspension wheel for robot and single-segment crawler belt traveling mechanism</t>
  </si>
  <si>
    <t>CN107697174</t>
  </si>
  <si>
    <t>Cleansing agent for cleaning robot</t>
  </si>
  <si>
    <t>CN107686780</t>
  </si>
  <si>
    <t>Automatic balance robot</t>
  </si>
  <si>
    <t>CN107685321</t>
  </si>
  <si>
    <t>Solar photovoltaic panel bridge crossing automatic crane and photovoltaic power station</t>
  </si>
  <si>
    <t>CN107681971</t>
  </si>
  <si>
    <t>Two-wheel self-balance robot toy platform</t>
  </si>
  <si>
    <t>CN107661631</t>
  </si>
  <si>
    <t>Robot walking device</t>
  </si>
  <si>
    <t>CN107672685</t>
  </si>
  <si>
    <t>Crane wave compensation function verifying method</t>
  </si>
  <si>
    <t>CN107651566</t>
  </si>
  <si>
    <t>Coordinated fight robot</t>
  </si>
  <si>
    <t>CN107627306</t>
  </si>
  <si>
    <t>Two-wheel robot balance controller based on the LQR algorithm</t>
  </si>
  <si>
    <t>CN107643760</t>
  </si>
  <si>
    <t>Balance floating device and electrode cap grinding machine comprising same</t>
  </si>
  <si>
    <t>CN107627175</t>
  </si>
  <si>
    <t>Rotor field double-face dynamic balance calibration device and method without removing test weight</t>
  </si>
  <si>
    <t>CN107621333</t>
  </si>
  <si>
    <t>Robot for detecting corrosion of base plate of on-service large-sized crude oil storage tank</t>
  </si>
  <si>
    <t>CN107607465</t>
  </si>
  <si>
    <t>Fighting robot</t>
  </si>
  <si>
    <t>CN107598938</t>
  </si>
  <si>
    <t>Anti-toppling device for robot</t>
  </si>
  <si>
    <t>CN107598969</t>
  </si>
  <si>
    <t>Depth control method for three-joint bionic robot fish</t>
  </si>
  <si>
    <t>CN107571983</t>
  </si>
  <si>
    <t>Cable insulation fault monitoring robot based on electric field distortion degree</t>
  </si>
  <si>
    <t>CN107589312</t>
  </si>
  <si>
    <t>Robot control system and method</t>
  </si>
  <si>
    <t>CN107577168</t>
  </si>
  <si>
    <t>Balance training robot</t>
  </si>
  <si>
    <t>CN107553504</t>
  </si>
  <si>
    <t>Self-balance robot attitude control method and system</t>
  </si>
  <si>
    <t>CN107562063</t>
  </si>
  <si>
    <t>FRONT WEARING STAND-UP ASSISTANCE ROBOT</t>
  </si>
  <si>
    <t>KR20170137469</t>
  </si>
  <si>
    <t>Apparatus and method for controlling adaptive synchronized tracking of heterogeneous spherical robots using distributed hierarchical sliding surfaces under a directed graph</t>
  </si>
  <si>
    <t>KR20170138623</t>
  </si>
  <si>
    <t>Spherical tight -wire walking robot</t>
  </si>
  <si>
    <t>CN206855432</t>
  </si>
  <si>
    <t>WALKING ASSISTANC ROBOT SYSTEM AND CONTROL METHOD THEREFOR</t>
  </si>
  <si>
    <t>KR20170131747</t>
  </si>
  <si>
    <t>Tunnel image acquisition robot adjusts structure with quick installation</t>
  </si>
  <si>
    <t>CN206846212</t>
  </si>
  <si>
    <t>Automatic well mechanism and ectoskeleton robot of returning of passive hip joint</t>
  </si>
  <si>
    <t>CN206840064</t>
  </si>
  <si>
    <t>INSECTICIDAL DEVICE BALANCE ADJUSTMENT SYSTEM, INSECTICIDAL DEVICE BALANCE ADJUSTMENT METHOD, AND PROGRAM</t>
  </si>
  <si>
    <t>WO2018003080</t>
  </si>
  <si>
    <t>A robot for clinical and telemedicine</t>
  </si>
  <si>
    <t>CN206835267</t>
  </si>
  <si>
    <t>RV reduction gear cycloid wheel precision grinder for robot joint</t>
  </si>
  <si>
    <t>CN206794943</t>
  </si>
  <si>
    <t>Intelligence tealeaves weighing device</t>
  </si>
  <si>
    <t>CN206804124</t>
  </si>
  <si>
    <t>Multifunctional medical assistance shifting robot</t>
  </si>
  <si>
    <t>CN107496082</t>
  </si>
  <si>
    <t>Stair-climbing and walking mechanism and balance car with the same</t>
  </si>
  <si>
    <t>CN107499406</t>
  </si>
  <si>
    <t>Heat dissipating device of underwater equipment</t>
  </si>
  <si>
    <t>CN107509360</t>
  </si>
  <si>
    <t>SOFT TISSUE BALANCING IN ARTICULAR SURGERY</t>
  </si>
  <si>
    <t>US2017360512</t>
  </si>
  <si>
    <t>Robot for remote wireless monitoring</t>
  </si>
  <si>
    <t>CN107479173</t>
  </si>
  <si>
    <t>Multifunctional liquid filling robot</t>
  </si>
  <si>
    <t>CN107473163</t>
  </si>
  <si>
    <t>Robot, robot joint and harmonic speed reducer ware thereof</t>
  </si>
  <si>
    <t>CN206738541</t>
  </si>
  <si>
    <t>Ducted push-aiding device and method making biped robot step over obstacles</t>
  </si>
  <si>
    <t>CN107458496</t>
  </si>
  <si>
    <t>Droplet sprays machine people</t>
  </si>
  <si>
    <t>CN206716285</t>
  </si>
  <si>
    <t>Working-grade underwater robot</t>
  </si>
  <si>
    <t>CN107444595</t>
  </si>
  <si>
    <t>Glass cleaner for cleaning robot</t>
  </si>
  <si>
    <t>CN107446723</t>
  </si>
  <si>
    <t>Novel parallel pouring robot</t>
  </si>
  <si>
    <t>CN107443357</t>
  </si>
  <si>
    <t>Robot for conveying chemical stock solution</t>
  </si>
  <si>
    <t>CN107444507</t>
  </si>
  <si>
    <t>Polling robot for gas transmission pipe</t>
  </si>
  <si>
    <t>CN107448730</t>
  </si>
  <si>
    <t>CN107443390</t>
  </si>
  <si>
    <t>Automatic pay -off robot system is integrated</t>
  </si>
  <si>
    <t>CN206705277</t>
  </si>
  <si>
    <t>Multi -functional balance</t>
  </si>
  <si>
    <t>CN206695879</t>
  </si>
  <si>
    <t>Eccentric planetary polishing device of large-caliber aspheric robot</t>
  </si>
  <si>
    <t>CN107414631</t>
  </si>
  <si>
    <t>Method and device for adjusting balance according to force moment</t>
  </si>
  <si>
    <t>CN107414823</t>
  </si>
  <si>
    <t>Many joints of level SCARA type cooperation robot</t>
  </si>
  <si>
    <t>CN206677953</t>
  </si>
  <si>
    <t>Stacking robot</t>
  </si>
  <si>
    <t>CN206663255</t>
  </si>
  <si>
    <t>Adaptation is adjusted and is assisted walking robot with interdynamic</t>
  </si>
  <si>
    <t>CN206663240</t>
  </si>
  <si>
    <t>Movable rig floor calandria robot is with flexible arm</t>
  </si>
  <si>
    <t>CN206554823</t>
  </si>
  <si>
    <t>Multi-connecting rod sprung-hub wheel for robot and single-segment crawler belt type traveling mechanism</t>
  </si>
  <si>
    <t>CN107380284</t>
  </si>
  <si>
    <t>Multidimensional balance intelligent detection robot specialized for narrow space work</t>
  </si>
  <si>
    <t>CN107390283</t>
  </si>
  <si>
    <t>Industrial robot assembly lift dedicated platform</t>
  </si>
  <si>
    <t>CN206653336</t>
  </si>
  <si>
    <t>Mechanical and electrical integration formula B axle yaw device</t>
  </si>
  <si>
    <t>CN206653149</t>
  </si>
  <si>
    <t>Arc screen rotation fixing mechanism of surgical robot doctor control console</t>
  </si>
  <si>
    <t>CN107361845</t>
  </si>
  <si>
    <t>Omnidirectional mobile robot loaded with planar inverted pendulum and control method</t>
  </si>
  <si>
    <t>CN107363852</t>
  </si>
  <si>
    <t>Gravity balance device of five-degree-of-freedom hybrid robot</t>
  </si>
  <si>
    <t>CN107351124</t>
  </si>
  <si>
    <t>Underwater observation robot for ecological remediation of ocean environment</t>
  </si>
  <si>
    <t>CN107344604</t>
  </si>
  <si>
    <t>Supplementary waters robot communication's machine fish</t>
  </si>
  <si>
    <t>CN206634184</t>
  </si>
  <si>
    <t>Overspeed device tensioner of flexible belt</t>
  </si>
  <si>
    <t>CN206615685</t>
  </si>
  <si>
    <t>Tensile force adjustable conveyor belt constructs</t>
  </si>
  <si>
    <t>CN206615686</t>
  </si>
  <si>
    <t>Mounting fixing mechanism for arc screen of surgical robot surgeon console</t>
  </si>
  <si>
    <t>CN107320185</t>
  </si>
  <si>
    <t>Full-balance mechanism for serial-parallel hybrid decoupling-type robot palletizer</t>
  </si>
  <si>
    <t>CN107309905</t>
  </si>
  <si>
    <t>Filling robot suitable for liquid filling production lines</t>
  </si>
  <si>
    <t>CN107311097</t>
  </si>
  <si>
    <t>Automobile lift of adjustable counter weight</t>
  </si>
  <si>
    <t>CN206607932</t>
  </si>
  <si>
    <t>Electrical component robot work station</t>
  </si>
  <si>
    <t>CN206605233</t>
  </si>
  <si>
    <t>Arm is got to vertical work piece clamp</t>
  </si>
  <si>
    <t>CN206588945</t>
  </si>
  <si>
    <t>Robot for adjuvant therapy of infantile autism</t>
  </si>
  <si>
    <t>CN107283389</t>
  </si>
  <si>
    <t>Robot real time control method based on environmental interaction</t>
  </si>
  <si>
    <t>CN107292344</t>
  </si>
  <si>
    <t>Robot grabbing arm with automatic balance calibration function</t>
  </si>
  <si>
    <t>CN107263531</t>
  </si>
  <si>
    <t>Moving device for gas pipeline inspection robot</t>
  </si>
  <si>
    <t>CN107270026</t>
  </si>
  <si>
    <t>Robot used for remote services</t>
  </si>
  <si>
    <t>CN107263500</t>
  </si>
  <si>
    <t>Two -wheeled balance loudspeaker device for spherical robot</t>
  </si>
  <si>
    <t>CN206575589</t>
  </si>
  <si>
    <t>Boarding type mobile device using the Ball-Robot</t>
  </si>
  <si>
    <t>KR20170107197</t>
  </si>
  <si>
    <t>Self-adaptive double-layer sliding mode-based teleoperation system fast force estimation method</t>
  </si>
  <si>
    <t>CN107255922</t>
  </si>
  <si>
    <t>Automatic cable winding and unwinding equipment for underwater robot, and automatic winding and unwinding method</t>
  </si>
  <si>
    <t>CN107257120</t>
  </si>
  <si>
    <t>Spherical wire walking robot and walking method thereof</t>
  </si>
  <si>
    <t>CN107243883</t>
  </si>
  <si>
    <t>Friction force measurement method of electric drive robot</t>
  </si>
  <si>
    <t>CN107243926</t>
  </si>
  <si>
    <t>Series-parallel movable heavy load casting robot</t>
  </si>
  <si>
    <t>CN107243622</t>
  </si>
  <si>
    <t>A quick change grinding apparatus for robot is automatic polishes</t>
  </si>
  <si>
    <t>CN206544103</t>
  </si>
  <si>
    <t>Compound professional equipment of turnning and milling of ultr aprecision machining piston</t>
  </si>
  <si>
    <t>CN206544011</t>
  </si>
  <si>
    <t>Spiral traction type elevator</t>
  </si>
  <si>
    <t>CN107235409</t>
  </si>
  <si>
    <t>Device and method of vehicle autonomous wire assembling and disassembling of unmanned aerial vehicle with hanging wire</t>
  </si>
  <si>
    <t>CN107221874</t>
  </si>
  <si>
    <t>Wheel type magnetic self-adaption pipeline exploration traction robot used for electrical power engineering</t>
  </si>
  <si>
    <t>CN107218473</t>
  </si>
  <si>
    <t>Travelling mechanism of mobile robot</t>
  </si>
  <si>
    <t>CN107215407</t>
  </si>
  <si>
    <t>X-ray system for C-arm industrial robot</t>
  </si>
  <si>
    <t>CN107229179</t>
  </si>
  <si>
    <t>Software robot integration control scheduling program design method based on rolling window scheduling technology</t>
  </si>
  <si>
    <t>CN107219824</t>
  </si>
  <si>
    <t>Ball robot tmaintaining stable posture</t>
  </si>
  <si>
    <t>KR20170099683</t>
  </si>
  <si>
    <t>Method for controlling balance of quasi-humanoid robot</t>
  </si>
  <si>
    <t>CN107203490</t>
  </si>
  <si>
    <t>Mobile robot chassis</t>
  </si>
  <si>
    <t>CN206520678</t>
  </si>
  <si>
    <t>Autonomous online-offline device for robot in live-line work</t>
  </si>
  <si>
    <t>CN107196233</t>
  </si>
  <si>
    <t>Dining car for dining room</t>
  </si>
  <si>
    <t>CN107186727</t>
  </si>
  <si>
    <t>Obstacle detection method, obstacle detection device and robot</t>
  </si>
  <si>
    <t>CN107194350</t>
  </si>
  <si>
    <t>Spherical robot having walking function</t>
  </si>
  <si>
    <t>CN107187509</t>
  </si>
  <si>
    <t>Service robot platform based on vision</t>
  </si>
  <si>
    <t>CN206510046</t>
  </si>
  <si>
    <t>Cleaning robot</t>
  </si>
  <si>
    <t>CN206507868</t>
  </si>
  <si>
    <t>Device of delta robot dynamic balance</t>
  </si>
  <si>
    <t>CN206501103</t>
  </si>
  <si>
    <t>Tracked robot</t>
  </si>
  <si>
    <t>CN107161226</t>
  </si>
  <si>
    <t>A combined corn topping and fertilizing robot</t>
  </si>
  <si>
    <t>CN107155663</t>
  </si>
  <si>
    <t>Dining room cleaning robot</t>
  </si>
  <si>
    <t>CN107160405</t>
  </si>
  <si>
    <t>A clamping device applied to a main manipulator of a laparoscopic surgery robot</t>
  </si>
  <si>
    <t>CN107157584</t>
  </si>
  <si>
    <t>Equilibrium detection mechanism of robot</t>
  </si>
  <si>
    <t>CN206493333</t>
  </si>
  <si>
    <t>Robot for remote service</t>
  </si>
  <si>
    <t>CN107139188</t>
  </si>
  <si>
    <t>Following type housekeeper robot</t>
  </si>
  <si>
    <t>CN107139157</t>
  </si>
  <si>
    <t>CN206482522</t>
  </si>
  <si>
    <t>Articulated robot</t>
  </si>
  <si>
    <t>CN206484557</t>
  </si>
  <si>
    <t>Auxiliary device of industrial robot balance cylinder production usefulness</t>
  </si>
  <si>
    <t>CN206475162</t>
  </si>
  <si>
    <t>Intelligent vehicle robot</t>
  </si>
  <si>
    <t>CN107117243</t>
  </si>
  <si>
    <t>Power transmission line repairing and bird repelling device</t>
  </si>
  <si>
    <t>CN107134739</t>
  </si>
  <si>
    <t>SMART ROBOT</t>
  </si>
  <si>
    <t>WO2017143569</t>
  </si>
  <si>
    <t>Device for realizing left-right self-balance by virtue of load bearing, and load-bearing robot</t>
  </si>
  <si>
    <t>CN107097255</t>
  </si>
  <si>
    <t>Foot of anthropomorphic robot</t>
  </si>
  <si>
    <t>CN206445793</t>
  </si>
  <si>
    <t>Barrier-crossing wire walking robot and walking and barrier crossing method thereof</t>
  </si>
  <si>
    <t>CN107097207</t>
  </si>
  <si>
    <t>Robot tail end linear guide rail</t>
  </si>
  <si>
    <t>CN107097221</t>
  </si>
  <si>
    <t>Robot joint drive mechanism and elastic component rigidity determination method thereof</t>
  </si>
  <si>
    <t>CN107097251</t>
  </si>
  <si>
    <t>Lifting and carrying robot used for automobile maintenance and working method of lifting and carrying robot</t>
  </si>
  <si>
    <t>CN107098287</t>
  </si>
  <si>
    <t>Robot walking platform provided with balance block and driven by motor</t>
  </si>
  <si>
    <t>CN107097626</t>
  </si>
  <si>
    <t>Power assisting device for robot arm</t>
  </si>
  <si>
    <t>CN107081786</t>
  </si>
  <si>
    <t>Intelligent garden weeding robot</t>
  </si>
  <si>
    <t>CN107053126</t>
  </si>
  <si>
    <t>RV reducer cycloidal gear precision grinder for robot joint</t>
  </si>
  <si>
    <t>CN107081483</t>
  </si>
  <si>
    <t>Method for planning quadruped robot static gait body movement track</t>
  </si>
  <si>
    <t>CN107065908</t>
  </si>
  <si>
    <t>Semantic map construction method based on cloud robot mixed cloud architecture</t>
  </si>
  <si>
    <t>CN107066507</t>
  </si>
  <si>
    <t>Rehabilitation training method for guillain-barre syndrome patients in subacute stage</t>
  </si>
  <si>
    <t>CN107049710</t>
  </si>
  <si>
    <t>Pipe diameter self -adaptation pipeline robot</t>
  </si>
  <si>
    <t>CN206429805</t>
  </si>
  <si>
    <t>Circle package balance equipment</t>
  </si>
  <si>
    <t>CN206407609</t>
  </si>
  <si>
    <t>Balancing support frame for meal delivery robot</t>
  </si>
  <si>
    <t>CN107041669</t>
  </si>
  <si>
    <t>Automatic cutting-off device for rubber balance weight of air conditioner and control method of automatic cutting-off device</t>
  </si>
  <si>
    <t>CN107030745</t>
  </si>
  <si>
    <t>Active driving device</t>
  </si>
  <si>
    <t>CN107031322</t>
  </si>
  <si>
    <t>Sitting balance rehabilitation training robot and control method thereof</t>
  </si>
  <si>
    <t>CN107019617</t>
  </si>
  <si>
    <t>Balanced system of wheeled robot, and control method thereof</t>
  </si>
  <si>
    <t>CN107024938</t>
  </si>
  <si>
    <t>Focus adjusting device , balance car and robot</t>
  </si>
  <si>
    <t>CN206394728</t>
  </si>
  <si>
    <t>Balance training device and multifunctional walking aid rehabilitation training robot</t>
  </si>
  <si>
    <t>CN106955223</t>
  </si>
  <si>
    <t>Transmission line cleaning and bird repellent device</t>
  </si>
  <si>
    <t>CN106953266</t>
  </si>
  <si>
    <t>Bi-directional proportional balancing valve for negative load speed-limit circuit, and application system thereof</t>
  </si>
  <si>
    <t>CN106949105</t>
  </si>
  <si>
    <t>Side-sway joint of multi-foot-boosting rehabilitation robot</t>
  </si>
  <si>
    <t>CN106943281</t>
  </si>
  <si>
    <t>Multi-foot-boosting rehabilitation robot</t>
  </si>
  <si>
    <t>CN106943282</t>
  </si>
  <si>
    <t>Method for randomly designating control reference supporting points of four-point balancing mechanism</t>
  </si>
  <si>
    <t>CN106914909</t>
  </si>
  <si>
    <t>Four-point supporting balancing mechanism</t>
  </si>
  <si>
    <t>CN106915390</t>
  </si>
  <si>
    <t>Device and method used for achieving sample air drying in robot sample preparation system</t>
  </si>
  <si>
    <t>CN107014166</t>
  </si>
  <si>
    <t>Overhead high-voltage transmission line inspection robot recovery device</t>
  </si>
  <si>
    <t>CN107017578</t>
  </si>
  <si>
    <t>Lightweight four-leg robot</t>
  </si>
  <si>
    <t>CN107010137</t>
  </si>
  <si>
    <t>Marking device floating in wetland for movement</t>
  </si>
  <si>
    <t>CN106922237</t>
  </si>
  <si>
    <t>Pipeline impurity smashing device</t>
  </si>
  <si>
    <t>CN106984613</t>
  </si>
  <si>
    <t>Control circuit configuration of two -wheeled automatic balancing machine ware people toy</t>
  </si>
  <si>
    <t>CN206372520</t>
  </si>
  <si>
    <t>Balance training equipment</t>
  </si>
  <si>
    <t>CN206372466</t>
  </si>
  <si>
    <t>Ship and naval vessel wall surface wall-climbing cleaning robot</t>
  </si>
  <si>
    <t>CN106976002</t>
  </si>
  <si>
    <t>Bending joints of multi-foot rehabilitation assisting robot</t>
  </si>
  <si>
    <t>CN106974806</t>
  </si>
  <si>
    <t>Professional robot suitable for blow moulding industry</t>
  </si>
  <si>
    <t>CN106965408</t>
  </si>
  <si>
    <t>Walking robot with gyroscopic stabilizers</t>
  </si>
  <si>
    <t>CN106965872</t>
  </si>
  <si>
    <t>Wheeled walking desilting machine people from balance mechanism</t>
  </si>
  <si>
    <t>CN206346245</t>
  </si>
  <si>
    <t>But flying type high altitude construction robot with concave case structure</t>
  </si>
  <si>
    <t>CN206313365</t>
  </si>
  <si>
    <t>Sharp walking robot of intelligence</t>
  </si>
  <si>
    <t>CN206303859</t>
  </si>
  <si>
    <t>Stand-up device of rehabilitation training robot and rehabilitation training robot with stand-up device</t>
  </si>
  <si>
    <t>CN106390382</t>
  </si>
  <si>
    <t>Regulation isolated plant of quick dynamic balance</t>
  </si>
  <si>
    <t>CN206296677</t>
  </si>
  <si>
    <t>Power battery pack of robot for security check and rescue in coal mine</t>
  </si>
  <si>
    <t>CN106910954</t>
  </si>
  <si>
    <t>Automatic aligning mechanism for passive hip joint and exoskeleton robot</t>
  </si>
  <si>
    <t>CN106891328</t>
  </si>
  <si>
    <t>A humanoid robot</t>
  </si>
  <si>
    <t>CN106892015</t>
  </si>
  <si>
    <t>All-weather power transmission line waterproof paint coating robot</t>
  </si>
  <si>
    <t>CN106890759</t>
  </si>
  <si>
    <t>Structure-improved damping chassis of dish conveying robot</t>
  </si>
  <si>
    <t>CN106882274</t>
  </si>
  <si>
    <t>Vision-based service robot platform</t>
  </si>
  <si>
    <t>CN106863324</t>
  </si>
  <si>
    <t>Auxiliary balance adjustment mechanism for robot walking up and down stairs</t>
  </si>
  <si>
    <t>CN106859876</t>
  </si>
  <si>
    <t>Three-hole one-time equilibrium drilling device for solar mirror bracket</t>
  </si>
  <si>
    <t>CN106825675</t>
  </si>
  <si>
    <t>Thermal cutting method for grooves of long and thin main reinforcement of top beam of hydraulic support in thin coal seam</t>
  </si>
  <si>
    <t>CN106825844</t>
  </si>
  <si>
    <t>Balance vehicle for small robot</t>
  </si>
  <si>
    <t>CN106826755</t>
  </si>
  <si>
    <t>Quick-replacement grinding tool for automatic grinding by robot</t>
  </si>
  <si>
    <t>CN106826546</t>
  </si>
  <si>
    <t>Cutting robot palletizer</t>
  </si>
  <si>
    <t>CN106829511</t>
  </si>
  <si>
    <t>Abrasion-resistant alloy casting piece for mechanical arm and casting method thereof</t>
  </si>
  <si>
    <t>CN106834926</t>
  </si>
  <si>
    <t>Upper base of mechanical arm and preparation method of upper base of mechanical arm</t>
  </si>
  <si>
    <t>CN106834898</t>
  </si>
  <si>
    <t>Carrying mechanical arm paw and preparation method thereof</t>
  </si>
  <si>
    <t>CN106811643</t>
  </si>
  <si>
    <t>Nuclear power plant cooling water diversion culvert detection robot system and implementation method thereof</t>
  </si>
  <si>
    <t>CN106809358</t>
  </si>
  <si>
    <t>ARTICLE PROCESSING DEVICE</t>
  </si>
  <si>
    <t>JP2017109820</t>
  </si>
  <si>
    <t>Arm counter weight balanced structure</t>
  </si>
  <si>
    <t>CN206277418</t>
  </si>
  <si>
    <t>Robot is patrolled and examined to intelligence</t>
  </si>
  <si>
    <t>CN206259648</t>
  </si>
  <si>
    <t>Automatic dynamic balance double round machine people of control</t>
  </si>
  <si>
    <t>CN206249093</t>
  </si>
  <si>
    <t>Rehabilitation training robot's stand up device and have its rehabilitation training robot</t>
  </si>
  <si>
    <t>CN206228861</t>
  </si>
  <si>
    <t>Chromium-free passivation solution for zinc coating of mechanical arm and preparation method thereof</t>
  </si>
  <si>
    <t>CN106801224</t>
  </si>
  <si>
    <t>Inertia wheel control method and apparatus</t>
  </si>
  <si>
    <t>CN106802663</t>
  </si>
  <si>
    <t>Oil drilling machine quadruple board platform calandria robot is with flexible arm</t>
  </si>
  <si>
    <t>CN206233883</t>
  </si>
  <si>
    <t>Small lobedfruit schizocapsa rhizome harvesting robot</t>
  </si>
  <si>
    <t>CN106717447</t>
  </si>
  <si>
    <t>Tensioner for extensible belt</t>
  </si>
  <si>
    <t>CN106743172</t>
  </si>
  <si>
    <t>Liftable position-indicating light beacon device for underwater robot</t>
  </si>
  <si>
    <t>CN106741713</t>
  </si>
  <si>
    <t>Balance charging control system and method for storage battery pack of underwater robot</t>
  </si>
  <si>
    <t>CN106787036</t>
  </si>
  <si>
    <t>Hoisted type industrial mechanical arm</t>
  </si>
  <si>
    <t>CN106737631</t>
  </si>
  <si>
    <t>Damping chassis of meal delivery robot</t>
  </si>
  <si>
    <t>CN106737557</t>
  </si>
  <si>
    <t>Two-wheel balancing robot based on simple pendulum structure</t>
  </si>
  <si>
    <t>CN106741291</t>
  </si>
  <si>
    <t>Foot retracting device transforming mechanism of biped robot</t>
  </si>
  <si>
    <t>CN106741276</t>
  </si>
  <si>
    <t>Temporary walking assistant robot</t>
  </si>
  <si>
    <t>CN106726373</t>
  </si>
  <si>
    <t>Robot double-arm self-balance method and robot</t>
  </si>
  <si>
    <t>CN106737747</t>
  </si>
  <si>
    <t>Anti-collision sensor and welding robot</t>
  </si>
  <si>
    <t>CN106736120</t>
  </si>
  <si>
    <t>Corner self-servo passive and supple hydraulic robot joint</t>
  </si>
  <si>
    <t>CN106737827</t>
  </si>
  <si>
    <t>High-strength and corrosion-resisting casting for mechanical arm and manufacturing method thereof</t>
  </si>
  <si>
    <t>CN106756515</t>
  </si>
  <si>
    <t>DELTA robot dynamic balancing device and method</t>
  </si>
  <si>
    <t>CN106737587</t>
  </si>
  <si>
    <t>Anti-tilting device for meal delivery robot</t>
  </si>
  <si>
    <t>CN106695807</t>
  </si>
  <si>
    <t>AGV transporting device with material transferring belt mechanism and control method of AGV transporting device with material transferring belt mechanism</t>
  </si>
  <si>
    <t>CN106743248</t>
  </si>
  <si>
    <t>Lifting handrail with balance device</t>
  </si>
  <si>
    <t>CN106737863</t>
  </si>
  <si>
    <t>Rapid attitude stabilization method suitable for space robot actuator failure</t>
  </si>
  <si>
    <t>CN106708078</t>
  </si>
  <si>
    <t>Automobile elevator with adjustable balance weights</t>
  </si>
  <si>
    <t>CN106760767</t>
  </si>
  <si>
    <t>Online system and method capable of achieving automatic online state of engine assembly line cylinder body</t>
  </si>
  <si>
    <t>CN106736517</t>
  </si>
  <si>
    <t>Machining system for balance shafts</t>
  </si>
  <si>
    <t>CN106743379</t>
  </si>
  <si>
    <t>Light rail robot four-wheel-drive motion control system and method thereof</t>
  </si>
  <si>
    <t>CN106737563</t>
  </si>
  <si>
    <t>Lift type high speed ocean robot</t>
  </si>
  <si>
    <t>CN106741584</t>
  </si>
  <si>
    <t>Novel robot travelling underframe</t>
  </si>
  <si>
    <t>CN106741283</t>
  </si>
  <si>
    <t>Powder-and-particle quantitative filling device</t>
  </si>
  <si>
    <t>CN106767190</t>
  </si>
  <si>
    <t>Four-wheel omni-directional-rotating routing-inspection robot chassis</t>
  </si>
  <si>
    <t>CN106627832</t>
  </si>
  <si>
    <t>Engraving stacking robot</t>
  </si>
  <si>
    <t>CN106629090</t>
  </si>
  <si>
    <t>Wear-resisting and corrosion-resisting alloy casting for mechanical arm and preparation method thereof</t>
  </si>
  <si>
    <t>CN106636910</t>
  </si>
  <si>
    <t>Rollover self-resetting intelligent unmanned robot</t>
  </si>
  <si>
    <t>CN106671059</t>
  </si>
  <si>
    <t>Self-adjusting system and method for pneumatic servo balance self-weight of lifting shaft of robot</t>
  </si>
  <si>
    <t>CN106625592</t>
  </si>
  <si>
    <t>Force-measuring grinding machine</t>
  </si>
  <si>
    <t>CN106625246</t>
  </si>
  <si>
    <t>Intelligent robot system power supply</t>
  </si>
  <si>
    <t>CN106655857</t>
  </si>
  <si>
    <t>A balance cylinder and industrial robot for industrial robot</t>
  </si>
  <si>
    <t>CN206216735</t>
  </si>
  <si>
    <t>ROBOT SYSTEM AND TEACHING DEVICE FOR ROBOT</t>
  </si>
  <si>
    <t>JP2017087341</t>
  </si>
  <si>
    <t>Robot real-time simulation method</t>
  </si>
  <si>
    <t>CN106607910</t>
  </si>
  <si>
    <t>Balance shock absorbing device for meal delivering robot</t>
  </si>
  <si>
    <t>CN106584514</t>
  </si>
  <si>
    <t>Low-power lifting stand column</t>
  </si>
  <si>
    <t>CN106586877</t>
  </si>
  <si>
    <t>Unmanned aerial vehicle and inspection robot</t>
  </si>
  <si>
    <t>CN206107562</t>
  </si>
  <si>
    <t>Weldment work of robot device</t>
  </si>
  <si>
    <t>CN206105214</t>
  </si>
  <si>
    <t>Full balance mechanism of cluster and series -parallel connection decoupling zero type pile up neatly machine people</t>
  </si>
  <si>
    <t>CN206105897</t>
  </si>
  <si>
    <t>Transformable toy</t>
  </si>
  <si>
    <t>CN206081618</t>
  </si>
  <si>
    <t>Automatic power -assisted machine hand that traveles</t>
  </si>
  <si>
    <t>CN206088831</t>
  </si>
  <si>
    <t>MOBILE ROBOTICS COMPLEX</t>
  </si>
  <si>
    <t>RU2612115</t>
  </si>
  <si>
    <t>Heavily loaded robot of intelligence</t>
  </si>
  <si>
    <t>CN206066439</t>
  </si>
  <si>
    <t>VIBRATION CONTROL DEVICE OF SINGLE WHEEL ROBOT AND FILTER DESIGN METHOD FOR REDUCING VIBRATION OF SINGLE WHEEL ROBOT</t>
  </si>
  <si>
    <t>KR101713120</t>
  </si>
  <si>
    <t>TRANSFER SYSTEM AND TRANSFER METHOD</t>
  </si>
  <si>
    <t>JP2017056529</t>
  </si>
  <si>
    <t>CONTROL MODEL ACQUIRING METHOD AND ROBOT CONTROL DEVICE</t>
  </si>
  <si>
    <t>JP2017056506</t>
  </si>
  <si>
    <t>Punching press material loading robot</t>
  </si>
  <si>
    <t>CN206048197</t>
  </si>
  <si>
    <t>Walking type intelligent bionic robot</t>
  </si>
  <si>
    <t>CN206048214</t>
  </si>
  <si>
    <t>Drag teaching robot that to hover by doing and illustrating</t>
  </si>
  <si>
    <t>CN206048180</t>
  </si>
  <si>
    <t>Lower limb functional rehabilitation training robot</t>
  </si>
  <si>
    <t>CN106539662</t>
  </si>
  <si>
    <t>Welding track control method for horizontal-type corrugated plate H-section steel based on laser ranging</t>
  </si>
  <si>
    <t>CN106514081</t>
  </si>
  <si>
    <t>Balance training device and using method thereof</t>
  </si>
  <si>
    <t>CN106492423</t>
  </si>
  <si>
    <t>Low-temperature-resistant material for medical robot</t>
  </si>
  <si>
    <t>CN106521345</t>
  </si>
  <si>
    <t>Intelligence sample robot sample arm</t>
  </si>
  <si>
    <t>CN206029881</t>
  </si>
  <si>
    <t>Detachable industrial robot moment balance device</t>
  </si>
  <si>
    <t>CN206029957</t>
  </si>
  <si>
    <t>Walking and soil shoveling mechanism of small lobedfruit schizocapsarhizome picking robot</t>
  </si>
  <si>
    <t>CN106489409</t>
  </si>
  <si>
    <t>Titanium alloy for space robot</t>
  </si>
  <si>
    <t>CN106498229</t>
  </si>
  <si>
    <t>Robot pressure-resistant material</t>
  </si>
  <si>
    <t>CN106498239</t>
  </si>
  <si>
    <t>TELEPRESENCE ROBOT WITH STABILIZATION MECHANISM</t>
  </si>
  <si>
    <t>US2017080558</t>
  </si>
  <si>
    <t>Assembly system for parts and components of injection molded product and assembly method</t>
  </si>
  <si>
    <t>CN106476287</t>
  </si>
  <si>
    <t>Robot detection system for detecting windmill generator blade defects</t>
  </si>
  <si>
    <t>CN106483134</t>
  </si>
  <si>
    <t>Industrial robot's gravity balance device</t>
  </si>
  <si>
    <t>CN206011138</t>
  </si>
  <si>
    <t>Industrial robot based on self gravity keep balance</t>
  </si>
  <si>
    <t>CN206011070</t>
  </si>
  <si>
    <t>Intelligence glass cleaning robot wheel linkage</t>
  </si>
  <si>
    <t>CN205994442</t>
  </si>
  <si>
    <t>Pressing robot motor control device</t>
  </si>
  <si>
    <t>CN106426126</t>
  </si>
  <si>
    <t>Speed controller for detector used in oil and gas pipeline and implementation method</t>
  </si>
  <si>
    <t>CN106424035</t>
  </si>
  <si>
    <t>Magnetism adsorbs inspection robot with friction mechanism</t>
  </si>
  <si>
    <t>CN205775839</t>
  </si>
  <si>
    <t>Robot and base thereof</t>
  </si>
  <si>
    <t>CN205766235</t>
  </si>
  <si>
    <t>Heavy load forging operation robot with redundancy function</t>
  </si>
  <si>
    <t>CN106238649</t>
  </si>
  <si>
    <t>Stamping feeding robot</t>
  </si>
  <si>
    <t>CN106239500</t>
  </si>
  <si>
    <t>Automatic packaging line with seal detection function</t>
  </si>
  <si>
    <t>CN106240947</t>
  </si>
  <si>
    <t>Humanoid robot</t>
  </si>
  <si>
    <t>CN106181960</t>
  </si>
  <si>
    <t>GRASPING MECHANISM, GRASPING DEVICE AND ROBOT</t>
  </si>
  <si>
    <t>WO2017028509</t>
  </si>
  <si>
    <t>High -speed type -setting machine of full -automatic visual robot</t>
  </si>
  <si>
    <t>CN205972848</t>
  </si>
  <si>
    <t>Robot balanced system</t>
  </si>
  <si>
    <t>CN205969120</t>
  </si>
  <si>
    <t>Alloy for bearing of assembly robot</t>
  </si>
  <si>
    <t>CN106399813</t>
  </si>
  <si>
    <t>Multi-Rotor platform for transporting of working robot</t>
  </si>
  <si>
    <t>KR20170008904</t>
  </si>
  <si>
    <t>CN205950761</t>
  </si>
  <si>
    <t>Six rounds of chassis systems and vehicle and wheeled robot</t>
  </si>
  <si>
    <t>CN205952117</t>
  </si>
  <si>
    <t>Intelligence pay -off swing arm robot</t>
  </si>
  <si>
    <t>CN205928649</t>
  </si>
  <si>
    <t>Cascadable variable-stiffness robot joint</t>
  </si>
  <si>
    <t>CN106363658</t>
  </si>
  <si>
    <t>Robot arm gravity balance device</t>
  </si>
  <si>
    <t>CN106363666</t>
  </si>
  <si>
    <t>Method for controlling mobile apparatus to maintain balance, and mobile apparatus</t>
  </si>
  <si>
    <t>CN106371434</t>
  </si>
  <si>
    <t>Design of loading platform of pneumatic pole climbing robot</t>
  </si>
  <si>
    <t>CN106347516</t>
  </si>
  <si>
    <t>Balance cylinder used for industrial robot and industrial robot</t>
  </si>
  <si>
    <t>CN106346512</t>
  </si>
  <si>
    <t>Joint connection structure for humanoid robot</t>
  </si>
  <si>
    <t>CN106313103</t>
  </si>
  <si>
    <t>Metal material for connecting piece of robot</t>
  </si>
  <si>
    <t>CN106319346</t>
  </si>
  <si>
    <t>Iron alloy for underwater robot</t>
  </si>
  <si>
    <t>CN106319357</t>
  </si>
  <si>
    <t>Robot with dilatory teaching programming function</t>
  </si>
  <si>
    <t>CN205889193</t>
  </si>
  <si>
    <t>Active electric power balance robot</t>
  </si>
  <si>
    <t>CN205901299</t>
  </si>
  <si>
    <t>Rotation shaft material of joint robot</t>
  </si>
  <si>
    <t>CN106282760</t>
  </si>
  <si>
    <t>Balancing and stabilizing mechanism on head of robot</t>
  </si>
  <si>
    <t>CN106272558</t>
  </si>
  <si>
    <t>Intelligent welding robot</t>
  </si>
  <si>
    <t>CN106271323</t>
  </si>
  <si>
    <t>Robot welding working device</t>
  </si>
  <si>
    <t>CN106271277</t>
  </si>
  <si>
    <t>Air -balance device of vertical lift seat auto -feed</t>
  </si>
  <si>
    <t>CN205869987</t>
  </si>
  <si>
    <t>Pipeline robot with gesture is from revising</t>
  </si>
  <si>
    <t>CN205877587</t>
  </si>
  <si>
    <t>Novel manufacturing process's RV speed reducer for robot</t>
  </si>
  <si>
    <t>CN205877082</t>
  </si>
  <si>
    <t>Insulated and flame-retardant copper wire and preparation method thereof</t>
  </si>
  <si>
    <t>CN106297943</t>
  </si>
  <si>
    <t>Intelligent rocker arm camera-shooting robot</t>
  </si>
  <si>
    <t>CN106272335</t>
  </si>
  <si>
    <t>Robot is picked up to amphibious rubbish</t>
  </si>
  <si>
    <t>CN205839659</t>
  </si>
  <si>
    <t>Automatic control dynamic balance double wheel robot and control method therefor</t>
  </si>
  <si>
    <t>CN106249741</t>
  </si>
  <si>
    <t>2 The balancing mechanism for Fast biped locomotion</t>
  </si>
  <si>
    <t>KR20160133123</t>
  </si>
  <si>
    <t>Interconnected twin columns robot is trailed to solar energy</t>
  </si>
  <si>
    <t>CN205811937</t>
  </si>
  <si>
    <t>Collapsible autosegregation formula aircraft of many rotors</t>
  </si>
  <si>
    <t>CN205801508</t>
  </si>
  <si>
    <t>Vertical direction removes stamping manipulator that part has balanced protection</t>
  </si>
  <si>
    <t>CN205799528</t>
  </si>
  <si>
    <t>Supporting arm of rehabilitation training supporting robot and operation method thereof</t>
  </si>
  <si>
    <t>CN106176130</t>
  </si>
  <si>
    <t>Whole-body coordination multifunctional supporting robot for rehabilitation training and operation method thereof</t>
  </si>
  <si>
    <t>CN106176127</t>
  </si>
  <si>
    <t>Robot balancing system</t>
  </si>
  <si>
    <t>CN106042003</t>
  </si>
  <si>
    <t>Preflanging equipment and preflanging method</t>
  </si>
  <si>
    <t>CN106040812</t>
  </si>
  <si>
    <t>Modularized multifunctional wheel type intelligent balance car</t>
  </si>
  <si>
    <t>CN106184516</t>
  </si>
  <si>
    <t>balancing robot</t>
  </si>
  <si>
    <t>VARIABLE BALANCING ROBOT</t>
  </si>
  <si>
    <t>KR20180067774</t>
  </si>
  <si>
    <t>STEERING SYSTEM OF BALANCING ROBOT</t>
  </si>
  <si>
    <t>KR20180069967</t>
  </si>
  <si>
    <t>BALANCING SYSTEM FOR USE IN INDUSTRIAL ROBOT AND INDUSTRIAL ROBOT</t>
  </si>
  <si>
    <t>WO2018120137</t>
  </si>
  <si>
    <t>WO2018120095</t>
  </si>
  <si>
    <t>WO2018120154</t>
  </si>
  <si>
    <t>Mobile robot with manipulator arm traction device</t>
  </si>
  <si>
    <t>CN207548762</t>
  </si>
  <si>
    <t>Underwater robot</t>
  </si>
  <si>
    <t>CN207550460</t>
  </si>
  <si>
    <t>Joint-type brake fixing device and robot with the same</t>
  </si>
  <si>
    <t>CN108189078</t>
  </si>
  <si>
    <t>Manipulator for board transport</t>
  </si>
  <si>
    <t>CN108189020</t>
  </si>
  <si>
    <t>Robot device for checking foreign matters on transmission lines</t>
  </si>
  <si>
    <t>CN108183427</t>
  </si>
  <si>
    <t>Main and subsidiary operating end structure of teleoperation robot</t>
  </si>
  <si>
    <t>CN108143498</t>
  </si>
  <si>
    <t>Intelligent robot mowing machine with linear walking function and capable of controlling directions with aid of compass</t>
  </si>
  <si>
    <t>CN108142085</t>
  </si>
  <si>
    <t>Pickling metal mechanical parts robot</t>
  </si>
  <si>
    <t>CN207391559</t>
  </si>
  <si>
    <t>Spare clutch system of full -automatic bi -motor of no processing ware developments based on electromagnetism switches</t>
  </si>
  <si>
    <t>CN207315030</t>
  </si>
  <si>
    <t>Double mode spherical robot mechanism</t>
  </si>
  <si>
    <t>CN207311645</t>
  </si>
  <si>
    <t>A lift robot system for making wine go up rice steamer operation</t>
  </si>
  <si>
    <t>CN207330886</t>
  </si>
  <si>
    <t>CN207360451</t>
  </si>
  <si>
    <t>High altitude translation suspension system</t>
  </si>
  <si>
    <t>CN207418139</t>
  </si>
  <si>
    <t>Wear -resisting balancing weight foundry goods for robot mechanical arm</t>
  </si>
  <si>
    <t>CN207448518</t>
  </si>
  <si>
    <t>Weight adjustable is balancing weight foundry goods for robot</t>
  </si>
  <si>
    <t>CN207448519</t>
  </si>
  <si>
    <t>Aquatic animal robot backpack</t>
  </si>
  <si>
    <t>CN108094266</t>
  </si>
  <si>
    <t>Hinged robot balancing structure</t>
  </si>
  <si>
    <t>CN108098733</t>
  </si>
  <si>
    <t>CN108081288</t>
  </si>
  <si>
    <t>Auxiliary balancing device for upright walking</t>
  </si>
  <si>
    <t>CN108082316</t>
  </si>
  <si>
    <t>US2018132949</t>
  </si>
  <si>
    <t>ROBOT AND LOAD-BALANCING ARRANGEMENT FOR ROBOT</t>
  </si>
  <si>
    <t>JP2018065244</t>
  </si>
  <si>
    <t>Novel pipeline inner wall spraying robot</t>
  </si>
  <si>
    <t>CN107952613</t>
  </si>
  <si>
    <t>CN107933856</t>
  </si>
  <si>
    <t>Service robot chassis mechanism</t>
  </si>
  <si>
    <t>CN207256219</t>
  </si>
  <si>
    <t>Buoyancy regulating system for micro underwater robot</t>
  </si>
  <si>
    <t>CN107902058</t>
  </si>
  <si>
    <t>Laser radar keeps horizontal attitude's device</t>
  </si>
  <si>
    <t>CN207232387</t>
  </si>
  <si>
    <t>CN207189655</t>
  </si>
  <si>
    <t>Embedded rigidity anchor pile and counter -force balancing equipment and system thereof</t>
  </si>
  <si>
    <t>CN207194042</t>
  </si>
  <si>
    <t>Towed lifting machine of spiral</t>
  </si>
  <si>
    <t>CN207175188</t>
  </si>
  <si>
    <t>Walk up and down stairs's of robot auxiliary balancing adjustment mechanism</t>
  </si>
  <si>
    <t>CN207152720</t>
  </si>
  <si>
    <t>Multiple-freedom-degree robot</t>
  </si>
  <si>
    <t>CN107856021</t>
  </si>
  <si>
    <t>Offshore wind power operation device and balancing device thereof</t>
  </si>
  <si>
    <t>CN107856817</t>
  </si>
  <si>
    <t>Adjustable connection device</t>
  </si>
  <si>
    <t>CN107814142</t>
  </si>
  <si>
    <t>Local wall stress relief method instrument indoor experimental platform and measuring method by same</t>
  </si>
  <si>
    <t>CN107796551</t>
  </si>
  <si>
    <t>Robot polishing hand</t>
  </si>
  <si>
    <t>CN207027198</t>
  </si>
  <si>
    <t>CN207000789</t>
  </si>
  <si>
    <t>Blueberry leaf packet bud machine that completes</t>
  </si>
  <si>
    <t>CN206978647</t>
  </si>
  <si>
    <t>Lightweight quadruped robot</t>
  </si>
  <si>
    <t>CN206938905</t>
  </si>
  <si>
    <t>Solar charging device for robot</t>
  </si>
  <si>
    <t>CN206878545</t>
  </si>
  <si>
    <t>Foldable tracked robot chassis with automatic balancing function</t>
  </si>
  <si>
    <t>CN107757739</t>
  </si>
  <si>
    <t>Spherical rescue mechanism</t>
  </si>
  <si>
    <t>CN107719500</t>
  </si>
  <si>
    <t>Balancing device of articulated robot</t>
  </si>
  <si>
    <t>CN107718037</t>
  </si>
  <si>
    <t>Production line balancing apparatus and method, and computer readable record medium</t>
  </si>
  <si>
    <t>CN107728585</t>
  </si>
  <si>
    <t>Dual-mode spherical robot mechanism and walking method</t>
  </si>
  <si>
    <t>CN107697179</t>
  </si>
  <si>
    <t>Rapid vision positioning method and system based on SCARA robot</t>
  </si>
  <si>
    <t>CN107671896</t>
  </si>
  <si>
    <t>Drive-built-in shake-buffering crawler movable platform and robot with same</t>
  </si>
  <si>
    <t>CN107651030</t>
  </si>
  <si>
    <t>Horizontal joint type welding robot</t>
  </si>
  <si>
    <t>CN107627293</t>
  </si>
  <si>
    <t>ASSEMBLY KIT FOR PHYSICAL COMPUTING EDUCATION</t>
  </si>
  <si>
    <t>KR20180009834</t>
  </si>
  <si>
    <t>WALKING ROBOT AND METHOD FOR CONTROLLING BALANCING THE SAME</t>
  </si>
  <si>
    <t>KR20180004397</t>
  </si>
  <si>
    <t>BALL-BALANCING ROBOT AND DRIVE ASSEMBLY THEREFOR</t>
  </si>
  <si>
    <t>US2018022197</t>
  </si>
  <si>
    <t>CN107552670</t>
  </si>
  <si>
    <t>Automatic foot stress balancing device for intelligent robot</t>
  </si>
  <si>
    <t>CN107554639</t>
  </si>
  <si>
    <t>Robot battery pack charging device and method, and computer readable storage medium</t>
  </si>
  <si>
    <t>CN107546822</t>
  </si>
  <si>
    <t>Focus adjusting device of robot</t>
  </si>
  <si>
    <t>CN206825468</t>
  </si>
  <si>
    <t>CN107512324</t>
  </si>
  <si>
    <t>Food delivery robot</t>
  </si>
  <si>
    <t>CN206757396</t>
  </si>
  <si>
    <t>Suspension obstacle-crossing device of building clean-keeping robot</t>
  </si>
  <si>
    <t>CN107468183</t>
  </si>
  <si>
    <t>BALL-BALANCING ROBOT</t>
  </si>
  <si>
    <t>US2017357272</t>
  </si>
  <si>
    <t>Fruit basket transfer robot</t>
  </si>
  <si>
    <t>CN206679841</t>
  </si>
  <si>
    <t>Press sled snow plow scraper blade compaction device</t>
  </si>
  <si>
    <t>CN206667156</t>
  </si>
  <si>
    <t>A hook up support for high altitude construction robot</t>
  </si>
  <si>
    <t>CN206667890</t>
  </si>
  <si>
    <t>MOBILE PLATFORM, TRANSFER SYSTEM AND OPERATION METHOD THEREFOR</t>
  </si>
  <si>
    <t>WO2017197621</t>
  </si>
  <si>
    <t>Mini underwater robot observation system</t>
  </si>
  <si>
    <t>CN206654177</t>
  </si>
  <si>
    <t>Pickling metal mechanical component robot</t>
  </si>
  <si>
    <t>CN107366001</t>
  </si>
  <si>
    <t>Underwater robot with focus adjusting device</t>
  </si>
  <si>
    <t>CN206634190</t>
  </si>
  <si>
    <t>Two gauge head formula measuring engines of large -scale series connection</t>
  </si>
  <si>
    <t>CN206177344</t>
  </si>
  <si>
    <t>Robot walking balancing device</t>
  </si>
  <si>
    <t>CN107323569</t>
  </si>
  <si>
    <t>CN107323637</t>
  </si>
  <si>
    <t>Track kit for two wheeled balancing ground vehicle</t>
  </si>
  <si>
    <t>US9809264</t>
  </si>
  <si>
    <t>AGV buffer stop</t>
  </si>
  <si>
    <t>CN206589836</t>
  </si>
  <si>
    <t>Initiative drive arrangement</t>
  </si>
  <si>
    <t>CN206579423</t>
  </si>
  <si>
    <t>Balanced robot of two -wheeled based on simple pendulum structure</t>
  </si>
  <si>
    <t>CN206569164</t>
  </si>
  <si>
    <t>Tennis service robot of net service</t>
  </si>
  <si>
    <t>CN206543385</t>
  </si>
  <si>
    <t>Screen cloth welding robot for balancing welding stress</t>
  </si>
  <si>
    <t>CN107234377</t>
  </si>
  <si>
    <t>All-terrain step climbing robot</t>
  </si>
  <si>
    <t>CN107235086</t>
  </si>
  <si>
    <t>Suspension type power -assisted machine hand</t>
  </si>
  <si>
    <t>CN205969004</t>
  </si>
  <si>
    <t>Turn on one's side from formula intelligence unmanned aerial vehicle ware people that restores to throne</t>
  </si>
  <si>
    <t>CN206536449</t>
  </si>
  <si>
    <t>Balanced stabilizing mean in robot four -wheel chassis</t>
  </si>
  <si>
    <t>CN206510717</t>
  </si>
  <si>
    <t>Welding robot welding path planning method based on discrete particle swarm optimization</t>
  </si>
  <si>
    <t>CN107150341</t>
  </si>
  <si>
    <t>High-stability robot trunk</t>
  </si>
  <si>
    <t>CN107127767</t>
  </si>
  <si>
    <t>System and Method for Load Balancing of Robots</t>
  </si>
  <si>
    <t>US2017252926</t>
  </si>
  <si>
    <t>Spherical robot</t>
  </si>
  <si>
    <t>CN107128383</t>
  </si>
  <si>
    <t>Steering engine control system and robot</t>
  </si>
  <si>
    <t>CN206455665</t>
  </si>
  <si>
    <t>Service robot driving chassis structure</t>
  </si>
  <si>
    <t>CN206436228</t>
  </si>
  <si>
    <t>Industrial robot main arm</t>
  </si>
  <si>
    <t>CN206436270</t>
  </si>
  <si>
    <t>CN107077139</t>
  </si>
  <si>
    <t>Robot leg motor elastic driving structure</t>
  </si>
  <si>
    <t>CN107053163</t>
  </si>
  <si>
    <t>Novel domestic robot's walking device</t>
  </si>
  <si>
    <t>CN206427145</t>
  </si>
  <si>
    <t>Anti -collision sensor and welding robot</t>
  </si>
  <si>
    <t>CN206416188</t>
  </si>
  <si>
    <t>Self-pressure blowout preventer</t>
  </si>
  <si>
    <t>CN107023272</t>
  </si>
  <si>
    <t>Intelligent bird repelling device</t>
  </si>
  <si>
    <t>CN106942198</t>
  </si>
  <si>
    <t>CN107009344</t>
  </si>
  <si>
    <t>Lift handrail with balancing unit</t>
  </si>
  <si>
    <t>CN206373929</t>
  </si>
  <si>
    <t>Transfer robot is used in workshop</t>
  </si>
  <si>
    <t>CN206357221</t>
  </si>
  <si>
    <t>Underwater robot reaches robot system under water</t>
  </si>
  <si>
    <t>CN206307256</t>
  </si>
  <si>
    <t>Visual follow detection gluing system</t>
  </si>
  <si>
    <t>CN106881242</t>
  </si>
  <si>
    <t>Planar two-foot robot movement testing platform</t>
  </si>
  <si>
    <t>CN106840724</t>
  </si>
  <si>
    <t>Balanced type teaching machinery arm</t>
  </si>
  <si>
    <t>CN206273540</t>
  </si>
  <si>
    <t>Automatic pasting robot</t>
  </si>
  <si>
    <t>CN106739754</t>
  </si>
  <si>
    <t>Bio-robot capable of switching motion mode</t>
  </si>
  <si>
    <t>CN106741288</t>
  </si>
  <si>
    <t>Dog-shaped robot head device for entertainment</t>
  </si>
  <si>
    <t>CN106730885</t>
  </si>
  <si>
    <t>Stereo garage lifting system capable of adjusting counter weight</t>
  </si>
  <si>
    <t>CN106760766</t>
  </si>
  <si>
    <t>Grain drying robot</t>
  </si>
  <si>
    <t>CN106720285</t>
  </si>
  <si>
    <t>Self-induced type bird-preventing device</t>
  </si>
  <si>
    <t>CN106711861</t>
  </si>
  <si>
    <t>Remotely controlled high-altitude spraying robot</t>
  </si>
  <si>
    <t>CN106671094</t>
  </si>
  <si>
    <t>Service-oriented robot open-type control system and method based on software bus</t>
  </si>
  <si>
    <t>CN106656706</t>
  </si>
  <si>
    <t>Robot for astronaut space work and based on cable parallel configuration</t>
  </si>
  <si>
    <t>CN106625584</t>
  </si>
  <si>
    <t>Many joint structure of level</t>
  </si>
  <si>
    <t>CN206216673</t>
  </si>
  <si>
    <t>CN206154281</t>
  </si>
  <si>
    <t>Device and method of weight balancing used for cable robot</t>
  </si>
  <si>
    <t>KR20170036443</t>
  </si>
  <si>
    <t>Biped semi-passive split upper body walking device</t>
  </si>
  <si>
    <t>CN106564539</t>
  </si>
  <si>
    <t>GRINDING WHEEL FIXING DEVICE AND DETACHING METHOD OF GRINDING WHEEL</t>
  </si>
  <si>
    <t>JP2017064868</t>
  </si>
  <si>
    <t>Tubular product centre gripping upset conveyer</t>
  </si>
  <si>
    <t>CN206088327</t>
  </si>
  <si>
    <t>Egg -Shaped robot with function of making an uproar is fallen</t>
  </si>
  <si>
    <t>CN206085064</t>
  </si>
  <si>
    <t>Egg -Shaped robot with shockproof structure</t>
  </si>
  <si>
    <t>CN206085063</t>
  </si>
  <si>
    <t>Virtual training system for accident of special equipment</t>
  </si>
  <si>
    <t>CN106534121</t>
  </si>
  <si>
    <t>A balancing unit for in robot</t>
  </si>
  <si>
    <t>CN206029948</t>
  </si>
  <si>
    <t>Quick mobile robot platform is surveyed in fire control</t>
  </si>
  <si>
    <t>CN206031548</t>
  </si>
  <si>
    <t>Chassis of indoor tracking intelligent robot</t>
  </si>
  <si>
    <t>CN106502243</t>
  </si>
  <si>
    <t>Four -axis robot with balancing weight</t>
  </si>
  <si>
    <t>CN206011141</t>
  </si>
  <si>
    <t>Remote control high-altitude spraying and polishing robot</t>
  </si>
  <si>
    <t>CN106426193</t>
  </si>
  <si>
    <t>Underwater robot used for submarine pipeline connecting installation</t>
  </si>
  <si>
    <t>CN106439222</t>
  </si>
  <si>
    <t>Cheese weighing and weight balancing device</t>
  </si>
  <si>
    <t>CN106428823</t>
  </si>
  <si>
    <t>Upper limb rehabilitation exoskeleton robot based on serial elastic drivers and method</t>
  </si>
  <si>
    <t>CN106420257</t>
  </si>
  <si>
    <t>Robot shifting device</t>
  </si>
  <si>
    <t>CN205836515</t>
  </si>
  <si>
    <t>Bottom counter weight structure of robot</t>
  </si>
  <si>
    <t>CN205835292</t>
  </si>
  <si>
    <t>Machine fish focus changes mechanism and machine fish</t>
  </si>
  <si>
    <t>CN205801472</t>
  </si>
  <si>
    <t>Nut air-drying robot</t>
  </si>
  <si>
    <t>CN106387953</t>
  </si>
  <si>
    <t>Heavy load forging operation robot with lifting gear arranged in mirroring mode</t>
  </si>
  <si>
    <t>CN106238648</t>
  </si>
  <si>
    <t>Fire control detection rapid moving robot platform</t>
  </si>
  <si>
    <t>CN106167056</t>
  </si>
  <si>
    <t>But automatic positioning hoist</t>
  </si>
  <si>
    <t>CN205973532</t>
  </si>
  <si>
    <t>Vertical convenient puncher device</t>
  </si>
  <si>
    <t>CN205968230</t>
  </si>
  <si>
    <t>Domestic rig device of lightweight</t>
  </si>
  <si>
    <t>CN205968226</t>
  </si>
  <si>
    <t>Intelligence sample robot</t>
  </si>
  <si>
    <t>CN205969074</t>
  </si>
  <si>
    <t>A balancing unit for robot walking</t>
  </si>
  <si>
    <t>CN205950759</t>
  </si>
  <si>
    <t>Movable type thin film packaging robot</t>
  </si>
  <si>
    <t>CN106314846</t>
  </si>
  <si>
    <t>Control method of robot</t>
  </si>
  <si>
    <t>CN106313055</t>
  </si>
  <si>
    <t>Spot welding industrial robot</t>
  </si>
  <si>
    <t>CN106272339</t>
  </si>
  <si>
    <t>Self-adaptive flexible floating gripper applied to door covers on welding and assembling line</t>
  </si>
  <si>
    <t>CN106272489</t>
  </si>
  <si>
    <t>Special flexible connection mean of robot</t>
  </si>
  <si>
    <t>CN205817906</t>
  </si>
  <si>
    <t>Robot binding apparatus for coil packaging</t>
  </si>
  <si>
    <t>KR20160132639</t>
  </si>
  <si>
    <t>Three-posture rehabilitation robot</t>
  </si>
  <si>
    <t>CN106109163</t>
  </si>
  <si>
    <t>Multi-mode sensing and feeding-back medical rehabilitation robot system</t>
  </si>
  <si>
    <t>CN106074076</t>
  </si>
  <si>
    <t>Robot that speedily carries out rescue work is rescued to intelligence</t>
  </si>
  <si>
    <t>CN205651360</t>
  </si>
  <si>
    <t>Intelligent linear walking robot</t>
  </si>
  <si>
    <t>CN106166051</t>
  </si>
  <si>
    <t>Hand-by-hand-dragging hovering teaching robot</t>
  </si>
  <si>
    <t>CN106166738</t>
  </si>
  <si>
    <t>CN205740261</t>
  </si>
  <si>
    <t>Industrial robot's counter weight device</t>
  </si>
  <si>
    <t>CN205735025</t>
  </si>
  <si>
    <t>Spherical robot actuating mechanism</t>
  </si>
  <si>
    <t>CN205652230</t>
  </si>
  <si>
    <t>Device for reinforcing loading capacity of joint robot and control method thereof</t>
  </si>
  <si>
    <t>CN106142121</t>
  </si>
  <si>
    <t>Rail mounted removes stone crusher</t>
  </si>
  <si>
    <t>CN205700976</t>
  </si>
  <si>
    <t>Mobile robot discolours based on it is embedded</t>
  </si>
  <si>
    <t>CN205704200</t>
  </si>
  <si>
    <t>Distribution network patrols and examines robot</t>
  </si>
  <si>
    <t>CN205686504</t>
  </si>
  <si>
    <t>Upstanding balancing robot</t>
  </si>
  <si>
    <t>CN106094831</t>
  </si>
  <si>
    <t>Crosswind control method and system for unmanned helicopter</t>
  </si>
  <si>
    <t>CN106054921</t>
  </si>
  <si>
    <t>Surgical robot and mechanical arm thereof</t>
  </si>
  <si>
    <t>CN106037934</t>
  </si>
  <si>
    <t>Upright balancing robot</t>
  </si>
  <si>
    <t>CN106054885</t>
  </si>
  <si>
    <t>Carrying robot</t>
  </si>
  <si>
    <t>CN205660722</t>
  </si>
  <si>
    <t>Solar-tracking interconnecting dual-column robot</t>
  </si>
  <si>
    <t>CN106026878</t>
  </si>
  <si>
    <t>Crop bottom-layer stalk routing inspection spherical robot with jumping obstacle avoiding function</t>
  </si>
  <si>
    <t>CN106005080</t>
  </si>
  <si>
    <t>A firefighting rescue robot for high -rise building</t>
  </si>
  <si>
    <t>CN205626745</t>
  </si>
  <si>
    <t>Spherical pipeline detection robot</t>
  </si>
  <si>
    <t>CN205615602</t>
  </si>
  <si>
    <t>Be used for high -rise building multifunctional robot</t>
  </si>
  <si>
    <t>CN205614643</t>
  </si>
  <si>
    <t>Fire -fighting robot for high -rise building</t>
  </si>
  <si>
    <t>CN205612920</t>
  </si>
  <si>
    <t>Intelligence track rescue robot</t>
  </si>
  <si>
    <t>CN205614642</t>
  </si>
  <si>
    <t>Multi-sampling-rate self-adaptive balancing technology for time-varying channel of communication system of high relative bandwidth</t>
  </si>
  <si>
    <t>CN105897625</t>
  </si>
  <si>
    <t>Remote control's high altitude spraying polishing robot</t>
  </si>
  <si>
    <t>CN205604675</t>
  </si>
  <si>
    <t>Die -casting is deburring robot for product</t>
  </si>
  <si>
    <t>CN205600456</t>
  </si>
  <si>
    <t>Teaching parallel robot</t>
  </si>
  <si>
    <t>CN205600708</t>
  </si>
  <si>
    <t>A anti -overturning device for robot</t>
  </si>
  <si>
    <t>CN205588332</t>
  </si>
  <si>
    <t>Detection robot and control system thereof</t>
  </si>
  <si>
    <t>CN105955256</t>
  </si>
  <si>
    <t>Walking robot counter weight device</t>
  </si>
  <si>
    <t>CN205559681</t>
  </si>
  <si>
    <t>Flat column motor</t>
  </si>
  <si>
    <t>CN205544765</t>
  </si>
  <si>
    <t>Micro vibration motor</t>
  </si>
  <si>
    <t>CN205544760</t>
  </si>
  <si>
    <t>Embedded motor</t>
  </si>
  <si>
    <t>CN205544764</t>
  </si>
  <si>
    <t>Button motor</t>
  </si>
  <si>
    <t>CN205544766</t>
  </si>
  <si>
    <t>Driving mechanism of spherical robot</t>
  </si>
  <si>
    <t>CN105905177</t>
  </si>
  <si>
    <t>MOBILE PLATFORM APPARATUS OF ROBOT HAVING BALANCING MEMBER</t>
  </si>
  <si>
    <t>KR20160092267</t>
  </si>
  <si>
    <t>Special cloud platform of energy -saving many rotor crafts</t>
  </si>
  <si>
    <t>CN205469864</t>
  </si>
  <si>
    <t>Intelligent ball anthropomorphic robot</t>
  </si>
  <si>
    <t>CN205466246</t>
  </si>
  <si>
    <t>Multi -functional 6 -degree of freedom robot with roll extrusion clamping function</t>
  </si>
  <si>
    <t>CN205415655</t>
  </si>
  <si>
    <t>Novel spherical motion entertainment machine ware people</t>
  </si>
  <si>
    <t>CN205415650</t>
  </si>
  <si>
    <t>Welding robot</t>
  </si>
  <si>
    <t>CN205414763</t>
  </si>
  <si>
    <t>People's humanoid robot</t>
  </si>
  <si>
    <t>CN205415691</t>
  </si>
  <si>
    <t>Connecting rod formula cable robot safety return stroke mechanism</t>
  </si>
  <si>
    <t>CN205415639</t>
  </si>
  <si>
    <t>Hydraulic feedback speed-controllable pipeline robot</t>
  </si>
  <si>
    <t>CN105822868</t>
  </si>
  <si>
    <t>CN205415625</t>
  </si>
  <si>
    <t>STRUCTURE OF BALL ROBOT</t>
  </si>
  <si>
    <t>KR20160077935</t>
  </si>
  <si>
    <t>Agricultural pesticide spraying robot</t>
  </si>
  <si>
    <t>CN105638615</t>
  </si>
  <si>
    <t>balancing tour guide</t>
  </si>
  <si>
    <t>Tourist bus training teaching device and making method thereof</t>
  </si>
  <si>
    <t>CN108182840</t>
  </si>
  <si>
    <t>autonomous tour</t>
  </si>
  <si>
    <t>Unmanned plane autonomous course extraction generation method based on map characteristic</t>
  </si>
  <si>
    <t>CN108109437</t>
  </si>
  <si>
    <t>Autonomous positioning and navigation system of underground sewage treatment plant intelligent robot</t>
  </si>
  <si>
    <t>CN107861501</t>
  </si>
  <si>
    <t>Self-driving tour control system and method based on unmanned plane</t>
  </si>
  <si>
    <t>CN107247465</t>
  </si>
  <si>
    <t>Transformer station monitoring method</t>
  </si>
  <si>
    <t>CN106451764</t>
  </si>
  <si>
    <t>Intelligent tour inspection system used in petrochemical production field</t>
  </si>
  <si>
    <t>CN106200667</t>
  </si>
  <si>
    <t>Smart tour guiding system for facilitating zero-distance interaction between tour guide and visitors</t>
  </si>
  <si>
    <t>CN106296490</t>
  </si>
  <si>
    <t>Unmanned aerial vehicle (UAV) bridge inspection tour system and inspection tour method</t>
  </si>
  <si>
    <t>CN106054916</t>
  </si>
  <si>
    <t>Automatic tracking and positioning method for substation laser navigation patrol robot intelligent pan-tilt</t>
  </si>
  <si>
    <t>CN105652872</t>
  </si>
  <si>
    <t>Computer network monitoring system</t>
  </si>
  <si>
    <t>CN105471875</t>
  </si>
  <si>
    <t>Personalized autonomous explanation method of guidance by robot tour guide</t>
  </si>
  <si>
    <t>CN105278532</t>
  </si>
  <si>
    <t>autonomous tour guide</t>
  </si>
  <si>
    <t>autonomous navigation tour</t>
  </si>
  <si>
    <t>autonomous navigation tour guide</t>
  </si>
  <si>
    <t>autonomous navigation tour guide robot</t>
  </si>
  <si>
    <t>autonomous navigation tour guide platform</t>
  </si>
  <si>
    <t>segway tour guide</t>
  </si>
  <si>
    <t>segway tour platform</t>
  </si>
  <si>
    <t xml:space="preserve">Adjustable, self-balancing flat panel display mounting system </t>
  </si>
  <si>
    <t>US6905101</t>
  </si>
  <si>
    <t xml:space="preserve">Self-balancing adjustable flat panel mounting system </t>
  </si>
  <si>
    <t>US7028961</t>
  </si>
  <si>
    <t xml:space="preserve">Self-balancing mounting system for a flat panel display </t>
  </si>
  <si>
    <t>US6402109</t>
  </si>
  <si>
    <t xml:space="preserve">Self-balancing bipolar air ionizer </t>
  </si>
  <si>
    <t>US5055963</t>
  </si>
  <si>
    <t xml:space="preserve">Self-balancing wheeled vehicle </t>
  </si>
  <si>
    <t>US4351410</t>
  </si>
  <si>
    <t xml:space="preserve">High performance self balancing low cost network switching architecture based on distributed hierarchical shared memory </t>
  </si>
  <si>
    <t>US6335932</t>
  </si>
  <si>
    <t xml:space="preserve">Omni-directional dipole antenna with a self balancing feed arrangement </t>
  </si>
  <si>
    <t>US6018324</t>
  </si>
  <si>
    <t xml:space="preserve">Self-balancing matrix amplifier </t>
  </si>
  <si>
    <t>US6006111</t>
  </si>
  <si>
    <t xml:space="preserve">Self balancing centrifuge </t>
  </si>
  <si>
    <t>US4157781</t>
  </si>
  <si>
    <t xml:space="preserve">Self-balancing adjustable mounting system with friction adjustment </t>
  </si>
  <si>
    <t>US7380760</t>
  </si>
  <si>
    <t xml:space="preserve">Self-balancing ionizing circuit for static eliminators </t>
  </si>
  <si>
    <t>US5153811</t>
  </si>
  <si>
    <t xml:space="preserve">Two-wheel, self-balancing vehicle with independently movable foot placement sections </t>
  </si>
  <si>
    <t>US8738278</t>
  </si>
  <si>
    <t xml:space="preserve">Self-balancing low temperature refrigeration system </t>
  </si>
  <si>
    <t>US3768273</t>
  </si>
  <si>
    <t xml:space="preserve">Self-balancing variable air volume heating and cooling system </t>
  </si>
  <si>
    <t>US5605280</t>
  </si>
  <si>
    <t xml:space="preserve">Single plate hydrodynamic bearing with self-balancing fluid level and fluid circulation </t>
  </si>
  <si>
    <t>US5487608</t>
  </si>
  <si>
    <t xml:space="preserve">Self-balancing drilling assembly and apparatus </t>
  </si>
  <si>
    <t>US4905776</t>
  </si>
  <si>
    <t xml:space="preserve">Self-balancing reflectometer </t>
  </si>
  <si>
    <t>US4967159</t>
  </si>
  <si>
    <t xml:space="preserve">Self-balancing robot including an ultracapacitor power source </t>
  </si>
  <si>
    <t>US8041456</t>
  </si>
  <si>
    <t xml:space="preserve">Two plane self-balancing centrifuge </t>
  </si>
  <si>
    <t>US4412831</t>
  </si>
  <si>
    <t xml:space="preserve">Self balancing rotatable apparatus </t>
  </si>
  <si>
    <t>US5561993</t>
  </si>
  <si>
    <t xml:space="preserve">Self-balancing circuit for convection air ionizers </t>
  </si>
  <si>
    <t>US5008594</t>
  </si>
  <si>
    <t>US6183135</t>
  </si>
  <si>
    <t xml:space="preserve">Single plate hydrodynamic bearing with self-balancing fluid level </t>
  </si>
  <si>
    <t>US5977674</t>
  </si>
  <si>
    <t xml:space="preserve">Self balancing motor </t>
  </si>
  <si>
    <t>US5256037</t>
  </si>
  <si>
    <t xml:space="preserve">Self-balancing hybrid using digitally programmable attenuator for variable impedance elements </t>
  </si>
  <si>
    <t>US5249225</t>
  </si>
  <si>
    <t xml:space="preserve">Self-balancing, single-hand food holder </t>
  </si>
  <si>
    <t>US6439388</t>
  </si>
  <si>
    <t xml:space="preserve">Remotely controlled self-balancing robot including a stabilized laser pointer </t>
  </si>
  <si>
    <t>US8442661</t>
  </si>
  <si>
    <t xml:space="preserve">Self-balancing thermal control device for integrated circuits </t>
  </si>
  <si>
    <t>US6128188</t>
  </si>
  <si>
    <t xml:space="preserve">Self-balancing ladder and camera dolly </t>
  </si>
  <si>
    <t>US6915878</t>
  </si>
  <si>
    <t xml:space="preserve">Advanced, self-balancing video multiplexer system </t>
  </si>
  <si>
    <t>US7804856</t>
  </si>
  <si>
    <t xml:space="preserve">Powered single-wheeled self-balancing vehicle for standing user </t>
  </si>
  <si>
    <t>US2011220427</t>
  </si>
  <si>
    <t xml:space="preserve">Self-balancing of idea ratings </t>
  </si>
  <si>
    <t>US2004162751</t>
  </si>
  <si>
    <t xml:space="preserve">Electric-powered self-balancing unicycle </t>
  </si>
  <si>
    <t>US2014058600</t>
  </si>
  <si>
    <t>US5533812</t>
  </si>
  <si>
    <t xml:space="preserve">Low-Profile Two-Wheeled Self-Balancing Vehicle with Exterior Foot Platforms </t>
  </si>
  <si>
    <t>US2013228385</t>
  </si>
  <si>
    <t xml:space="preserve">Two-wheeled self-balancing motorized personal vehicle with tilting wheels </t>
  </si>
  <si>
    <t>US2013032423</t>
  </si>
  <si>
    <t xml:space="preserve">Electric-Powered Self-Balancing Unicycle With Steering Linkage Between Handlebars And Wheel Forks </t>
  </si>
  <si>
    <t>US2012217072</t>
  </si>
  <si>
    <t xml:space="preserve">High-efficiency pumping and distribution system incorporating a self-balancing, modulating control valve </t>
  </si>
  <si>
    <t>US6352106</t>
  </si>
  <si>
    <t xml:space="preserve">Self-balancing support mechanism </t>
  </si>
  <si>
    <t>US3304032</t>
  </si>
  <si>
    <t xml:space="preserve">A dual wheel self-balancing electric vehicle </t>
  </si>
  <si>
    <t>CN201610202</t>
  </si>
  <si>
    <t xml:space="preserve">Two-wheel self balancing electric motor vehicle </t>
  </si>
  <si>
    <t>CN201228037</t>
  </si>
  <si>
    <t xml:space="preserve">Self-balancing vehicle </t>
  </si>
  <si>
    <t>USD738256</t>
  </si>
  <si>
    <t>USD737723</t>
  </si>
  <si>
    <t xml:space="preserve">Self-balancing centrifuge method and apparatus </t>
  </si>
  <si>
    <t>US3692236</t>
  </si>
  <si>
    <t xml:space="preserve">Self-balancing shielded bipolar ionizer </t>
  </si>
  <si>
    <t>US6002573</t>
  </si>
  <si>
    <t xml:space="preserve">Gyroscopic dynamic self-balancing pan/tilt/zoom (PTZ) </t>
  </si>
  <si>
    <t>CN202392373</t>
  </si>
  <si>
    <t xml:space="preserve">Electric self-balancing vehicle </t>
  </si>
  <si>
    <t>US2016129963</t>
  </si>
  <si>
    <t xml:space="preserve">Wall-avoiding self-balancing mount for tilt positioning of a flat panel electronic display </t>
  </si>
  <si>
    <t>US8094438</t>
  </si>
  <si>
    <t xml:space="preserve">Systems for self-balancing control of mixing and pumping </t>
  </si>
  <si>
    <t>US2008165613</t>
  </si>
  <si>
    <t xml:space="preserve">Personal, green-energy, transportation device with single wheel and self-balancing function </t>
  </si>
  <si>
    <t>US2011238247</t>
  </si>
  <si>
    <t>US2009312908</t>
  </si>
  <si>
    <t xml:space="preserve">Blood centrifuge with exterior mounted, self-balancing collection chambers </t>
  </si>
  <si>
    <t>US6589153</t>
  </si>
  <si>
    <t xml:space="preserve">Self-balancing vibratory drill apparatus </t>
  </si>
  <si>
    <t>US4253531</t>
  </si>
  <si>
    <t xml:space="preserve">Self-balancing potentiometer mechanism </t>
  </si>
  <si>
    <t>US2423540</t>
  </si>
  <si>
    <t xml:space="preserve">Self-balancing apparatus and method for a centrifuge device </t>
  </si>
  <si>
    <t>US5376063</t>
  </si>
  <si>
    <t xml:space="preserve">Self powered and balancing air damper </t>
  </si>
  <si>
    <t>US5251815</t>
  </si>
  <si>
    <t xml:space="preserve">Recirculating chemical bath with inflow and self balancing outflow </t>
  </si>
  <si>
    <t>US5054519</t>
  </si>
  <si>
    <t xml:space="preserve">Self-balance two-wheel electric vehicle </t>
  </si>
  <si>
    <t>CN203381739</t>
  </si>
  <si>
    <t xml:space="preserve">Efficient and Self-Balancing Verification of Multi-Threaded Microprocessors </t>
  </si>
  <si>
    <t>US2010011345</t>
  </si>
  <si>
    <t xml:space="preserve">Self-gripping, self-balancing fishing rod holder </t>
  </si>
  <si>
    <t>US5295321</t>
  </si>
  <si>
    <t xml:space="preserve">Self-balancing bridge-type proximity detector </t>
  </si>
  <si>
    <t>US3944792</t>
  </si>
  <si>
    <t xml:space="preserve">Capacitance voltage self-balancing circuit of modular multilevel converter </t>
  </si>
  <si>
    <t>CN203608108</t>
  </si>
  <si>
    <t xml:space="preserve">Self-balancing, load-distributing helmet structure </t>
  </si>
  <si>
    <t>US2006096011</t>
  </si>
  <si>
    <t>CN202392374</t>
  </si>
  <si>
    <t xml:space="preserve">Self-balancing scooter </t>
  </si>
  <si>
    <t>CN104443193</t>
  </si>
  <si>
    <t xml:space="preserve">Seats for self-balancing vehicles </t>
  </si>
  <si>
    <t>US8201653</t>
  </si>
  <si>
    <t xml:space="preserve">Self-balancing auto tube and tire </t>
  </si>
  <si>
    <t>US2695047</t>
  </si>
  <si>
    <t>US2013032422</t>
  </si>
  <si>
    <t xml:space="preserve">Self-balancing current sources for a delta modulator </t>
  </si>
  <si>
    <t>US4527133</t>
  </si>
  <si>
    <t xml:space="preserve">Self-balancing electrical system and method </t>
  </si>
  <si>
    <t>US2584954</t>
  </si>
  <si>
    <t xml:space="preserve">Self-balancing support </t>
  </si>
  <si>
    <t>US3863882</t>
  </si>
  <si>
    <t xml:space="preserve">Proximity measuring employing a self-balancing bridge and measuring the adjustable balancing component thereof </t>
  </si>
  <si>
    <t>US3852662</t>
  </si>
  <si>
    <t xml:space="preserve">Self-balancing door </t>
  </si>
  <si>
    <t>US2686340</t>
  </si>
  <si>
    <t xml:space="preserve">Remotely controlled self-balancing robot including kinematic image stabilization </t>
  </si>
  <si>
    <t>US8160747</t>
  </si>
  <si>
    <t xml:space="preserve">Self-balancing bearing construction </t>
  </si>
  <si>
    <t>US3122399</t>
  </si>
  <si>
    <t xml:space="preserve">Self-balancing two-wheel electric cycle </t>
  </si>
  <si>
    <t>CN2592496</t>
  </si>
  <si>
    <t xml:space="preserve">Self-balancing rock full end-surface true triaxial compression test device </t>
  </si>
  <si>
    <t>CN201359587</t>
  </si>
  <si>
    <t xml:space="preserve">Self balancing electric hoist </t>
  </si>
  <si>
    <t>US4807767</t>
  </si>
  <si>
    <t xml:space="preserve">Flexible two-wheeled self-balancing robot system and its motion control method </t>
  </si>
  <si>
    <t>US2010292840</t>
  </si>
  <si>
    <t xml:space="preserve">Steering control system based on pressure sensor and self-balancing bicycle thereof </t>
  </si>
  <si>
    <t>CN103600799</t>
  </si>
  <si>
    <t xml:space="preserve">Eswing two-wheeled self-balancing bicycle </t>
  </si>
  <si>
    <t>CN202966533</t>
  </si>
  <si>
    <t xml:space="preserve">Two-wheeled self-balancing electrombile </t>
  </si>
  <si>
    <t>CN102514662</t>
  </si>
  <si>
    <t xml:space="preserve">Vehicle forming a self-balancing human transporter with an integrated photovoltaic module </t>
  </si>
  <si>
    <t>US2012205176</t>
  </si>
  <si>
    <t xml:space="preserve">Self-balancing integrated application system of solar energy-ground source heat pump </t>
  </si>
  <si>
    <t>CN101650098</t>
  </si>
  <si>
    <t xml:space="preserve">Self-balancing cabinet </t>
  </si>
  <si>
    <t>US2592760</t>
  </si>
  <si>
    <t xml:space="preserve">Self-balancing alarm system </t>
  </si>
  <si>
    <t>US4348661</t>
  </si>
  <si>
    <t xml:space="preserve">Self-balancing bridge network </t>
  </si>
  <si>
    <t>US4234841</t>
  </si>
  <si>
    <t xml:space="preserve">Self-balancing push-pull amplifier </t>
  </si>
  <si>
    <t>US3895306</t>
  </si>
  <si>
    <t xml:space="preserve">Methods for self-balancing control of mixing and pumping </t>
  </si>
  <si>
    <t>US7660648</t>
  </si>
  <si>
    <t xml:space="preserve">Self-balancing current comparator for precise voltage levels and potentiometer usage </t>
  </si>
  <si>
    <t>US3500171</t>
  </si>
  <si>
    <t xml:space="preserve">Self-balancing wheel for motorized vehicles </t>
  </si>
  <si>
    <t>US5503464</t>
  </si>
  <si>
    <t xml:space="preserve">Self-balancing robot having a shaft-mounted head </t>
  </si>
  <si>
    <t>US8306664</t>
  </si>
  <si>
    <t xml:space="preserve">Construction method of self-balancing method pile foundation bearing capacity test device </t>
  </si>
  <si>
    <t>CN102535529</t>
  </si>
  <si>
    <t xml:space="preserve">Pneumatic self-balancing type manipulator </t>
  </si>
  <si>
    <t>CN202147277</t>
  </si>
  <si>
    <t xml:space="preserve">Self-balancing magnetic amplifier </t>
  </si>
  <si>
    <t>US2700130</t>
  </si>
  <si>
    <t xml:space="preserve">Electronic control system for selfbalancing measuring instruments </t>
  </si>
  <si>
    <t>US2153986</t>
  </si>
  <si>
    <t xml:space="preserve">Simultaneous injection method and system for a self-balancing rotatable apparatus </t>
  </si>
  <si>
    <t>US6532422</t>
  </si>
  <si>
    <t xml:space="preserve">Air handling system with self balancing air entrance door </t>
  </si>
  <si>
    <t>US2008233860</t>
  </si>
  <si>
    <t xml:space="preserve">Two-wheeled self-balancing electric vehicle </t>
  </si>
  <si>
    <t>CN102602481</t>
  </si>
  <si>
    <t xml:space="preserve">Linearization apparatus for a non-linear resistance transducer in a self-balancing bridge connection </t>
  </si>
  <si>
    <t>US4000454</t>
  </si>
  <si>
    <t xml:space="preserve">Calibration mechanism for selfbalancing potentiometers </t>
  </si>
  <si>
    <t>US2424146</t>
  </si>
  <si>
    <t xml:space="preserve">Self-balancing brake shoes for caliper brake </t>
  </si>
  <si>
    <t>US4060153</t>
  </si>
  <si>
    <t xml:space="preserve">Self-balancing continuous power transmission system and method </t>
  </si>
  <si>
    <t>US4120213</t>
  </si>
  <si>
    <t xml:space="preserve">Self-balancing boom apparatus </t>
  </si>
  <si>
    <t>US4577819</t>
  </si>
  <si>
    <t xml:space="preserve">Self-balancing motorized spindle comprehensive performance test platform </t>
  </si>
  <si>
    <t>CN103267637</t>
  </si>
  <si>
    <t xml:space="preserve">Self-balancing push-pull square wave converter type of switched power supply </t>
  </si>
  <si>
    <t>US4656570</t>
  </si>
  <si>
    <t xml:space="preserve">Self balancing universal joint </t>
  </si>
  <si>
    <t>US4840601</t>
  </si>
  <si>
    <t xml:space="preserve">Self-balance multifunctional structure static loaded experiment loading unit </t>
  </si>
  <si>
    <t>CN201110822</t>
  </si>
  <si>
    <t xml:space="preserve">Self-balancing patrol car provided with keel framework and two wheels </t>
  </si>
  <si>
    <t>CN203127051</t>
  </si>
  <si>
    <t xml:space="preserve">Multi-point self-balancing hoisting sling </t>
  </si>
  <si>
    <t>CN202030435</t>
  </si>
  <si>
    <t xml:space="preserve">Self-balancing electric manned monocycle </t>
  </si>
  <si>
    <t>CN102642584</t>
  </si>
  <si>
    <t xml:space="preserve">Double-wheel self-balancing electric vehicle without handle using gravity center to control direction and control method thereof </t>
  </si>
  <si>
    <t>CN104512502</t>
  </si>
  <si>
    <t xml:space="preserve">Self-balancing flux-gate magnetometer </t>
  </si>
  <si>
    <t>US3040248</t>
  </si>
  <si>
    <t xml:space="preserve">Self-balancing poppet </t>
  </si>
  <si>
    <t>US7222836</t>
  </si>
  <si>
    <t xml:space="preserve">Self-balancing hunting decoy </t>
  </si>
  <si>
    <t>US7028428</t>
  </si>
  <si>
    <t xml:space="preserve">Self-balancing belt caddy </t>
  </si>
  <si>
    <t>US4428486</t>
  </si>
  <si>
    <t xml:space="preserve">Resonance identification extension for a self-balancing rotatable apparatus </t>
  </si>
  <si>
    <t>US6546354</t>
  </si>
  <si>
    <t xml:space="preserve">Self-balancing ionized gas streams </t>
  </si>
  <si>
    <t>US8416552</t>
  </si>
  <si>
    <t xml:space="preserve">Flywheel with expansion-matched, self-balancing hub </t>
  </si>
  <si>
    <t>US5732603</t>
  </si>
  <si>
    <t xml:space="preserve">Single wheel self-balancing electric vehicle </t>
  </si>
  <si>
    <t>CN202879694</t>
  </si>
  <si>
    <t xml:space="preserve">Solar energy-ground source heat pump self-balancing integrated application system </t>
  </si>
  <si>
    <t>CN201488394</t>
  </si>
  <si>
    <t xml:space="preserve">Data manipulation method and system for a self-balancing rotatable apparatus </t>
  </si>
  <si>
    <t>US2003101519</t>
  </si>
  <si>
    <t xml:space="preserve">Self-balancing hopper type hoister </t>
  </si>
  <si>
    <t>CN201190018</t>
  </si>
  <si>
    <t xml:space="preserve">Backpack Type Bag With Self-Balancing Electric Vehicle Mounted Thereon </t>
  </si>
  <si>
    <t>US2013248573</t>
  </si>
  <si>
    <t xml:space="preserve">Standing type handle-free self-balancing two-wheeled electric vehicle </t>
  </si>
  <si>
    <t>CN203318594</t>
  </si>
  <si>
    <t xml:space="preserve">Self-balancing siphon drainage method by using side slope declining drill hole </t>
  </si>
  <si>
    <t>CN102251529</t>
  </si>
  <si>
    <t xml:space="preserve">Bridge circuit employing selfbalancing control means </t>
  </si>
  <si>
    <t>US3315153</t>
  </si>
  <si>
    <t xml:space="preserve">Self-balancing steam fitting </t>
  </si>
  <si>
    <t>US1896062</t>
  </si>
  <si>
    <t xml:space="preserve">Self-balancing spike control </t>
  </si>
  <si>
    <t>US3416758</t>
  </si>
  <si>
    <t xml:space="preserve">Self balancing amplitude modulator </t>
  </si>
  <si>
    <t>US4338580</t>
  </si>
  <si>
    <t>US8788096</t>
  </si>
  <si>
    <t xml:space="preserve">Carrying device of self-balancing electromobile for students </t>
  </si>
  <si>
    <t>CN204309981</t>
  </si>
  <si>
    <t xml:space="preserve">Self-balancing high speed transistorized switch driver and inverter </t>
  </si>
  <si>
    <t>US3222547</t>
  </si>
  <si>
    <t xml:space="preserve">Self-balancing single-track electric vehicle </t>
  </si>
  <si>
    <t>GB2465020</t>
  </si>
  <si>
    <t xml:space="preserve">Self-balancing leisure two-wheeled vehicle </t>
  </si>
  <si>
    <t>CN202641971</t>
  </si>
  <si>
    <t xml:space="preserve">State detecting device for self-balance two-wheel cycle </t>
  </si>
  <si>
    <t>CN202420852</t>
  </si>
  <si>
    <t xml:space="preserve">Self-balancing push pull amplifier </t>
  </si>
  <si>
    <t>US3699465</t>
  </si>
  <si>
    <t xml:space="preserve">Steering control method for self-balancing two-wheeled vehicle </t>
  </si>
  <si>
    <t>CN104163222</t>
  </si>
  <si>
    <t xml:space="preserve">Electron beam self-balancing measuring system </t>
  </si>
  <si>
    <t>US2507590</t>
  </si>
  <si>
    <t xml:space="preserve">Online load detection device for self-balancing two-wheel vehicle </t>
  </si>
  <si>
    <t>CN102798448</t>
  </si>
  <si>
    <t xml:space="preserve">Device and method for detecting state of self-balancing two-wheel vehicle </t>
  </si>
  <si>
    <t>CN103192913</t>
  </si>
  <si>
    <t xml:space="preserve">Dropout compensator having a self-balancing switch </t>
  </si>
  <si>
    <t>US3699246</t>
  </si>
  <si>
    <t xml:space="preserve">Wheel/track coupled type self-balancing barrier-free wheelchair </t>
  </si>
  <si>
    <t>CN102614055</t>
  </si>
  <si>
    <t xml:space="preserve">Self-balancing up-rotary type tower crane and operation control </t>
  </si>
  <si>
    <t>CN1837011</t>
  </si>
  <si>
    <t xml:space="preserve">Self-balancing wheel for automotive vehicle </t>
  </si>
  <si>
    <t>US3077914</t>
  </si>
  <si>
    <t xml:space="preserve">Electric self-balancing one-wheel scooter </t>
  </si>
  <si>
    <t>CN203244743</t>
  </si>
  <si>
    <t xml:space="preserve">Pre and post direction self balance type electric unicycle </t>
  </si>
  <si>
    <t>CN101417682</t>
  </si>
  <si>
    <t xml:space="preserve">Self-balance electric vehicle </t>
  </si>
  <si>
    <t>CN201165299</t>
  </si>
  <si>
    <t xml:space="preserve">Planar loading testing method and tester for self-balanced deep foundation piles </t>
  </si>
  <si>
    <t>CN1896712</t>
  </si>
  <si>
    <t xml:space="preserve">Self-balanced single-wheel electric vehicle </t>
  </si>
  <si>
    <t>CN102717854</t>
  </si>
  <si>
    <t xml:space="preserve">Fully self-balanced hands-free portable vehicle </t>
  </si>
  <si>
    <t>US2015096820</t>
  </si>
  <si>
    <t xml:space="preserve">Self-balance electric bicycle </t>
  </si>
  <si>
    <t>CN1502513</t>
  </si>
  <si>
    <t xml:space="preserve">Self-balanced electronic power transformer </t>
  </si>
  <si>
    <t>CN1734914</t>
  </si>
  <si>
    <t xml:space="preserve">Steering control system based on infrared sensor and self-balancing bicycle thereof </t>
  </si>
  <si>
    <t>CN103600801</t>
  </si>
  <si>
    <t xml:space="preserve">Self-balance manned monocycle system and control method thereof </t>
  </si>
  <si>
    <t>CN102079348</t>
  </si>
  <si>
    <t xml:space="preserve">Control method of two-wheeled self-balance vehicle </t>
  </si>
  <si>
    <t>CN103529850</t>
  </si>
  <si>
    <t xml:space="preserve">Multifunctional self-balance two-wheeler </t>
  </si>
  <si>
    <t>CN202283962</t>
  </si>
  <si>
    <t xml:space="preserve">Truss with prestressed self-balance rope </t>
  </si>
  <si>
    <t>CN2492631</t>
  </si>
  <si>
    <t xml:space="preserve">Balancing device for a rotating body </t>
  </si>
  <si>
    <t>US5715731</t>
  </si>
  <si>
    <t xml:space="preserve">Apparatus and method of introducing a free-flowing balancing material within a tire </t>
  </si>
  <si>
    <t>US6019145</t>
  </si>
  <si>
    <t xml:space="preserve">Self-balanced, multiposition holder </t>
  </si>
  <si>
    <t>US5001617</t>
  </si>
  <si>
    <t xml:space="preserve">A self-balanced crane tower </t>
  </si>
  <si>
    <t>CN201325832</t>
  </si>
  <si>
    <t xml:space="preserve">Dynamic balancing method for a washing machine </t>
  </si>
  <si>
    <t>US5862553</t>
  </si>
  <si>
    <t xml:space="preserve">Dynamic balancing application mass placement </t>
  </si>
  <si>
    <t>US6662682</t>
  </si>
  <si>
    <t xml:space="preserve">Force balancing mobile robotic system </t>
  </si>
  <si>
    <t>US2011071677</t>
  </si>
  <si>
    <t xml:space="preserve">Smart balancing system </t>
  </si>
  <si>
    <t>US6510715</t>
  </si>
  <si>
    <t xml:space="preserve">Pressure-auto-balance hydrodynamic noise silencer </t>
  </si>
  <si>
    <t>CN103062569</t>
  </si>
  <si>
    <t xml:space="preserve">Crane for automatically-balancing rotary electric container </t>
  </si>
  <si>
    <t>CN200958000</t>
  </si>
  <si>
    <t xml:space="preserve">Self-balanced drive shaft assembly </t>
  </si>
  <si>
    <t>US5195930</t>
  </si>
  <si>
    <t xml:space="preserve">Self-stabilizing, directionally controllable vehicle with at least three wheels </t>
  </si>
  <si>
    <t>US5927424</t>
  </si>
  <si>
    <t xml:space="preserve">Double -wheel balancing cart </t>
  </si>
  <si>
    <t>CN204956786</t>
  </si>
  <si>
    <t xml:space="preserve">Standing and seating two-way type balanced car with two wheels </t>
  </si>
  <si>
    <t>CN1872614</t>
  </si>
  <si>
    <t xml:space="preserve">Auto balancing apparatus for disk drive with guide </t>
  </si>
  <si>
    <t>US6452896</t>
  </si>
  <si>
    <t xml:space="preserve">Self-loading, self-lifting type balance crane </t>
  </si>
  <si>
    <t>CN2345522</t>
  </si>
  <si>
    <t xml:space="preserve">Dual-purpose of standing and sitting type self-blancing two-wheeled vehicle </t>
  </si>
  <si>
    <t>CN201009984</t>
  </si>
  <si>
    <t xml:space="preserve">Liquid flow auto-balancing regulating valve </t>
  </si>
  <si>
    <t>CN2883835</t>
  </si>
  <si>
    <t xml:space="preserve">Pre-pressurized self-balanced negative-pressure-free water-supply apparatus </t>
  </si>
  <si>
    <t>US2009107562</t>
  </si>
  <si>
    <t xml:space="preserve">Tire balancing </t>
  </si>
  <si>
    <t>US6129797</t>
  </si>
  <si>
    <t xml:space="preserve">Method and apparatus for battery charge balancing </t>
  </si>
  <si>
    <t>US5764027</t>
  </si>
  <si>
    <t>US5766501</t>
  </si>
  <si>
    <t xml:space="preserve">Seal balancing system and method for high pressure and high velocity applications </t>
  </si>
  <si>
    <t>US2004245727</t>
  </si>
  <si>
    <t xml:space="preserve">Method of balancing batteries </t>
  </si>
  <si>
    <t>US7602145</t>
  </si>
  <si>
    <t xml:space="preserve">System for balancing a two-wheeled vehicle at rest </t>
  </si>
  <si>
    <t>US6360838</t>
  </si>
  <si>
    <t xml:space="preserve">Adaptive noise cancelling for magnetic bearing auto-balancing </t>
  </si>
  <si>
    <t>US4912387</t>
  </si>
  <si>
    <t xml:space="preserve">Automatic balancing machine </t>
  </si>
  <si>
    <t>US2783649</t>
  </si>
  <si>
    <t xml:space="preserve">Force balance measuring device </t>
  </si>
  <si>
    <t>US2780101</t>
  </si>
  <si>
    <t xml:space="preserve">Self-stabilizing skateboard </t>
  </si>
  <si>
    <t>US2014326525</t>
  </si>
  <si>
    <t xml:space="preserve">Resistance measuring apparatus including an automatic balancing bridge </t>
  </si>
  <si>
    <t>US3302106</t>
  </si>
  <si>
    <t xml:space="preserve">Method and apparatus for automatically dynamically balancing rotating components </t>
  </si>
  <si>
    <t>US3336818</t>
  </si>
  <si>
    <t xml:space="preserve">Balanced pulley assembly for compound archery bows, and bows incorporating that assembly </t>
  </si>
  <si>
    <t>US7946281</t>
  </si>
  <si>
    <t xml:space="preserve">Continuous balance motor control system </t>
  </si>
  <si>
    <t>US2423617</t>
  </si>
  <si>
    <t xml:space="preserve">Flywheel with self-expanding hub </t>
  </si>
  <si>
    <t>US6014911</t>
  </si>
  <si>
    <t xml:space="preserve">Washing machine with universal self-centering system and automatic drum balancing </t>
  </si>
  <si>
    <t>RU2013157051</t>
  </si>
  <si>
    <t xml:space="preserve">Self regulating fluid bearing high pressure rotary nozzle with balanced thrust force </t>
  </si>
  <si>
    <t>US2011108636</t>
  </si>
  <si>
    <t xml:space="preserve">Gyroscopic pan with dynamic balance for aerial camera </t>
  </si>
  <si>
    <t>CN2689286</t>
  </si>
  <si>
    <t xml:space="preserve">Automotive wheel balancing apparatus and method </t>
  </si>
  <si>
    <t>US5025662</t>
  </si>
  <si>
    <t xml:space="preserve">A balancing structure for a single curved tube coriolis flow meter </t>
  </si>
  <si>
    <t>WO2007130024</t>
  </si>
  <si>
    <t xml:space="preserve">Self-adjusting force balance radial grape and raisin harvester </t>
  </si>
  <si>
    <t>US5339612</t>
  </si>
  <si>
    <t xml:space="preserve">Resilient friction sash balance </t>
  </si>
  <si>
    <t>US4373295</t>
  </si>
  <si>
    <t xml:space="preserve">Automatic balanced electric bicycle </t>
  </si>
  <si>
    <t>CN101074039</t>
  </si>
  <si>
    <t xml:space="preserve">Mobility and Accessibility Device and Lift </t>
  </si>
  <si>
    <t>US2011204592</t>
  </si>
  <si>
    <t xml:space="preserve">Power grid control method based on battery service life model </t>
  </si>
  <si>
    <t>CN102664401</t>
  </si>
  <si>
    <t xml:space="preserve">Dynamic balancing personal vehicle </t>
  </si>
  <si>
    <t>US2009115149</t>
  </si>
  <si>
    <t xml:space="preserve">Segway with golf improvements </t>
  </si>
  <si>
    <t>US7958961</t>
  </si>
  <si>
    <t xml:space="preserve">Apparatus for determining balance in an electrical network </t>
  </si>
  <si>
    <t>US2438288</t>
  </si>
  <si>
    <t xml:space="preserve">Rangefinder </t>
  </si>
  <si>
    <t>US3723003</t>
  </si>
  <si>
    <t xml:space="preserve">Structure cabling system </t>
  </si>
  <si>
    <t>US6473608</t>
  </si>
  <si>
    <t xml:space="preserve">Method for producing compound thin films </t>
  </si>
  <si>
    <t>US4058430</t>
  </si>
  <si>
    <t xml:space="preserve">Apparatus for separation of blood into components thereof </t>
  </si>
  <si>
    <t>US4285464</t>
  </si>
  <si>
    <t xml:space="preserve">Apparatus for separating blood into components thereof </t>
  </si>
  <si>
    <t>US4303193</t>
  </si>
  <si>
    <t xml:space="preserve">Large sodium valve actuator </t>
  </si>
  <si>
    <t>US3871176</t>
  </si>
  <si>
    <t xml:space="preserve">Low-speed prebalancing for washing machines </t>
  </si>
  <si>
    <t>US6578225</t>
  </si>
  <si>
    <t xml:space="preserve">Fluid processing centrifuge and apparatus thereof </t>
  </si>
  <si>
    <t>US4421503</t>
  </si>
  <si>
    <t xml:space="preserve">Range and time measure system </t>
  </si>
  <si>
    <t>US3618089</t>
  </si>
  <si>
    <t xml:space="preserve">Methods of and apparatus for producing a visual record of physical conditions of materials traversed by a borehole </t>
  </si>
  <si>
    <t>US3369626</t>
  </si>
  <si>
    <t xml:space="preserve">Reclining chair and fixture </t>
  </si>
  <si>
    <t>US3139305</t>
  </si>
  <si>
    <t xml:space="preserve">Mobile batching apparatus </t>
  </si>
  <si>
    <t>US3198494</t>
  </si>
  <si>
    <t xml:space="preserve">Linear and rotary direct current stepping motors and control system </t>
  </si>
  <si>
    <t>US3453510</t>
  </si>
  <si>
    <t xml:space="preserve">System for measuring optical activity of materials </t>
  </si>
  <si>
    <t>US3312141</t>
  </si>
  <si>
    <t xml:space="preserve">Power plant system and control therefor </t>
  </si>
  <si>
    <t>US3244898</t>
  </si>
  <si>
    <t xml:space="preserve">Fluid actuated mechanism </t>
  </si>
  <si>
    <t>US2907304</t>
  </si>
  <si>
    <t xml:space="preserve">Helicopter mechanism </t>
  </si>
  <si>
    <t>US3188884</t>
  </si>
  <si>
    <t xml:space="preserve">Radiation thermometer and method for measuring temperature </t>
  </si>
  <si>
    <t>US4854730</t>
  </si>
  <si>
    <t xml:space="preserve">Air ionizer and method </t>
  </si>
  <si>
    <t>US6850403</t>
  </si>
  <si>
    <t xml:space="preserve">Battery network with compounded interconnections </t>
  </si>
  <si>
    <t>US6465986</t>
  </si>
  <si>
    <t xml:space="preserve">Spring rate balancing of the flow tube and a balance bar in a straight tube Coriolis flowmeter </t>
  </si>
  <si>
    <t>US5979246</t>
  </si>
  <si>
    <t xml:space="preserve">Exchangeable tool assembly for an endoscopic treatment device and such treatment device </t>
  </si>
  <si>
    <t>US6626824</t>
  </si>
  <si>
    <t xml:space="preserve">Dynamically balanced in-line wheel vehicle </t>
  </si>
  <si>
    <t>US2008295595</t>
  </si>
  <si>
    <t xml:space="preserve">Electrical measuring apparatus, including a condition responsive impedance </t>
  </si>
  <si>
    <t>US2630007</t>
  </si>
  <si>
    <t xml:space="preserve">Method and apparatus for air ionization </t>
  </si>
  <si>
    <t>US5930105</t>
  </si>
  <si>
    <t xml:space="preserve">Disc drive with self-pressurizing fluid bearing and shaft-supporting-ball retaining element </t>
  </si>
  <si>
    <t>US5710678</t>
  </si>
  <si>
    <t xml:space="preserve">Blood component preparation (BCP) device and method of use thereof </t>
  </si>
  <si>
    <t>US6605223</t>
  </si>
  <si>
    <t xml:space="preserve">Rotatable actuator for latches of a window sash </t>
  </si>
  <si>
    <t>US6588150</t>
  </si>
  <si>
    <t xml:space="preserve">Hydraulic amplifier </t>
  </si>
  <si>
    <t>US2709421</t>
  </si>
  <si>
    <t xml:space="preserve">Apparatus and method for separating fluid into components thereof </t>
  </si>
  <si>
    <t>US4402680</t>
  </si>
  <si>
    <t xml:space="preserve">Variable force solenoid valve </t>
  </si>
  <si>
    <t>US5513832</t>
  </si>
  <si>
    <t xml:space="preserve">Electric battery comprising a fuel cell hydrogen generator and heat exchanger </t>
  </si>
  <si>
    <t>US3669751</t>
  </si>
  <si>
    <t xml:space="preserve">Electrically modulated pressure regulator valve with variable force solenoid </t>
  </si>
  <si>
    <t>US5513673</t>
  </si>
  <si>
    <t xml:space="preserve">Sign suspension system </t>
  </si>
  <si>
    <t>US5529274</t>
  </si>
  <si>
    <t xml:space="preserve">Control system </t>
  </si>
  <si>
    <t>US2285540</t>
  </si>
  <si>
    <t xml:space="preserve">Apparatus for tuning PID controllers in process control systems </t>
  </si>
  <si>
    <t>US4441151</t>
  </si>
  <si>
    <t xml:space="preserve">Transistor switching device </t>
  </si>
  <si>
    <t>US2594449</t>
  </si>
  <si>
    <t xml:space="preserve">Multistage canned motor pump having a thrust balancing disk </t>
  </si>
  <si>
    <t>US5591016</t>
  </si>
  <si>
    <t xml:space="preserve">Measuring and control apparatus </t>
  </si>
  <si>
    <t>US2300742</t>
  </si>
  <si>
    <t xml:space="preserve">Stepping motors and control means </t>
  </si>
  <si>
    <t>US3293459</t>
  </si>
  <si>
    <t xml:space="preserve">Vapour leak detector </t>
  </si>
  <si>
    <t>US2947166</t>
  </si>
  <si>
    <t xml:space="preserve">Method of automated fluid flow measurement </t>
  </si>
  <si>
    <t>US4319483</t>
  </si>
  <si>
    <t xml:space="preserve">Hover board tricycle </t>
  </si>
  <si>
    <t>US9403573</t>
  </si>
  <si>
    <t xml:space="preserve">Resiliently mounted fluid bearing assembly </t>
  </si>
  <si>
    <t>US4884899</t>
  </si>
  <si>
    <t>US4828403</t>
  </si>
  <si>
    <t xml:space="preserve">Measurement of basal body temperature </t>
  </si>
  <si>
    <t>US4396020</t>
  </si>
  <si>
    <t xml:space="preserve">User interface for viewing street side imagery </t>
  </si>
  <si>
    <t>US2008043020</t>
  </si>
  <si>
    <t xml:space="preserve">Roller board device </t>
  </si>
  <si>
    <t>US2829892</t>
  </si>
  <si>
    <t xml:space="preserve">Constant-aim work head </t>
  </si>
  <si>
    <t>US3543947</t>
  </si>
  <si>
    <t xml:space="preserve">Pressure responsive apparatus </t>
  </si>
  <si>
    <t>US3218863</t>
  </si>
  <si>
    <t xml:space="preserve">Pedestrian detection system </t>
  </si>
  <si>
    <t>US3462692</t>
  </si>
  <si>
    <t xml:space="preserve">Single wheel robot system and its control method </t>
  </si>
  <si>
    <t>US2011010013</t>
  </si>
  <si>
    <t xml:space="preserve">Alternating current bridges </t>
  </si>
  <si>
    <t>US2968180</t>
  </si>
  <si>
    <t xml:space="preserve">Robot Including Electrically Activated Joints </t>
  </si>
  <si>
    <t>US2011313568</t>
  </si>
  <si>
    <t xml:space="preserve">Multimodal Dynamic Robotic Systems </t>
  </si>
  <si>
    <t>US2012215355</t>
  </si>
  <si>
    <t xml:space="preserve">Handless transport vehicle </t>
  </si>
  <si>
    <t>US2016325803</t>
  </si>
  <si>
    <t xml:space="preserve">Embedded heat exchanger for heating, ventilatiion, and air conditioning (hvac) systems and methods </t>
  </si>
  <si>
    <t>US2008164006</t>
  </si>
  <si>
    <t xml:space="preserve">Fluid flow velocity measuring apparatus </t>
  </si>
  <si>
    <t>US3595079</t>
  </si>
  <si>
    <t xml:space="preserve">Linear motor compressor and its application in cooling system </t>
  </si>
  <si>
    <t>US5818131</t>
  </si>
  <si>
    <t xml:space="preserve">Method and apparatus for neutron well logging based on the lifetime of neutrons in the formations </t>
  </si>
  <si>
    <t>US3379882</t>
  </si>
  <si>
    <t xml:space="preserve">Automated system and method for blood components separation and processing </t>
  </si>
  <si>
    <t>US2006205581</t>
  </si>
  <si>
    <t xml:space="preserve">Air freshener apparatus for ceiling fans </t>
  </si>
  <si>
    <t>US5383765</t>
  </si>
  <si>
    <t xml:space="preserve">Variable force solenoid pressure regulator for electronic transmission controller </t>
  </si>
  <si>
    <t>US4947893</t>
  </si>
  <si>
    <t xml:space="preserve">Distributed task system and distributed task management process </t>
  </si>
  <si>
    <t>CN101236513</t>
  </si>
  <si>
    <t xml:space="preserve">Mass flow meter apparatus </t>
  </si>
  <si>
    <t>US3470741</t>
  </si>
  <si>
    <t xml:space="preserve">Mass flowmeter </t>
  </si>
  <si>
    <t>US2772567</t>
  </si>
  <si>
    <t xml:space="preserve">Gear transmission comprising two worms </t>
  </si>
  <si>
    <t>US4615230</t>
  </si>
  <si>
    <t xml:space="preserve">Centrifuge system utilizing disposable components and automated processing of blood to collect platelet rich plasma </t>
  </si>
  <si>
    <t>US6982038</t>
  </si>
  <si>
    <t>US2002020680</t>
  </si>
  <si>
    <t xml:space="preserve">Analogue-digital converter </t>
  </si>
  <si>
    <t>US2775754</t>
  </si>
  <si>
    <t xml:space="preserve">Self-propelled tandem wheeled carrier </t>
  </si>
  <si>
    <t>US2869661</t>
  </si>
  <si>
    <t xml:space="preserve">Wind tunnel balance </t>
  </si>
  <si>
    <t>US2448528</t>
  </si>
  <si>
    <t xml:space="preserve">Ultrasonic testing device </t>
  </si>
  <si>
    <t>US2966056</t>
  </si>
  <si>
    <t xml:space="preserve">Two-wheel electromobile </t>
  </si>
  <si>
    <t>CN203158157</t>
  </si>
  <si>
    <t xml:space="preserve">Stage positioning unit for photo lithography tool and for the like </t>
  </si>
  <si>
    <t>US2005236908</t>
  </si>
  <si>
    <t xml:space="preserve">Refrigeration system, including capillary tube </t>
  </si>
  <si>
    <t>US2520045</t>
  </si>
  <si>
    <t xml:space="preserve">Method and apparatus for an electrical vehicle </t>
  </si>
  <si>
    <t>US2009139781</t>
  </si>
  <si>
    <t xml:space="preserve">Media servowriting system </t>
  </si>
  <si>
    <t>US6977791</t>
  </si>
  <si>
    <t xml:space="preserve">Printed circuit board for connectors </t>
  </si>
  <si>
    <t>US5663870</t>
  </si>
  <si>
    <t xml:space="preserve">Regenerative subsystem control in a kalina cycle power generation system </t>
  </si>
  <si>
    <t>US6195998</t>
  </si>
  <si>
    <t xml:space="preserve">Intelligent balance car </t>
  </si>
  <si>
    <t>CN203268242</t>
  </si>
  <si>
    <t xml:space="preserve">Centrifuge rotor with sample holding means and means for balancing the same </t>
  </si>
  <si>
    <t>US3834613</t>
  </si>
  <si>
    <t xml:space="preserve">Methods and devices to decrease tissue trauma during surgery </t>
  </si>
  <si>
    <t>US2009259107</t>
  </si>
  <si>
    <t xml:space="preserve">Load balancing system </t>
  </si>
  <si>
    <t>US6267450</t>
  </si>
  <si>
    <t xml:space="preserve">Novel turbine and blades </t>
  </si>
  <si>
    <t>US2011027084</t>
  </si>
  <si>
    <t>US2004037300</t>
  </si>
  <si>
    <t xml:space="preserve">Mass fuel flow measurement system </t>
  </si>
  <si>
    <t>US3635084</t>
  </si>
  <si>
    <t xml:space="preserve">Video clamp and inverter circuit </t>
  </si>
  <si>
    <t>US4257065</t>
  </si>
  <si>
    <t xml:space="preserve">Mounting system for flat panel electronic display </t>
  </si>
  <si>
    <t>US2007153459</t>
  </si>
  <si>
    <t xml:space="preserve">Drum-type washing machine </t>
  </si>
  <si>
    <t>US2004123633</t>
  </si>
  <si>
    <t xml:space="preserve">Window sash operating device </t>
  </si>
  <si>
    <t>US1864253</t>
  </si>
  <si>
    <t xml:space="preserve">Reclining chair mechanism having sole support pivot </t>
  </si>
  <si>
    <t>US5108148</t>
  </si>
  <si>
    <t xml:space="preserve">Apparatus for adjusting the amount of a medium flowing per time unit through a conduit </t>
  </si>
  <si>
    <t>US3055389</t>
  </si>
  <si>
    <t xml:space="preserve">Laminated wood product </t>
  </si>
  <si>
    <t>US5002105</t>
  </si>
  <si>
    <t xml:space="preserve">Light scanning device </t>
  </si>
  <si>
    <t>US5461498</t>
  </si>
  <si>
    <t xml:space="preserve">Measuring and controlling apparatus </t>
  </si>
  <si>
    <t>US2376599</t>
  </si>
  <si>
    <t xml:space="preserve">Vapor or particle detection device </t>
  </si>
  <si>
    <t>US3555532</t>
  </si>
  <si>
    <t xml:space="preserve">Device for measuring valve pressure </t>
  </si>
  <si>
    <t>CN2175420</t>
  </si>
  <si>
    <t xml:space="preserve">Flywheel system </t>
  </si>
  <si>
    <t>US2010237629</t>
  </si>
  <si>
    <t xml:space="preserve">Measuring apparatus </t>
  </si>
  <si>
    <t>US2755020</t>
  </si>
  <si>
    <t xml:space="preserve">Reflex thermal electric meter </t>
  </si>
  <si>
    <t>US2437449</t>
  </si>
  <si>
    <t xml:space="preserve">Blowdown recovery system in a Kalina cycle power generation system </t>
  </si>
  <si>
    <t>US6105368</t>
  </si>
  <si>
    <t xml:space="preserve">Centrifuge for performing medical analyses </t>
  </si>
  <si>
    <t>US4865810</t>
  </si>
  <si>
    <t xml:space="preserve">DC power converter circuit </t>
  </si>
  <si>
    <t>US6108219</t>
  </si>
  <si>
    <t>US2270732</t>
  </si>
  <si>
    <t xml:space="preserve">Spindle motor </t>
  </si>
  <si>
    <t>US2005223400</t>
  </si>
  <si>
    <t xml:space="preserve">Hitch means for connecting trailers to tractive vehicles </t>
  </si>
  <si>
    <t>US2347898</t>
  </si>
  <si>
    <t xml:space="preserve">Method and apparatus for automatically cleaning ionizing electrodes </t>
  </si>
  <si>
    <t>US5768087</t>
  </si>
  <si>
    <t xml:space="preserve">Automatic diametric dimension control for mill for rolling round bars </t>
  </si>
  <si>
    <t>US4141071</t>
  </si>
  <si>
    <t xml:space="preserve">Non-hierarchical collaborative computing platform </t>
  </si>
  <si>
    <t>US2004068729</t>
  </si>
  <si>
    <t xml:space="preserve">Shipping and installation for heating, ventilation, and air conditioning (HVAC) </t>
  </si>
  <si>
    <t>US2006249589</t>
  </si>
  <si>
    <t xml:space="preserve">Intelligent luggage case </t>
  </si>
  <si>
    <t>CN104824944</t>
  </si>
  <si>
    <t xml:space="preserve">Multimanifold extrusion die and coextrusion process </t>
  </si>
  <si>
    <t>US4533308</t>
  </si>
  <si>
    <t xml:space="preserve">Dynamic balancing vehicle with a seat </t>
  </si>
  <si>
    <t>US7004271</t>
  </si>
  <si>
    <t xml:space="preserve">Transducer construction and system for measuring respiration </t>
  </si>
  <si>
    <t>US3782368</t>
  </si>
  <si>
    <t xml:space="preserve">Balancing bird </t>
  </si>
  <si>
    <t>US4432158</t>
  </si>
  <si>
    <t xml:space="preserve">Tire balancing composition </t>
  </si>
  <si>
    <t>US4867792</t>
  </si>
  <si>
    <t xml:space="preserve">Measuring instrument </t>
  </si>
  <si>
    <t>US2392916</t>
  </si>
  <si>
    <t xml:space="preserve">Motor control system </t>
  </si>
  <si>
    <t>US2593950</t>
  </si>
  <si>
    <t xml:space="preserve">Automatic range change circuit </t>
  </si>
  <si>
    <t>US2981107</t>
  </si>
  <si>
    <t xml:space="preserve">Flexible shaft stabilizer </t>
  </si>
  <si>
    <t>US3779451</t>
  </si>
  <si>
    <t xml:space="preserve">Dynamic balancer </t>
  </si>
  <si>
    <t>US2461643</t>
  </si>
  <si>
    <t>US2413128</t>
  </si>
  <si>
    <t xml:space="preserve">Layer Assembly for a Light-Emitting Component </t>
  </si>
  <si>
    <t>US2008203406</t>
  </si>
  <si>
    <t xml:space="preserve">Blood component preparation (bcp) device and method of use thereof </t>
  </si>
  <si>
    <t>WO0197943</t>
  </si>
  <si>
    <t xml:space="preserve">Three-way loading mechanical property test system of multifunctional lining segment joint </t>
  </si>
  <si>
    <t>CN102004054</t>
  </si>
  <si>
    <t>US2012130180</t>
  </si>
  <si>
    <t xml:space="preserve">Power receiving device, power transmitting device, wireless power transfer system, and wireless power transfer method </t>
  </si>
  <si>
    <t>EP2573902</t>
  </si>
  <si>
    <t xml:space="preserve">Dynamic power and workload management for multi-server system </t>
  </si>
  <si>
    <t>US7032119</t>
  </si>
  <si>
    <t xml:space="preserve">System, method, and architecture for dynamic server power management and dynamic workload management for multi-server environment </t>
  </si>
  <si>
    <t>US6859882</t>
  </si>
  <si>
    <t xml:space="preserve">System, architecture, and method for logical server and other network devices in a dynamically configurable multi-server network environment </t>
  </si>
  <si>
    <t>US7058826</t>
  </si>
  <si>
    <t xml:space="preserve">Rider detection system </t>
  </si>
  <si>
    <t>US2016121198</t>
  </si>
  <si>
    <t xml:space="preserve">Magnetic testing apparatus and method </t>
  </si>
  <si>
    <t>US2555853</t>
  </si>
  <si>
    <t xml:space="preserve">japhet </t>
  </si>
  <si>
    <t>US3078689</t>
  </si>
  <si>
    <t xml:space="preserve">Variable sensitivity measuring apparatus </t>
  </si>
  <si>
    <t>US2941147</t>
  </si>
  <si>
    <t xml:space="preserve">Alternating-current bridge </t>
  </si>
  <si>
    <t>US2639411</t>
  </si>
  <si>
    <t xml:space="preserve">Flexible shaft construction for a high inertia centrifuge </t>
  </si>
  <si>
    <t>US4201066</t>
  </si>
  <si>
    <t xml:space="preserve">Direct contact heat transfer apparatus having evaporator and condensing means </t>
  </si>
  <si>
    <t>US3410339</t>
  </si>
  <si>
    <t xml:space="preserve">Electro-optical gaging system having dual cameras on a scanner </t>
  </si>
  <si>
    <t>US4121292</t>
  </si>
  <si>
    <t xml:space="preserve">Non-contact temperature measurement system </t>
  </si>
  <si>
    <t>US3303701</t>
  </si>
  <si>
    <t xml:space="preserve">Ion generation method and apparatus </t>
  </si>
  <si>
    <t>US7057130</t>
  </si>
  <si>
    <t xml:space="preserve">Non-support installation method of long-span spatial bolt ball steel reticulated shell dome </t>
  </si>
  <si>
    <t>CN101988308</t>
  </si>
  <si>
    <t xml:space="preserve">Two wire telemetry system </t>
  </si>
  <si>
    <t>US3680384</t>
  </si>
  <si>
    <t xml:space="preserve">Bidirectional pump system having plural lubrication circuits </t>
  </si>
  <si>
    <t>US3857461</t>
  </si>
  <si>
    <t xml:space="preserve">Apparatus for measuring the light rotatory power of an optically active substance </t>
  </si>
  <si>
    <t>US2861493</t>
  </si>
  <si>
    <t xml:space="preserve">Transistorized D-C/A-C converter </t>
  </si>
  <si>
    <t>US4233658</t>
  </si>
  <si>
    <t xml:space="preserve">Segway without handle </t>
  </si>
  <si>
    <t>CN203186511</t>
  </si>
  <si>
    <t xml:space="preserve">Rocker chair </t>
  </si>
  <si>
    <t>US3093409</t>
  </si>
  <si>
    <t xml:space="preserve">Relative humidity measuring apparatus </t>
  </si>
  <si>
    <t>US2707880</t>
  </si>
  <si>
    <t>US2352103</t>
  </si>
  <si>
    <t xml:space="preserve">Stereoplotter </t>
  </si>
  <si>
    <t>US3004464</t>
  </si>
  <si>
    <t xml:space="preserve">Ecological culture net cage capable of automatically sinking and floating to keep balance </t>
  </si>
  <si>
    <t>CN102388821</t>
  </si>
  <si>
    <t xml:space="preserve">Navigator-robot for surgical procedures </t>
  </si>
  <si>
    <t>WO03099152</t>
  </si>
  <si>
    <t xml:space="preserve">Method for fabricating new type tension chord truss frame in large span </t>
  </si>
  <si>
    <t>CN1563626</t>
  </si>
  <si>
    <t xml:space="preserve">Circumvolve cutters for drill bit </t>
  </si>
  <si>
    <t>US2008251293</t>
  </si>
  <si>
    <t xml:space="preserve">Radioactivity well logging system </t>
  </si>
  <si>
    <t>US2659014</t>
  </si>
  <si>
    <t xml:space="preserve">Regulator valve </t>
  </si>
  <si>
    <t>US3576194</t>
  </si>
  <si>
    <t xml:space="preserve">Audio readout unit for a digital voltmenter </t>
  </si>
  <si>
    <t>US3081431</t>
  </si>
  <si>
    <t xml:space="preserve">Equipment for automatically rating objects or packages according to two or more parameters thereof </t>
  </si>
  <si>
    <t>US2727391</t>
  </si>
  <si>
    <t xml:space="preserve">Boat support for trailers </t>
  </si>
  <si>
    <t>US3785677</t>
  </si>
  <si>
    <t xml:space="preserve">Construction method for lifting arch structure in zero-deformation state </t>
  </si>
  <si>
    <t>CN102777043</t>
  </si>
  <si>
    <t xml:space="preserve">Method and system for administering linked loans </t>
  </si>
  <si>
    <t>US2009006245</t>
  </si>
  <si>
    <t xml:space="preserve">Frequency responsive systems </t>
  </si>
  <si>
    <t>US2841775</t>
  </si>
  <si>
    <t xml:space="preserve">Layer-by-layer double-ring rib-ring type cable dome structure and construction forming method </t>
  </si>
  <si>
    <t>CN101691791</t>
  </si>
  <si>
    <t xml:space="preserve">Apparatus for detecting the occurrence or approach of icing conditions </t>
  </si>
  <si>
    <t>US2656525</t>
  </si>
  <si>
    <t xml:space="preserve">Vapor temperature control in a kalina cycle power generation system </t>
  </si>
  <si>
    <t>US6167705</t>
  </si>
  <si>
    <t xml:space="preserve">Powered wheelchair </t>
  </si>
  <si>
    <t>EP2606867</t>
  </si>
  <si>
    <t xml:space="preserve">Method and system for interactive and mobile advertising </t>
  </si>
  <si>
    <t>US2005205310</t>
  </si>
  <si>
    <t xml:space="preserve">Sequence component tester </t>
  </si>
  <si>
    <t>US4050017</t>
  </si>
  <si>
    <t xml:space="preserve">Multiple battery charger with automatic charge current adjustment </t>
  </si>
  <si>
    <t>US2012153899</t>
  </si>
  <si>
    <t xml:space="preserve">Providing feedback in an electronic circuit </t>
  </si>
  <si>
    <t>US2010259285</t>
  </si>
  <si>
    <t xml:space="preserve">Apparatus for fabricating plastic pipe </t>
  </si>
  <si>
    <t>US3313670</t>
  </si>
  <si>
    <t xml:space="preserve">Footrest tuck mechanism </t>
  </si>
  <si>
    <t>US7182166</t>
  </si>
  <si>
    <t xml:space="preserve">Non-volatile mission-ready database for signaling transfer point </t>
  </si>
  <si>
    <t>US6105034</t>
  </si>
  <si>
    <t xml:space="preserve">Oil recovery system </t>
  </si>
  <si>
    <t>US6143170</t>
  </si>
  <si>
    <t xml:space="preserve">Pressure sealing assemblies for rotary vane piston devices </t>
  </si>
  <si>
    <t>US3658447</t>
  </si>
  <si>
    <t xml:space="preserve">Recorder for densitometer </t>
  </si>
  <si>
    <t>US3096137</t>
  </si>
  <si>
    <t xml:space="preserve">Speed control system </t>
  </si>
  <si>
    <t>US3151507</t>
  </si>
  <si>
    <t xml:space="preserve">Magnetic oxygen meters </t>
  </si>
  <si>
    <t>US2744234</t>
  </si>
  <si>
    <t xml:space="preserve">Apparatus for automatically adjusting the stop of a hot-metal cutting machine </t>
  </si>
  <si>
    <t>US3163065</t>
  </si>
  <si>
    <t xml:space="preserve">Self-positioning lamp fixture with stabilizing base </t>
  </si>
  <si>
    <t>US5381325</t>
  </si>
  <si>
    <t xml:space="preserve">Impedance-measuring transformer bridge with automatic digital balancing circuit </t>
  </si>
  <si>
    <t>US3562641</t>
  </si>
  <si>
    <t xml:space="preserve">Automatic balancing device for cleaning equipment </t>
  </si>
  <si>
    <t>CN105496333</t>
  </si>
  <si>
    <t xml:space="preserve">Centrifuge system and fluid container therefor </t>
  </si>
  <si>
    <t>US4846974</t>
  </si>
  <si>
    <t xml:space="preserve">Method and apparatus for control of conditions in a process </t>
  </si>
  <si>
    <t>US3826903</t>
  </si>
  <si>
    <t xml:space="preserve">Ball bearing assembly </t>
  </si>
  <si>
    <t>US2822225</t>
  </si>
  <si>
    <t xml:space="preserve">Automatic balancing tower type crane </t>
  </si>
  <si>
    <t>CN201647849</t>
  </si>
  <si>
    <t xml:space="preserve">Sensor processing and balancing control algorithm of wheeled inverted pendulum </t>
  </si>
  <si>
    <t>CN101823485</t>
  </si>
  <si>
    <t xml:space="preserve">Axial flow pump/ marine propeller </t>
  </si>
  <si>
    <t>GB2301399</t>
  </si>
  <si>
    <t xml:space="preserve">Electrohydraulic vehicle with battery flywheel </t>
  </si>
  <si>
    <t>US5427194</t>
  </si>
  <si>
    <t xml:space="preserve">Liquid cooling system including hot-swappable components </t>
  </si>
  <si>
    <t>US7420804</t>
  </si>
  <si>
    <t xml:space="preserve">Electric power receiving apparatus, electric power transmission apparatus, detection apparatus and detection method </t>
  </si>
  <si>
    <t>CN102904348</t>
  </si>
  <si>
    <t xml:space="preserve">A truth triaxial cell </t>
  </si>
  <si>
    <t>CN102288486</t>
  </si>
  <si>
    <t>US4981585</t>
  </si>
  <si>
    <t xml:space="preserve">Method and apparatus for electrophoretic density gradient separation and analysis </t>
  </si>
  <si>
    <t>US3320148</t>
  </si>
  <si>
    <t xml:space="preserve">Apparatus for logging wells while drilling </t>
  </si>
  <si>
    <t>US2650067</t>
  </si>
  <si>
    <t xml:space="preserve">Two-colour radiation ratio pyrometer </t>
  </si>
  <si>
    <t>US3454769</t>
  </si>
  <si>
    <t xml:space="preserve">Structural foam molding process </t>
  </si>
  <si>
    <t>US4255368</t>
  </si>
  <si>
    <t xml:space="preserve">Heat transfer apparatus with positive drive orbital whip rod </t>
  </si>
  <si>
    <t>US5385645</t>
  </si>
  <si>
    <t xml:space="preserve">Flow monitoring </t>
  </si>
  <si>
    <t>US4111044</t>
  </si>
  <si>
    <t xml:space="preserve">Display mount with adjustable position tilt axis </t>
  </si>
  <si>
    <t>US8891249</t>
  </si>
  <si>
    <t xml:space="preserve">Bicycle roller balance device </t>
  </si>
  <si>
    <t>US7060009</t>
  </si>
  <si>
    <t xml:space="preserve">Airplane with pivotable wing </t>
  </si>
  <si>
    <t>US4158448</t>
  </si>
  <si>
    <t>US2366618</t>
  </si>
  <si>
    <t xml:space="preserve">Distillation and condensation subsystem (DCSS) control in kalina cycle power generation system </t>
  </si>
  <si>
    <t>US6158220</t>
  </si>
  <si>
    <t xml:space="preserve">Electro-optical gaging system </t>
  </si>
  <si>
    <t>US4121294</t>
  </si>
  <si>
    <t xml:space="preserve">Time of flight indicator </t>
  </si>
  <si>
    <t>US2955464</t>
  </si>
  <si>
    <t xml:space="preserve">Workflow System </t>
  </si>
  <si>
    <t>US2015100439</t>
  </si>
  <si>
    <t xml:space="preserve">Multi-chip module and single-chip module for chips and proximity connectors </t>
  </si>
  <si>
    <t>US2006017150</t>
  </si>
  <si>
    <t xml:space="preserve">Electromagnetically-coupled state detection circuit, power transmission apparatus, contactless power transmission system, and electromagnetically-coupled state detection method </t>
  </si>
  <si>
    <t>US2014077617</t>
  </si>
  <si>
    <t xml:space="preserve">Sensor for active thermal detection </t>
  </si>
  <si>
    <t>US5054936</t>
  </si>
  <si>
    <t xml:space="preserve">Monopole wideband antenna in uniplanar printed circuit technology, and transmission and/or recreption device incorporating such an antenna </t>
  </si>
  <si>
    <t>US5835063</t>
  </si>
  <si>
    <t xml:space="preserve">Recovering sulfur from gas streams containing hydrogen sulfide </t>
  </si>
  <si>
    <t>US4113849</t>
  </si>
  <si>
    <t xml:space="preserve">Method for measuring electrical conductivity of fluids </t>
  </si>
  <si>
    <t>US3054946</t>
  </si>
  <si>
    <t xml:space="preserve">Computerized automated dynamic control system for single-track vehicles </t>
  </si>
  <si>
    <t>US7006901</t>
  </si>
  <si>
    <t xml:space="preserve">Automatic photoelectric shutter control circuit for single lens mirror reflex cameras </t>
  </si>
  <si>
    <t>US3602717</t>
  </si>
  <si>
    <t xml:space="preserve">Temperature measuring and control apparatus </t>
  </si>
  <si>
    <t>US2755999</t>
  </si>
  <si>
    <t xml:space="preserve">Electromagnetic induction flowmeter </t>
  </si>
  <si>
    <t>US3002383</t>
  </si>
  <si>
    <t xml:space="preserve">Metal detecting apparatus for conveyor belt </t>
  </si>
  <si>
    <t>US3573784</t>
  </si>
  <si>
    <t xml:space="preserve">Mass air flow meter </t>
  </si>
  <si>
    <t>US6279394</t>
  </si>
  <si>
    <t xml:space="preserve">Technique for controlling DCSS condensate levels in a Kalina cycle power generation system </t>
  </si>
  <si>
    <t>US6263675</t>
  </si>
  <si>
    <t xml:space="preserve">Liquid depth measuring device </t>
  </si>
  <si>
    <t>US2627660</t>
  </si>
  <si>
    <t>USRE38463</t>
  </si>
  <si>
    <t xml:space="preserve">Fast-acting feedback amplifiers for high impedance sources </t>
  </si>
  <si>
    <t>US2724022</t>
  </si>
  <si>
    <t xml:space="preserve">System and method for activity or event base dynamic energy conserving server reconfiguration </t>
  </si>
  <si>
    <t>US7552350</t>
  </si>
  <si>
    <t xml:space="preserve">Roll bonding an aluminum-ferrous composite with grooved rolls </t>
  </si>
  <si>
    <t>US3639974</t>
  </si>
  <si>
    <t xml:space="preserve">Walking aid has control unit that is provided to drive the drive arranged in vicinity of lower end of connecting element to keep walking aid in balance </t>
  </si>
  <si>
    <t>DE102011084236</t>
  </si>
  <si>
    <t xml:space="preserve">Catalytic conversion process for producing more diesel and propylene </t>
  </si>
  <si>
    <t>US2011073523</t>
  </si>
  <si>
    <t xml:space="preserve">Method and apparatus for controlling ventilation systems </t>
  </si>
  <si>
    <t>US2010286831</t>
  </si>
  <si>
    <t xml:space="preserve">Washing machine </t>
  </si>
  <si>
    <t>US2033146</t>
  </si>
  <si>
    <t>US2675510</t>
  </si>
  <si>
    <t xml:space="preserve">Capacitor and battery combination </t>
  </si>
  <si>
    <t>WO2013138380</t>
  </si>
  <si>
    <t xml:space="preserve">Servomotor system control apparatus </t>
  </si>
  <si>
    <t>US2886755</t>
  </si>
  <si>
    <t xml:space="preserve">Carrier having non-orthogonal axes </t>
  </si>
  <si>
    <t>US2016229556</t>
  </si>
  <si>
    <t xml:space="preserve">Double-turn over and under type welding positioner </t>
  </si>
  <si>
    <t>CN201172152</t>
  </si>
  <si>
    <t xml:space="preserve">Scalable retrieval of data entries using an array index or a secondary key </t>
  </si>
  <si>
    <t>US2007112795</t>
  </si>
  <si>
    <t xml:space="preserve">Rubber-geared pump with shaftless gear </t>
  </si>
  <si>
    <t>US5163824</t>
  </si>
  <si>
    <t xml:space="preserve">Apparatus, architecture, and method for integrated modular server system providing dynamically power-managed and work-load managed network devices </t>
  </si>
  <si>
    <t>US7822967</t>
  </si>
  <si>
    <t xml:space="preserve">Low profile mount for flat panel electronic display </t>
  </si>
  <si>
    <t>US2011234926</t>
  </si>
  <si>
    <t xml:space="preserve">In-Line Legged Robot Vehicle and Method for Operating </t>
  </si>
  <si>
    <t>US2011231050</t>
  </si>
  <si>
    <t xml:space="preserve">Balancing centrifugal drying and washing machine </t>
  </si>
  <si>
    <t>US2533722</t>
  </si>
  <si>
    <t xml:space="preserve">Apparatus for recording and controlling </t>
  </si>
  <si>
    <t>US1951035</t>
  </si>
  <si>
    <t xml:space="preserve">Plasma reactor with inductie excitation of plasma and efficient removal of heat from the excitation coil </t>
  </si>
  <si>
    <t>US2008050292</t>
  </si>
  <si>
    <t xml:space="preserve">Control system and method </t>
  </si>
  <si>
    <t>US2002121394</t>
  </si>
  <si>
    <t xml:space="preserve">Internal dual-phase shockwave swing link transmission type internal combustion engine </t>
  </si>
  <si>
    <t>CN101979853</t>
  </si>
  <si>
    <t xml:space="preserve">Three-dimensional printing method </t>
  </si>
  <si>
    <t>CN103568325</t>
  </si>
  <si>
    <t xml:space="preserve">Transportation device utilizing balance car for driving </t>
  </si>
  <si>
    <t>CN104859773</t>
  </si>
  <si>
    <t xml:space="preserve">Rechargeable multi-cell battery </t>
  </si>
  <si>
    <t>US2013320772</t>
  </si>
  <si>
    <t xml:space="preserve">Airport transportation system </t>
  </si>
  <si>
    <t>US8700250</t>
  </si>
  <si>
    <t xml:space="preserve">Dynamically balanced vibrating agitators </t>
  </si>
  <si>
    <t>US2756973</t>
  </si>
  <si>
    <t xml:space="preserve">Digital indicating arrangement for measuring systems </t>
  </si>
  <si>
    <t>US2625822</t>
  </si>
  <si>
    <t xml:space="preserve">Self-balanced rotor blade </t>
  </si>
  <si>
    <t>US2999668</t>
  </si>
  <si>
    <t xml:space="preserve">Single action collapsing/expanding three-wheeled golf cart </t>
  </si>
  <si>
    <t>US8191920</t>
  </si>
  <si>
    <t xml:space="preserve">Self-steering bicycle-type toy vehicle </t>
  </si>
  <si>
    <t>US3785086</t>
  </si>
  <si>
    <t xml:space="preserve">Noncontacting measurement of hall effect in a wafer </t>
  </si>
  <si>
    <t>US4190799</t>
  </si>
  <si>
    <t xml:space="preserve">Variable inductor </t>
  </si>
  <si>
    <t>US2768359</t>
  </si>
  <si>
    <t xml:space="preserve">Liquid sealed pump </t>
  </si>
  <si>
    <t>US2381823</t>
  </si>
  <si>
    <t xml:space="preserve">Flexible centrifuge bag and methods of use </t>
  </si>
  <si>
    <t>US7306741</t>
  </si>
  <si>
    <t xml:space="preserve">Seal </t>
  </si>
  <si>
    <t>US3093382</t>
  </si>
  <si>
    <t xml:space="preserve">Radiation analysis apparatus having an absorption chamber with partially reflective mirror surfaces </t>
  </si>
  <si>
    <t>US3588496</t>
  </si>
  <si>
    <t xml:space="preserve">Combination clothes washer and extractor </t>
  </si>
  <si>
    <t>US2498420</t>
  </si>
  <si>
    <t xml:space="preserve">Multi-angle self-leveling line generation </t>
  </si>
  <si>
    <t>US6829834</t>
  </si>
  <si>
    <t xml:space="preserve">Control circuit for an electronically commutated motor (ECM), method of timing the electronic commutation of an ECM, and method of operating an ECM </t>
  </si>
  <si>
    <t>US4491772</t>
  </si>
  <si>
    <t xml:space="preserve">Two-stage rotodynamic blood pump </t>
  </si>
  <si>
    <t>US2007253842</t>
  </si>
  <si>
    <t xml:space="preserve">Apparatus and method for modular dynamically power managed power supply and cooling system for computer systems, server applications, and other electronic devices </t>
  </si>
  <si>
    <t>US2009144568</t>
  </si>
  <si>
    <t xml:space="preserve">Operating system kernel-assisted, self-balanced, access-protected library framework in a run-to-completion multi-processor environment </t>
  </si>
  <si>
    <t>US2005125793</t>
  </si>
  <si>
    <t xml:space="preserve">Centrifugal pump with rotor thrust balancing seal </t>
  </si>
  <si>
    <t>US7775763</t>
  </si>
  <si>
    <t xml:space="preserve">Signal processors utilizing tuneable bandpass filters and trigger circuits </t>
  </si>
  <si>
    <t>US4158818</t>
  </si>
  <si>
    <t xml:space="preserve">Data recording system </t>
  </si>
  <si>
    <t>US2905520</t>
  </si>
  <si>
    <t xml:space="preserve">Multi-rotor flight shooting device </t>
  </si>
  <si>
    <t>CN104808680</t>
  </si>
  <si>
    <t xml:space="preserve">Regulated power supply having a series arrangement of inverters </t>
  </si>
  <si>
    <t>US4062057</t>
  </si>
  <si>
    <t xml:space="preserve">Pressure insensitive lip seal </t>
  </si>
  <si>
    <t>US4344631</t>
  </si>
  <si>
    <t xml:space="preserve">Multi pulse linear ionizer </t>
  </si>
  <si>
    <t>US2012224293</t>
  </si>
  <si>
    <t>EP0385286</t>
  </si>
  <si>
    <t xml:space="preserve">Building a Cloud Computing Environment Using a Seed Device in a Virtual Computing Infrastructure </t>
  </si>
  <si>
    <t>US2012110055</t>
  </si>
  <si>
    <t xml:space="preserve">Bicycle roller system </t>
  </si>
  <si>
    <t>US3905597</t>
  </si>
  <si>
    <t xml:space="preserve">Multi-server and multi-CPU power management system and method </t>
  </si>
  <si>
    <t>US2006248360</t>
  </si>
  <si>
    <t xml:space="preserve">X-y recorder having intercoupled cordpulley means for independently x-y drives </t>
  </si>
  <si>
    <t>US3360799</t>
  </si>
  <si>
    <t xml:space="preserve">Multirange recorder indicator </t>
  </si>
  <si>
    <t>US2637619</t>
  </si>
  <si>
    <t xml:space="preserve">High temperature probe </t>
  </si>
  <si>
    <t>US3138025</t>
  </si>
  <si>
    <t xml:space="preserve">Passive Microwave Assessment of Human Body Core to Surface Temperature Gradients and Basal Metabolic Rate </t>
  </si>
  <si>
    <t>US2012029369</t>
  </si>
  <si>
    <t xml:space="preserve">Integrated heat-supply and energy-saving system </t>
  </si>
  <si>
    <t>CN101886831</t>
  </si>
  <si>
    <t xml:space="preserve">Self-stabilising, directionally controllable vehicle with at least three wheels </t>
  </si>
  <si>
    <t>WO9534459</t>
  </si>
  <si>
    <t xml:space="preserve">Measuring instrument of the potentiometer type </t>
  </si>
  <si>
    <t>US2272914</t>
  </si>
  <si>
    <t xml:space="preserve">Conductivity, temperature and pressure measuring system </t>
  </si>
  <si>
    <t>US3926056</t>
  </si>
  <si>
    <t xml:space="preserve">Retaining ring </t>
  </si>
  <si>
    <t>US2416852</t>
  </si>
  <si>
    <t xml:space="preserve">Cable stressing and winding apparatus </t>
  </si>
  <si>
    <t>US3572596</t>
  </si>
  <si>
    <t xml:space="preserve">Weighing conveyors </t>
  </si>
  <si>
    <t>US2954969</t>
  </si>
  <si>
    <t xml:space="preserve">Symmetrical three-section voltage vector pulse width modulation method for three-level PWM rectifier </t>
  </si>
  <si>
    <t>CN101615853</t>
  </si>
  <si>
    <t xml:space="preserve">Patching press </t>
  </si>
  <si>
    <t>US3154009</t>
  </si>
  <si>
    <t xml:space="preserve">Apparatus, process and system for tube and whip rod heat exchanger </t>
  </si>
  <si>
    <t>US5953924</t>
  </si>
  <si>
    <t xml:space="preserve">Corona discharge loudspeaker </t>
  </si>
  <si>
    <t>GB2403372</t>
  </si>
  <si>
    <t xml:space="preserve">Ion-beam source </t>
  </si>
  <si>
    <t>US2009189083</t>
  </si>
  <si>
    <t xml:space="preserve">Self-Aspirated Reciprocating Internal Combustion Engine </t>
  </si>
  <si>
    <t>US2011146601</t>
  </si>
  <si>
    <t xml:space="preserve">Method and apparatus for neutron lifetime well logging </t>
  </si>
  <si>
    <t>US3379884</t>
  </si>
  <si>
    <t xml:space="preserve">Galvanometer </t>
  </si>
  <si>
    <t>US2368701</t>
  </si>
  <si>
    <t xml:space="preserve">Two-stage drying and incineration method for sludge </t>
  </si>
  <si>
    <t>CN103090396</t>
  </si>
  <si>
    <t xml:space="preserve">Plate heat exchanger and method for using the same </t>
  </si>
  <si>
    <t>US2004188060</t>
  </si>
  <si>
    <t xml:space="preserve">Axial flow pump/marine propeller </t>
  </si>
  <si>
    <t>EP0903835</t>
  </si>
  <si>
    <t xml:space="preserve">Centrifugation apparatus for containers of biological material </t>
  </si>
  <si>
    <t>US2011045958</t>
  </si>
  <si>
    <t xml:space="preserve">Wash system by recirculating pumping with self balanced centrifugal squeeze dry of laundry </t>
  </si>
  <si>
    <t>US5953939</t>
  </si>
  <si>
    <t xml:space="preserve">Velocity controlled forced air temperature control system </t>
  </si>
  <si>
    <t>US4732318</t>
  </si>
  <si>
    <t xml:space="preserve">Fluid measuring system </t>
  </si>
  <si>
    <t>US1993527</t>
  </si>
  <si>
    <t xml:space="preserve">Optimization control system for stable operation and economical combustion of circulating fluidized-bed boiler </t>
  </si>
  <si>
    <t>CN101556038</t>
  </si>
  <si>
    <t xml:space="preserve">Polycopter </t>
  </si>
  <si>
    <t>US3002712</t>
  </si>
  <si>
    <t xml:space="preserve">Antihunt electrical servomotor system </t>
  </si>
  <si>
    <t>US2426711</t>
  </si>
  <si>
    <t xml:space="preserve">Motorized Cycle </t>
  </si>
  <si>
    <t>US2008271938</t>
  </si>
  <si>
    <t xml:space="preserve">System and method for managing data stored in a data network </t>
  </si>
  <si>
    <t>US2010235409</t>
  </si>
  <si>
    <t xml:space="preserve">Object detection system </t>
  </si>
  <si>
    <t>US3493954</t>
  </si>
  <si>
    <t xml:space="preserve">Automatic control of nitrite addition in acid phosphate coating solutions </t>
  </si>
  <si>
    <t>US3401065</t>
  </si>
  <si>
    <t xml:space="preserve">Capacitance type liquid quantity gauge </t>
  </si>
  <si>
    <t>US2582400</t>
  </si>
  <si>
    <t xml:space="preserve">Acoustic logs </t>
  </si>
  <si>
    <t>US2908888</t>
  </si>
  <si>
    <t xml:space="preserve">Intrusion detection system </t>
  </si>
  <si>
    <t>US3184730</t>
  </si>
  <si>
    <t>US2010168848</t>
  </si>
  <si>
    <t xml:space="preserve">Electric induction furnace </t>
  </si>
  <si>
    <t>US1981631</t>
  </si>
  <si>
    <t xml:space="preserve">Steel plate-concrete composite structure reinforcement method of structural negative moment region </t>
  </si>
  <si>
    <t>CN102561213</t>
  </si>
  <si>
    <t xml:space="preserve">Insulated building structure and apparatus therefor </t>
  </si>
  <si>
    <t>US2011173913</t>
  </si>
  <si>
    <t>US2385481</t>
  </si>
  <si>
    <t xml:space="preserve">Vibratory ball mill system </t>
  </si>
  <si>
    <t>US3021082</t>
  </si>
  <si>
    <t xml:space="preserve">Multiple chamber rotating shaft seal with selective pressure reduction </t>
  </si>
  <si>
    <t>US2005206090</t>
  </si>
  <si>
    <t xml:space="preserve">Power inverter circuit </t>
  </si>
  <si>
    <t>US3815009</t>
  </si>
  <si>
    <t xml:space="preserve">Self-balanced quilting machine </t>
  </si>
  <si>
    <t>US1937491</t>
  </si>
  <si>
    <t xml:space="preserve">Compact self-balanced fluorescent lamp device </t>
  </si>
  <si>
    <t>JP2007227342</t>
  </si>
  <si>
    <t xml:space="preserve">Closure method of large-span continuous steel truss arch </t>
  </si>
  <si>
    <t>CN101117790</t>
  </si>
  <si>
    <t xml:space="preserve">Methods for closed-loop neural-machine interface systems for the control of wearable exoskeletons and prosthetic devices </t>
  </si>
  <si>
    <t>US2015012111</t>
  </si>
  <si>
    <t xml:space="preserve">Motorcycle sidecar </t>
  </si>
  <si>
    <t>US4385770</t>
  </si>
  <si>
    <t xml:space="preserve">System for balanced power and thermal management of mission critical environments </t>
  </si>
  <si>
    <t>US2014029196</t>
  </si>
  <si>
    <t xml:space="preserve">Small portable automatic gravity center control vehicle </t>
  </si>
  <si>
    <t>CN101920728</t>
  </si>
  <si>
    <t xml:space="preserve">Method of monitoring colored fluids </t>
  </si>
  <si>
    <t>US3062963</t>
  </si>
  <si>
    <t xml:space="preserve">Rigidity control system for variable rigidity structure </t>
  </si>
  <si>
    <t>US4964246</t>
  </si>
  <si>
    <t xml:space="preserve">Triaxial rheological test process and method for hard and crisp rock </t>
  </si>
  <si>
    <t>CN102128741</t>
  </si>
  <si>
    <t xml:space="preserve">Tuner for communications equipment </t>
  </si>
  <si>
    <t>US4590611</t>
  </si>
  <si>
    <t>US5768894</t>
  </si>
  <si>
    <t xml:space="preserve">Elastic element creep testing method and tester thereof </t>
  </si>
  <si>
    <t>CN1553162</t>
  </si>
  <si>
    <t xml:space="preserve">Crankshaft balancing machine </t>
  </si>
  <si>
    <t>US2787907</t>
  </si>
  <si>
    <t xml:space="preserve">AC/DC mixed type micro-grid system </t>
  </si>
  <si>
    <t>CN202651785</t>
  </si>
  <si>
    <t xml:space="preserve">Dynamically self-balanced fluid turbine </t>
  </si>
  <si>
    <t>US7682127</t>
  </si>
  <si>
    <t xml:space="preserve">Means for and method of dynamically balancing rotary machine parts </t>
  </si>
  <si>
    <t>US2285404</t>
  </si>
  <si>
    <t xml:space="preserve">HY type dry distillation furnace </t>
  </si>
  <si>
    <t>CN103923676</t>
  </si>
  <si>
    <t xml:space="preserve">Tool joint for drill pipes </t>
  </si>
  <si>
    <t>US4002359</t>
  </si>
  <si>
    <t xml:space="preserve">Microclimate cooling system for an indoor/outdoor stadium </t>
  </si>
  <si>
    <t>US8387315</t>
  </si>
  <si>
    <t xml:space="preserve">Micro-grid system based on various distributed power supplies and energy storage units </t>
  </si>
  <si>
    <t>CN202435048</t>
  </si>
  <si>
    <t xml:space="preserve">Self-balanced dual L-shaped socket </t>
  </si>
  <si>
    <t>US2007082513</t>
  </si>
  <si>
    <t xml:space="preserve">Reducing Power Consumption by Migration of Data within a Tiered Storage System </t>
  </si>
  <si>
    <t>US2013290598</t>
  </si>
  <si>
    <t xml:space="preserve">Glass cutting method which does not involve breaking </t>
  </si>
  <si>
    <t>CN1930097</t>
  </si>
  <si>
    <t xml:space="preserve">Alternating current diode loop capacitance measurement circuits </t>
  </si>
  <si>
    <t>US3271669</t>
  </si>
  <si>
    <t xml:space="preserve">Rotary vane piston devices with stationary spur gears and crankshaft hub bearings </t>
  </si>
  <si>
    <t>US3922118</t>
  </si>
  <si>
    <t xml:space="preserve">Magnetic recording and reproducing </t>
  </si>
  <si>
    <t>US2631855</t>
  </si>
  <si>
    <t xml:space="preserve">Dome structure </t>
  </si>
  <si>
    <t>US5067288</t>
  </si>
  <si>
    <t xml:space="preserve">Method for producing alkylated aromatic hydrocarbon </t>
  </si>
  <si>
    <t>CN102464559</t>
  </si>
  <si>
    <t xml:space="preserve">Power conversion system utilizing multiple stirling engine modules </t>
  </si>
  <si>
    <t>US4723411</t>
  </si>
  <si>
    <t xml:space="preserve">Digital reading impedance measuring arrangement </t>
  </si>
  <si>
    <t>US3445763</t>
  </si>
  <si>
    <t xml:space="preserve">PC video conferencing </t>
  </si>
  <si>
    <t>US5491508</t>
  </si>
  <si>
    <t xml:space="preserve">Self-propelled balancing three-wheeled vehicle </t>
  </si>
  <si>
    <t>US4998596</t>
  </si>
  <si>
    <t xml:space="preserve">System for indicating the liquid level in a continuous-casting mold or the like </t>
  </si>
  <si>
    <t>US3204460</t>
  </si>
  <si>
    <t xml:space="preserve">System and method for integrating and managing demand/response between alternative energy sources, grid power, and loads </t>
  </si>
  <si>
    <t>US2014285010</t>
  </si>
  <si>
    <t xml:space="preserve">Method and apparatus for electrospray ionization </t>
  </si>
  <si>
    <t>US6297499</t>
  </si>
  <si>
    <t xml:space="preserve">Self-compensating shaft seal </t>
  </si>
  <si>
    <t>US3179422</t>
  </si>
  <si>
    <t xml:space="preserve">Motor vehicle electric parking brake </t>
  </si>
  <si>
    <t>US5590744</t>
  </si>
  <si>
    <t xml:space="preserve">Method of forming concrete bodies </t>
  </si>
  <si>
    <t>US3396545</t>
  </si>
  <si>
    <t xml:space="preserve">Devices and methods for retaining a gastro-esophageal implant </t>
  </si>
  <si>
    <t>US7431725</t>
  </si>
  <si>
    <t xml:space="preserve">Rotary drill bit </t>
  </si>
  <si>
    <t>US4640374</t>
  </si>
  <si>
    <t xml:space="preserve">Analyzing return on investment of advertising campaigns by matching multiple data sources </t>
  </si>
  <si>
    <t>US7729940</t>
  </si>
  <si>
    <t xml:space="preserve">Self-locking automatically-releasing sash balance for removable sash windows </t>
  </si>
  <si>
    <t>US3197819</t>
  </si>
  <si>
    <t xml:space="preserve">Securities evaluator </t>
  </si>
  <si>
    <t>US3270190</t>
  </si>
  <si>
    <t xml:space="preserve">Subsurface signaling technique </t>
  </si>
  <si>
    <t>US3333239</t>
  </si>
  <si>
    <t>US7721125</t>
  </si>
  <si>
    <t xml:space="preserve">Heavy-duty self-locking sash balance </t>
  </si>
  <si>
    <t>US3611636</t>
  </si>
  <si>
    <t xml:space="preserve">Solar and wind energy converter </t>
  </si>
  <si>
    <t>US7851935</t>
  </si>
  <si>
    <t xml:space="preserve">System and method for controlling updates of a data structure </t>
  </si>
  <si>
    <t>US8898204</t>
  </si>
  <si>
    <t xml:space="preserve">Interferometers for optical coherence domain reflectometry and optical coherence tomography using nonreciprocal optical elements </t>
  </si>
  <si>
    <t>US6657727</t>
  </si>
  <si>
    <t xml:space="preserve">Methods and Apparatuses for Load Balancing in a Self-Organising Network </t>
  </si>
  <si>
    <t>US2016165478</t>
  </si>
  <si>
    <t xml:space="preserve">Multiple electrode plasma reactor power distribution system </t>
  </si>
  <si>
    <t>US4887005</t>
  </si>
  <si>
    <t xml:space="preserve">Extrusion apparatus </t>
  </si>
  <si>
    <t>US3577588</t>
  </si>
  <si>
    <t xml:space="preserve">Curing Composites Out-Of-Autoclave Using Induction Heating with Smart Susceptors </t>
  </si>
  <si>
    <t>US2012145703</t>
  </si>
  <si>
    <t xml:space="preserve">Robotic device </t>
  </si>
  <si>
    <t>US4683773</t>
  </si>
  <si>
    <t xml:space="preserve">Hydraulic machine with wedge-shaped swashplate </t>
  </si>
  <si>
    <t>US5423183</t>
  </si>
  <si>
    <t xml:space="preserve">Brake hub with floating rotor </t>
  </si>
  <si>
    <t>US6267210</t>
  </si>
  <si>
    <t xml:space="preserve">Pressure control system </t>
  </si>
  <si>
    <t>US3113582</t>
  </si>
  <si>
    <t xml:space="preserve">Self-leveling and balancing vehicle </t>
  </si>
  <si>
    <t>US7083013</t>
  </si>
  <si>
    <t xml:space="preserve">Systems and methods for self-loading balancing access gateways </t>
  </si>
  <si>
    <t>US2012059934</t>
  </si>
  <si>
    <t xml:space="preserve">Systems and methods for the destruction of adipose tissue </t>
  </si>
  <si>
    <t>US7993289</t>
  </si>
  <si>
    <t xml:space="preserve">Fluid retention principles for hydrodynamic bearings </t>
  </si>
  <si>
    <t>US5524986</t>
  </si>
  <si>
    <t xml:space="preserve">Thermal mass flowmetering </t>
  </si>
  <si>
    <t>US4464932</t>
  </si>
  <si>
    <t xml:space="preserve">Accessory adapter for motorized personal transporter </t>
  </si>
  <si>
    <t>US2007205241</t>
  </si>
  <si>
    <t xml:space="preserve">Apparatus for determining the weight and center of gravity of vehicles </t>
  </si>
  <si>
    <t>US2443098</t>
  </si>
  <si>
    <t xml:space="preserve">Hoist apparatus </t>
  </si>
  <si>
    <t>US6966544</t>
  </si>
  <si>
    <t xml:space="preserve">Two-wheel balance vehicle </t>
  </si>
  <si>
    <t>CN105129005</t>
  </si>
  <si>
    <t xml:space="preserve">Automatic network load balancing using self-replicating resources </t>
  </si>
  <si>
    <t>US2003167295</t>
  </si>
  <si>
    <t xml:space="preserve">Method and apparatus for computer-aided determination of viewer's gaze direction </t>
  </si>
  <si>
    <t>US7538744</t>
  </si>
  <si>
    <t xml:space="preserve">Engine crankshaft structure </t>
  </si>
  <si>
    <t>US4730512</t>
  </si>
  <si>
    <t xml:space="preserve">Multi-phase resonant converter and method of controlling it </t>
  </si>
  <si>
    <t>US2010328968</t>
  </si>
  <si>
    <t xml:space="preserve">Pharmaceutical dispensing system with coordinate guidance </t>
  </si>
  <si>
    <t>US2009187274</t>
  </si>
  <si>
    <t xml:space="preserve">Apparatus and method for plasma processing </t>
  </si>
  <si>
    <t>US2008122367</t>
  </si>
  <si>
    <t xml:space="preserve">System of measurement and/or control </t>
  </si>
  <si>
    <t>US2310955</t>
  </si>
  <si>
    <t xml:space="preserve">Liquid wheel balancing system </t>
  </si>
  <si>
    <t>US3463551</t>
  </si>
  <si>
    <t xml:space="preserve">â€œPullâ€ architecture contact center </t>
  </si>
  <si>
    <t>US7231034</t>
  </si>
  <si>
    <t xml:space="preserve">Pressure regulating with balancing means </t>
  </si>
  <si>
    <t>US3557831</t>
  </si>
  <si>
    <t xml:space="preserve">Adjusting Location of Tiered Storage Residence Based on Usage Patterns </t>
  </si>
  <si>
    <t>US2011010514</t>
  </si>
  <si>
    <t xml:space="preserve">Articulating arm for medical procedures </t>
  </si>
  <si>
    <t>US2005193451</t>
  </si>
  <si>
    <t xml:space="preserve">Compassion, Variety and Cohesion For Methods Of Text Analytics, Writing, Search, User Interfaces </t>
  </si>
  <si>
    <t>US2012166180</t>
  </si>
  <si>
    <t xml:space="preserve">Self-pressurizing pinch valve </t>
  </si>
  <si>
    <t>US4442954</t>
  </si>
  <si>
    <t xml:space="preserve">High pressure tubing coupler </t>
  </si>
  <si>
    <t>US4313828</t>
  </si>
  <si>
    <t xml:space="preserve">Automatic handling and assembly servosystem </t>
  </si>
  <si>
    <t>US3007097</t>
  </si>
  <si>
    <t xml:space="preserve">Load balancing method for a wireless area network </t>
  </si>
  <si>
    <t>US7940731</t>
  </si>
  <si>
    <t xml:space="preserve">Using consumer purchase behavior for television targeting </t>
  </si>
  <si>
    <t>US2011288907</t>
  </si>
  <si>
    <t xml:space="preserve">Sash guide and balancing spring lock unit for tiltably removable sash windows </t>
  </si>
  <si>
    <t>US3482354</t>
  </si>
  <si>
    <t xml:space="preserve">Computer-implemented system and method for handling stored data </t>
  </si>
  <si>
    <t>US2005102255</t>
  </si>
  <si>
    <t xml:space="preserve">Method for sub-cooling a normally gaseous hydrocarbon mixture </t>
  </si>
  <si>
    <t>US4727723</t>
  </si>
  <si>
    <t xml:space="preserve">Space-saving high-density modular data pod systems and energy-efficient cooling systems </t>
  </si>
  <si>
    <t>US8305757</t>
  </si>
  <si>
    <t xml:space="preserve">Data location obfuscation </t>
  </si>
  <si>
    <t>US2010106920</t>
  </si>
  <si>
    <t xml:space="preserve">Multiservice merchant gateway </t>
  </si>
  <si>
    <t>US7520430</t>
  </si>
  <si>
    <t xml:space="preserve">Battery charge balancing system having parallel switched energy storage elements </t>
  </si>
  <si>
    <t>US6064178</t>
  </si>
  <si>
    <t xml:space="preserve">Sash guiding and balancing apparatus for removable sashes </t>
  </si>
  <si>
    <t>US3524282</t>
  </si>
  <si>
    <t xml:space="preserve">Operation scheme with charge balancing erase for charge trapping non-volatile memory </t>
  </si>
  <si>
    <t>US7075828</t>
  </si>
  <si>
    <t xml:space="preserve">Operation scheme with charge balancing for charge trapping non-volatile memory </t>
  </si>
  <si>
    <t>US7133313</t>
  </si>
  <si>
    <t xml:space="preserve">Non-uniform system load balance method and apparatus for updating threshold of tasks according to estimated load fluctuation </t>
  </si>
  <si>
    <t>US6026425</t>
  </si>
  <si>
    <t xml:space="preserve">Flexible cable management system </t>
  </si>
  <si>
    <t>US6019323</t>
  </si>
  <si>
    <t xml:space="preserve">Dynamic Load Balancing In An Extended Self Optimizing Network </t>
  </si>
  <si>
    <t>US2011252477</t>
  </si>
  <si>
    <t xml:space="preserve">Washing apparatus for enclosed spaces </t>
  </si>
  <si>
    <t>US3416732</t>
  </si>
  <si>
    <t xml:space="preserve">Pricing apparatus for resolving energy imbalance requirements in real-time </t>
  </si>
  <si>
    <t>US2004010478</t>
  </si>
  <si>
    <t xml:space="preserve">Process for stabilizing the optical output power of light-emitting diodes and laser diodes </t>
  </si>
  <si>
    <t>US6807202</t>
  </si>
  <si>
    <t xml:space="preserve">Two-rotor engine </t>
  </si>
  <si>
    <t>US3985110</t>
  </si>
  <si>
    <t xml:space="preserve">Foldable four-axis multi-rotor wing aerocraft </t>
  </si>
  <si>
    <t>CN201367115</t>
  </si>
  <si>
    <t xml:space="preserve">Phase control in electrical transmission </t>
  </si>
  <si>
    <t>US2345933</t>
  </si>
  <si>
    <t xml:space="preserve">Analyzing return on investment of advertising campaigns using cross-correlation of multiple data sources </t>
  </si>
  <si>
    <t>US2010161492</t>
  </si>
  <si>
    <t xml:space="preserve">Operation scheme with high work function gate and charge balancing for charge trapping non-volatile memory </t>
  </si>
  <si>
    <t>US7164603</t>
  </si>
  <si>
    <t>US6361000</t>
  </si>
  <si>
    <t xml:space="preserve">Virtualization For Diversified Tamper Resistance </t>
  </si>
  <si>
    <t>US2008127125</t>
  </si>
  <si>
    <t xml:space="preserve">Lng expander cycle process employing integrated cryogenic purification </t>
  </si>
  <si>
    <t>US3724226</t>
  </si>
  <si>
    <t xml:space="preserve">Wick injection of liquids for colloidal propulsion </t>
  </si>
  <si>
    <t>US2003209005</t>
  </si>
  <si>
    <t xml:space="preserve">Linearizing offset cancelling white balancing and gamma correcting analog to digital converter for active pixel sensor imagers with self calibrating and self adjusting properties </t>
  </si>
  <si>
    <t>US5982318</t>
  </si>
  <si>
    <t xml:space="preserve">Compensated liquid quantity measuring apparatus </t>
  </si>
  <si>
    <t>US2866337</t>
  </si>
  <si>
    <t xml:space="preserve">Water balancing apparatus for horizontal axis and vertical axis laundry appliances </t>
  </si>
  <si>
    <t>US5582040</t>
  </si>
  <si>
    <t xml:space="preserve">Balancing skateboard </t>
  </si>
  <si>
    <t>US7083178</t>
  </si>
  <si>
    <t xml:space="preserve">Self-calibrating machines for balancing work pieces and methods of machine calibration </t>
  </si>
  <si>
    <t>US6595052</t>
  </si>
  <si>
    <t xml:space="preserve">Apparatus for indicating ballast changes necessary to maintain submersed submarines in trim </t>
  </si>
  <si>
    <t>US2579220</t>
  </si>
  <si>
    <t xml:space="preserve">System uses local registry and load balancing procedure for identifying processing capabilities of a remote device to perform a processing task </t>
  </si>
  <si>
    <t>US6314447</t>
  </si>
  <si>
    <t xml:space="preserve">Image viewing apparatus </t>
  </si>
  <si>
    <t>US4033683</t>
  </si>
  <si>
    <t xml:space="preserve">Facilitation of self-adjusting network uplink noise balancing </t>
  </si>
  <si>
    <t>US2015011222</t>
  </si>
  <si>
    <t xml:space="preserve">Assistive clothing </t>
  </si>
  <si>
    <t>US7918808</t>
  </si>
  <si>
    <t xml:space="preserve">Adaptive electronic hybrid transformer </t>
  </si>
  <si>
    <t>US3810182</t>
  </si>
  <si>
    <t xml:space="preserve">Dynamic load balancing using virtual controller instances </t>
  </si>
  <si>
    <t>US7684876</t>
  </si>
  <si>
    <t xml:space="preserve">Differential thermal analysis apparatus </t>
  </si>
  <si>
    <t>US3283560</t>
  </si>
  <si>
    <t xml:space="preserve">Stand </t>
  </si>
  <si>
    <t>WO9713997</t>
  </si>
  <si>
    <t xml:space="preserve">Electrochemical cell monitoring and balancing circuit with self-diagnostic feature </t>
  </si>
  <si>
    <t>US2012139553</t>
  </si>
  <si>
    <t xml:space="preserve">Dynamic load balancing method based on self-adapting prediction of network flow </t>
  </si>
  <si>
    <t>CN101695050</t>
  </si>
  <si>
    <t xml:space="preserve">Self-centering device for generally locking motor vehicle wheels on to balancing machine shafts </t>
  </si>
  <si>
    <t>US4188828</t>
  </si>
  <si>
    <t xml:space="preserve">Twin-propeller stern drive </t>
  </si>
  <si>
    <t>US3954083</t>
  </si>
  <si>
    <t xml:space="preserve">Multiple-recording instrument </t>
  </si>
  <si>
    <t>US2125345</t>
  </si>
  <si>
    <t xml:space="preserve">Balance control device of intelligent balance car and intelligent balance car </t>
  </si>
  <si>
    <t>CN203268232</t>
  </si>
  <si>
    <t xml:space="preserve">Self-stabilizing training wheels for a bicycle </t>
  </si>
  <si>
    <t>US5064213</t>
  </si>
  <si>
    <t xml:space="preserve">Damper control system for process heaters </t>
  </si>
  <si>
    <t>US3074644</t>
  </si>
  <si>
    <t xml:space="preserve">Electric motor positioning system </t>
  </si>
  <si>
    <t>US2692358</t>
  </si>
  <si>
    <t xml:space="preserve">Acyclic generator </t>
  </si>
  <si>
    <t>US3211936</t>
  </si>
  <si>
    <t xml:space="preserve">Method and apparatus for bipolar ion generation </t>
  </si>
  <si>
    <t>US7177133</t>
  </si>
  <si>
    <t xml:space="preserve">Self-configuration and automatic disk balancing of network attached storage devices </t>
  </si>
  <si>
    <t>US2006117132</t>
  </si>
  <si>
    <t xml:space="preserve">Elutriation apparatus and method for cleaning granules </t>
  </si>
  <si>
    <t>US5289921</t>
  </si>
  <si>
    <t xml:space="preserve">Self-calibrating data collection system for dynamic wheel balancing machine </t>
  </si>
  <si>
    <t>US4250555</t>
  </si>
  <si>
    <t xml:space="preserve">Grating spectrometers or analysers </t>
  </si>
  <si>
    <t>US3015984</t>
  </si>
  <si>
    <t xml:space="preserve">Method and means for testing materials </t>
  </si>
  <si>
    <t>US2316253</t>
  </si>
  <si>
    <t xml:space="preserve">High precision high rigidity closed type fluid static pressure / dynamic-static pressure rotary table </t>
  </si>
  <si>
    <t>CN101407024</t>
  </si>
  <si>
    <t xml:space="preserve">Special external pressure type straight pipe pressure equilibrium type corrugated pipe expansion node for coal gasification apparatus </t>
  </si>
  <si>
    <t>CN201129590</t>
  </si>
  <si>
    <t xml:space="preserve">Refractive index measurement of fluids </t>
  </si>
  <si>
    <t>US2569127</t>
  </si>
  <si>
    <t xml:space="preserve">Self-sharpening and balancing shears or scissors </t>
  </si>
  <si>
    <t>US1885754</t>
  </si>
  <si>
    <t>US2496860</t>
  </si>
  <si>
    <t xml:space="preserve">Audience reaction system </t>
  </si>
  <si>
    <t>US2712976</t>
  </si>
  <si>
    <t xml:space="preserve">Intelligent battery module and battery pack with automatic balance capability </t>
  </si>
  <si>
    <t>CN102655346</t>
  </si>
  <si>
    <t xml:space="preserve">Self-normaling jack barrel assembly with impedance balancing element </t>
  </si>
  <si>
    <t>US3360747</t>
  </si>
  <si>
    <t xml:space="preserve">Low-Cost Minimal-Loss Flywheel Battery </t>
  </si>
  <si>
    <t>US2010283340</t>
  </si>
  <si>
    <t xml:space="preserve">System and method for scheduling routing table calculation in link state routing protocols </t>
  </si>
  <si>
    <t>US2008062862</t>
  </si>
  <si>
    <t xml:space="preserve">Self-locking sash balance </t>
  </si>
  <si>
    <t>US2796630</t>
  </si>
  <si>
    <t xml:space="preserve">Method and apparatus for radioactivity well-logging </t>
  </si>
  <si>
    <t>US2776378</t>
  </si>
  <si>
    <t xml:space="preserve">Phase-change heat transfer system </t>
  </si>
  <si>
    <t>US4341202</t>
  </si>
  <si>
    <t xml:space="preserve">Electrospray air sampler </t>
  </si>
  <si>
    <t>US2004023411</t>
  </si>
  <si>
    <t xml:space="preserve">Integrated multi-level inverter assembly </t>
  </si>
  <si>
    <t>US6700804</t>
  </si>
  <si>
    <t xml:space="preserve">Mechanical seal with controlled leakage </t>
  </si>
  <si>
    <t>US3085808</t>
  </si>
  <si>
    <t xml:space="preserve">Dishwashing machine, preferably for home use, with an improved architecture </t>
  </si>
  <si>
    <t>US6622740</t>
  </si>
  <si>
    <t>US2209369</t>
  </si>
  <si>
    <t xml:space="preserve">Traverser and components therefor </t>
  </si>
  <si>
    <t>US4319722</t>
  </si>
  <si>
    <t xml:space="preserve">Electric motor driven traversing balancer hoist </t>
  </si>
  <si>
    <t>US2006226106</t>
  </si>
  <si>
    <t xml:space="preserve">Talking moving picture system </t>
  </si>
  <si>
    <t>US1850130</t>
  </si>
  <si>
    <t xml:space="preserve">Fluid analyzer for control system </t>
  </si>
  <si>
    <t>US3108929</t>
  </si>
  <si>
    <t xml:space="preserve">Self-compensating balance spring for a mechanical oscillator of a balance-spring/balance assembly of a watch movement and process for manufacturing this balance-spring </t>
  </si>
  <si>
    <t>US5881026</t>
  </si>
  <si>
    <t xml:space="preserve">Helical taper induced vortical flow turbine </t>
  </si>
  <si>
    <t>US2007258806</t>
  </si>
  <si>
    <t xml:space="preserve">Self-adaptation adjustment method of load balancing information interaction periodicity </t>
  </si>
  <si>
    <t>CN101600226</t>
  </si>
  <si>
    <t xml:space="preserve">DMA engine for protocol processing </t>
  </si>
  <si>
    <t>US2006206635</t>
  </si>
  <si>
    <t xml:space="preserve">Apparatus for dynamical balancing of rotating objects and method for making same </t>
  </si>
  <si>
    <t>US5142936</t>
  </si>
  <si>
    <t xml:space="preserve">Self-adaptation balancing apparatus for SDH transmission system circuit attenuation compensation </t>
  </si>
  <si>
    <t>CN1553588</t>
  </si>
  <si>
    <t xml:space="preserve">Self locking ergonomic support assembly for optical devices </t>
  </si>
  <si>
    <t>US2005201744</t>
  </si>
  <si>
    <t xml:space="preserve">Multi-degree-of-freedom test stand for unmanned air vehicles </t>
  </si>
  <si>
    <t>US8353199</t>
  </si>
  <si>
    <t xml:space="preserve">Self-adjusting load balancing pneumatic hoist </t>
  </si>
  <si>
    <t>US3894476</t>
  </si>
  <si>
    <t xml:space="preserve">Massaging device </t>
  </si>
  <si>
    <t>US2964037</t>
  </si>
  <si>
    <t xml:space="preserve">Totalizing liquid level gauge </t>
  </si>
  <si>
    <t>US2537498</t>
  </si>
  <si>
    <t xml:space="preserve">Top cover attachable fluid dynamic bearing motor </t>
  </si>
  <si>
    <t>US6917130</t>
  </si>
  <si>
    <t xml:space="preserve">Cardiac pacemaker </t>
  </si>
  <si>
    <t>US4867163</t>
  </si>
  <si>
    <t xml:space="preserve">Power Generating Windbags and Waterbags </t>
  </si>
  <si>
    <t>US2013307274</t>
  </si>
  <si>
    <t xml:space="preserve">Self-adjusting counter-balance </t>
  </si>
  <si>
    <t>US414642</t>
  </si>
  <si>
    <t xml:space="preserve">Method and device for typing thinking styles </t>
  </si>
  <si>
    <t>US5871211</t>
  </si>
  <si>
    <t xml:space="preserve">Self-adaptive load balancing method for Reduce ends in parallel computing framework </t>
  </si>
  <si>
    <t>CN102629219</t>
  </si>
  <si>
    <t xml:space="preserve">Built-in antenna for radio communication terminal </t>
  </si>
  <si>
    <t>US6987485</t>
  </si>
  <si>
    <t xml:space="preserve">Efficiencies for piston engines or machines </t>
  </si>
  <si>
    <t>US7328682</t>
  </si>
  <si>
    <t xml:space="preserve">Two-cycle, air-cooled uniflow gasoline engine for powering a portable tool </t>
  </si>
  <si>
    <t>US5383427</t>
  </si>
  <si>
    <t xml:space="preserve">Voltage compensated active cell balancing </t>
  </si>
  <si>
    <t>US2014306662</t>
  </si>
  <si>
    <t xml:space="preserve">System and method for balancing a computing load among computing resources in a distributed computing problem </t>
  </si>
  <si>
    <t>US7590984</t>
  </si>
  <si>
    <t xml:space="preserve">Three dimensional implant surgery planning system based on optimum balance of morphologic evaluation and functional evaluation </t>
  </si>
  <si>
    <t>JP2006263241</t>
  </si>
  <si>
    <t xml:space="preserve">Tuerscharnier for household appliances </t>
  </si>
  <si>
    <t>DE4105274</t>
  </si>
  <si>
    <t xml:space="preserve">Hydrogen G-cycle rotary internal combustion engine </t>
  </si>
  <si>
    <t>US7707987</t>
  </si>
  <si>
    <t xml:space="preserve">Built-in antenna of wireless communication terminal </t>
  </si>
  <si>
    <t>EP1154513</t>
  </si>
  <si>
    <t xml:space="preserve">Audio frequency amplifier </t>
  </si>
  <si>
    <t>US2887532</t>
  </si>
  <si>
    <t xml:space="preserve">Box spring assembly with interlocked formed wire spring components having limited deflection capabilities </t>
  </si>
  <si>
    <t>US4398705</t>
  </si>
  <si>
    <t xml:space="preserve">Method of controlling an electric motor driving a centrifugal pump </t>
  </si>
  <si>
    <t>EP0584713</t>
  </si>
  <si>
    <t xml:space="preserve">Fully automatic weightless self-compensating balance calibrator </t>
  </si>
  <si>
    <t>CN2385330</t>
  </si>
  <si>
    <t xml:space="preserve">Improved browning control </t>
  </si>
  <si>
    <t>WO03011090</t>
  </si>
  <si>
    <t xml:space="preserve">Systems and methods for traffic load balancing on multiple wan backhauls and multiple distinct lan networks </t>
  </si>
  <si>
    <t>US2015016260</t>
  </si>
  <si>
    <t xml:space="preserve">Wind turbine blade inspection and cleaning system </t>
  </si>
  <si>
    <t>US2010132137</t>
  </si>
  <si>
    <t xml:space="preserve">Server load balancing system, server load balancing device, and content management device </t>
  </si>
  <si>
    <t>US2003172163</t>
  </si>
  <si>
    <t xml:space="preserve">Self-locking automatically-releasing sash balance for tiltably-removable sliding sash windows </t>
  </si>
  <si>
    <t>US4271631</t>
  </si>
  <si>
    <t xml:space="preserve">Pressure responsive device </t>
  </si>
  <si>
    <t>US3256740</t>
  </si>
  <si>
    <t xml:space="preserve">Protection circuit of power lithium ion batteries </t>
  </si>
  <si>
    <t>CN201623470</t>
  </si>
  <si>
    <t xml:space="preserve">Self-contained power chuck with centrifugally balanced jaws </t>
  </si>
  <si>
    <t>US4009888</t>
  </si>
  <si>
    <t xml:space="preserve">Application-independent and component-isolated system and system of systems framework </t>
  </si>
  <si>
    <t>US8078357</t>
  </si>
  <si>
    <t xml:space="preserve">Working device setted on one place and engineering machinery using it </t>
  </si>
  <si>
    <t>CN1831253</t>
  </si>
  <si>
    <t>US2747219</t>
  </si>
  <si>
    <t xml:space="preserve">Electric balance swingcar </t>
  </si>
  <si>
    <t>CN104029769</t>
  </si>
  <si>
    <t xml:space="preserve">Dynamic load balancing resource allocation </t>
  </si>
  <si>
    <t>US2005055694</t>
  </si>
  <si>
    <t xml:space="preserve">Device and user interface for visualizing, navigating, and manipulating hierarchically structured information on host electronic devices </t>
  </si>
  <si>
    <t>US9007302</t>
  </si>
  <si>
    <t xml:space="preserve">Method and apparatus for priority-based load balancing for use in an extended local area network </t>
  </si>
  <si>
    <t>US2003193959</t>
  </si>
  <si>
    <t xml:space="preserve">TDS-OFDM receiver self-adaptive channel estimation balancing method and system </t>
  </si>
  <si>
    <t>CN1677908</t>
  </si>
  <si>
    <t>US2791795</t>
  </si>
  <si>
    <t xml:space="preserve">Combined self-assembling/disassembling balance-weight device </t>
  </si>
  <si>
    <t>CN1569606</t>
  </si>
  <si>
    <t xml:space="preserve">Single balanced self-oscillating dual gate FET mixer </t>
  </si>
  <si>
    <t>US4658440</t>
  </si>
  <si>
    <t xml:space="preserve">Delta modulator having low-level random noise characteristic </t>
  </si>
  <si>
    <t>US3855555</t>
  </si>
  <si>
    <t xml:space="preserve">Self-processing integrated damage assessment sensor for structural health monitoring </t>
  </si>
  <si>
    <t>US2005114045</t>
  </si>
  <si>
    <t xml:space="preserve">Stiff metal hub for an energy storage rotor </t>
  </si>
  <si>
    <t>US6817266</t>
  </si>
  <si>
    <t xml:space="preserve">Apparatus for detecting surface flaws in cylindrical articles by means of asymmetric magnetic detection </t>
  </si>
  <si>
    <t>US5532591</t>
  </si>
  <si>
    <t xml:space="preserve">Electrical connector assembly and method of making </t>
  </si>
  <si>
    <t>US4780093</t>
  </si>
  <si>
    <t xml:space="preserve">Method and apparatus for determination of surface areas </t>
  </si>
  <si>
    <t>US2960870</t>
  </si>
  <si>
    <t xml:space="preserve">Brake disk and balance weight combination </t>
  </si>
  <si>
    <t>US3366202</t>
  </si>
  <si>
    <t xml:space="preserve">Software virtual machine for acceleration of transactional data processing </t>
  </si>
  <si>
    <t>US2012324447</t>
  </si>
  <si>
    <t xml:space="preserve">Combined viscosity pump and electric motor </t>
  </si>
  <si>
    <t>US3794447</t>
  </si>
  <si>
    <t xml:space="preserve">Constant temperature anemometer </t>
  </si>
  <si>
    <t>US5069066</t>
  </si>
  <si>
    <t xml:space="preserve">Apparatus for balancing bodies of revolution </t>
  </si>
  <si>
    <t>US4295386</t>
  </si>
  <si>
    <t xml:space="preserve">Method And System For Balancing Host Write Operations And Cache Flushing </t>
  </si>
  <si>
    <t>US2009172286</t>
  </si>
  <si>
    <t xml:space="preserve">Swim fin with self-adjusting hydrofoil blades </t>
  </si>
  <si>
    <t>US5536190</t>
  </si>
  <si>
    <t xml:space="preserve">Self-sealing coupling </t>
  </si>
  <si>
    <t>US3215161</t>
  </si>
  <si>
    <t xml:space="preserve">Self-driven carriage </t>
  </si>
  <si>
    <t>US3680653</t>
  </si>
  <si>
    <t xml:space="preserve">Apparatus and method for non-symmetric magnetic field balancing in an inspection scanner </t>
  </si>
  <si>
    <t>US7327137</t>
  </si>
  <si>
    <t xml:space="preserve">Dynamic server switching for maximum server availability and load balancing </t>
  </si>
  <si>
    <t>US5828847</t>
  </si>
  <si>
    <t xml:space="preserve">Directional heat loss anemometer transducer </t>
  </si>
  <si>
    <t>US4279147</t>
  </si>
  <si>
    <t xml:space="preserve">System and Method of Cell Block Voltage Analytics to Improve Balancing Effectiveness and Identify Self-discharge Rate </t>
  </si>
  <si>
    <t>US2015037624</t>
  </si>
  <si>
    <t xml:space="preserve">Server blade for performing load balancing functions </t>
  </si>
  <si>
    <t>US7032037</t>
  </si>
  <si>
    <t xml:space="preserve">Method for load balancing in a network switch </t>
  </si>
  <si>
    <t>US6952401</t>
  </si>
  <si>
    <t xml:space="preserve">Method and apparatus for self-organizing node groups on a network </t>
  </si>
  <si>
    <t>US7461130</t>
  </si>
  <si>
    <t xml:space="preserve">Aircraft weight and center of gravity determination system which includes alarm,self-checking,and fault override circuitry </t>
  </si>
  <si>
    <t>US3584503</t>
  </si>
  <si>
    <t xml:space="preserve">Self-pressure-balanced hydrodynamic bearing spindle motor </t>
  </si>
  <si>
    <t>US5847479</t>
  </si>
  <si>
    <t xml:space="preserve">Multitrack curve-tilting vehicle, and method for tilting a vehicle </t>
  </si>
  <si>
    <t>US2007193803</t>
  </si>
  <si>
    <t xml:space="preserve">Ultra-high frequency self-sustaining oscillators, coupled oscillators, voltage-controlled oscillators, and oscillator arrays based on vibrating nanoelectromechanical resonators </t>
  </si>
  <si>
    <t>US7724103</t>
  </si>
  <si>
    <t xml:space="preserve">System for balancing a plurality of battery pack system modules connected in series </t>
  </si>
  <si>
    <t>US7880434</t>
  </si>
  <si>
    <t xml:space="preserve">Method for balancing lithium secondary cells and modules </t>
  </si>
  <si>
    <t>US2008309288</t>
  </si>
  <si>
    <t xml:space="preserve">Device For White Balancing And Appying An Anti-Fog Agent To Medical Videoscopes Prior To Medical Procedures </t>
  </si>
  <si>
    <t>US2008161646</t>
  </si>
  <si>
    <t xml:space="preserve">Thrust balancing and entrapment control means for screw type compressors and similardevices </t>
  </si>
  <si>
    <t>US3275226</t>
  </si>
  <si>
    <t xml:space="preserve">Self-adjusting echo canceller </t>
  </si>
  <si>
    <t>US3535473</t>
  </si>
  <si>
    <t xml:space="preserve">System for the optical automatic and autonomous guiding of self-rotating missiles </t>
  </si>
  <si>
    <t>US3642233</t>
  </si>
  <si>
    <t xml:space="preserve">Thermal dynamic balancer </t>
  </si>
  <si>
    <t>US6089464</t>
  </si>
  <si>
    <t xml:space="preserve">Hardware level generated interrupts indicating load balancing status for a node in a virtualized computing environment </t>
  </si>
  <si>
    <t>US2014317265</t>
  </si>
  <si>
    <t xml:space="preserve">Balancing and leakage device for centrifugal pumps </t>
  </si>
  <si>
    <t>US2221225</t>
  </si>
  <si>
    <t xml:space="preserve">Method and apparatus for balancing an electrostatic force produced by an electrostatic chuck </t>
  </si>
  <si>
    <t>US5764471</t>
  </si>
  <si>
    <t xml:space="preserve">Method and apparatus for balancing rotatable members </t>
  </si>
  <si>
    <t>US5046361</t>
  </si>
  <si>
    <t xml:space="preserve">Self-organizing ims network and method for organizing and maintaining sessions </t>
  </si>
  <si>
    <t>US2012042084</t>
  </si>
  <si>
    <t xml:space="preserve">Optimal policies for load balancing for distributed and strategic agents (more technically, optimal coordination mechanisms for machine scheduling) </t>
  </si>
  <si>
    <t>US2009007101</t>
  </si>
  <si>
    <t xml:space="preserve">Bicycle training aid with dynamically deployable balancing features </t>
  </si>
  <si>
    <t>US2008029994</t>
  </si>
  <si>
    <t xml:space="preserve">Self-energizing vehicular brake system with electronically actuated hydraulic balance forces </t>
  </si>
  <si>
    <t>US5390986</t>
  </si>
  <si>
    <t xml:space="preserve">Self-describing components within a software catalog </t>
  </si>
  <si>
    <t>US6564377</t>
  </si>
  <si>
    <t xml:space="preserve">Primary side current balancing scheme for multiple CCF lamp operation </t>
  </si>
  <si>
    <t>US2005225261</t>
  </si>
  <si>
    <t xml:space="preserve">Global server load balancing support for private VIP addresses </t>
  </si>
  <si>
    <t>US2010095008</t>
  </si>
  <si>
    <t xml:space="preserve">Securing means </t>
  </si>
  <si>
    <t>US2382947</t>
  </si>
  <si>
    <t xml:space="preserve">Hydrofoil watercraft </t>
  </si>
  <si>
    <t>US3459146</t>
  </si>
  <si>
    <t xml:space="preserve">Apparatus for balancing an asymmetrical load </t>
  </si>
  <si>
    <t>US4177508</t>
  </si>
  <si>
    <t xml:space="preserve">Device and Method for Balancing Charge Between the Individual Cells of a Double-layer Capacitor </t>
  </si>
  <si>
    <t>US2008252266</t>
  </si>
  <si>
    <t xml:space="preserve">Directional thermal anemometer transducer </t>
  </si>
  <si>
    <t>US4920793</t>
  </si>
  <si>
    <t>US4936144</t>
  </si>
  <si>
    <t xml:space="preserve">Apparatus for balancing a rotary member </t>
  </si>
  <si>
    <t>US5676025</t>
  </si>
  <si>
    <t xml:space="preserve">Apparatuses and methods for multi-channel signal compression during desired voice activity detection </t>
  </si>
  <si>
    <t>US2014278383</t>
  </si>
  <si>
    <t xml:space="preserve">Dynamic modification of contention-based transmission control parameters achieving load balancing scheme in wireless mesh networks </t>
  </si>
  <si>
    <t>US7978725</t>
  </si>
  <si>
    <t xml:space="preserve">System and method for a self organizing network </t>
  </si>
  <si>
    <t>US2010299419</t>
  </si>
  <si>
    <t xml:space="preserve">Balancing board </t>
  </si>
  <si>
    <t>US4911440</t>
  </si>
  <si>
    <t xml:space="preserve">Method of balancing rotating objects </t>
  </si>
  <si>
    <t>US2193734</t>
  </si>
  <si>
    <t xml:space="preserve">Series-connected rechargeable cells, series-connected rechargeable cell device, voltage-balance correcting circuit for series-connected cells </t>
  </si>
  <si>
    <t>US2009278496</t>
  </si>
  <si>
    <t xml:space="preserve">Disk drive apparatus having improved auto-balancing unit </t>
  </si>
  <si>
    <t>US6477001</t>
  </si>
  <si>
    <t xml:space="preserve">Method and apparatus for self organized network </t>
  </si>
  <si>
    <t>US2011105139</t>
  </si>
  <si>
    <t xml:space="preserve">Metrology antenna system utilizing two-port, sleeve dipole and non-radiating balancing network </t>
  </si>
  <si>
    <t>US6657601</t>
  </si>
  <si>
    <t xml:space="preserve">Automatically Balancing Register for HVAC Systems </t>
  </si>
  <si>
    <t>US2010163633</t>
  </si>
  <si>
    <t xml:space="preserve">Dynamic Routing and Load Balancing Packet Distribution with a Software Factory </t>
  </si>
  <si>
    <t>US2009043631</t>
  </si>
  <si>
    <t xml:space="preserve">Bio memory disc and bio memory disc drive apparatus, and assay method using the same </t>
  </si>
  <si>
    <t>US2009253130</t>
  </si>
  <si>
    <t xml:space="preserve">Method For Balancing Resource Sharing And Application Latency Within A Data Processing System </t>
  </si>
  <si>
    <t>US2008034370</t>
  </si>
  <si>
    <t xml:space="preserve">Method and apparatus for creating a dynamically reconfigurable energy storage device </t>
  </si>
  <si>
    <t>US2014312828</t>
  </si>
  <si>
    <t xml:space="preserve">Load Balancing Web Service by Rejecting Connections </t>
  </si>
  <si>
    <t>US2011161980</t>
  </si>
  <si>
    <t xml:space="preserve">Energy advisory and transaction management services for self-serving retail electricity providers </t>
  </si>
  <si>
    <t>US2005004858</t>
  </si>
  <si>
    <t xml:space="preserve">Tyre self-sealing device for the wheel of a vehicle </t>
  </si>
  <si>
    <t>US2005205182</t>
  </si>
  <si>
    <t xml:space="preserve">Coordination Processing Method and Device for Self Organizing Operation and Communication System </t>
  </si>
  <si>
    <t>US2012213057</t>
  </si>
  <si>
    <t xml:space="preserve">Systems and methods for auto-balancing of throughput in a real-time event-driven system </t>
  </si>
  <si>
    <t>US8522241</t>
  </si>
  <si>
    <t xml:space="preserve">Hybrid Networking Path Selection and Load Balancing to Provide Robust High Bandwidth Availability in Home Networks </t>
  </si>
  <si>
    <t>US2013128738</t>
  </si>
  <si>
    <t xml:space="preserve">Distributed type dynamic cache expanding method and system supporting load balancing </t>
  </si>
  <si>
    <t>CN102244685</t>
  </si>
  <si>
    <t xml:space="preserve">Battery cell balancing system and method </t>
  </si>
  <si>
    <t>US8896315</t>
  </si>
  <si>
    <t xml:space="preserve">Auto balancing duplexer for communication lines </t>
  </si>
  <si>
    <t>US4320498</t>
  </si>
  <si>
    <t xml:space="preserve">Fluid balancing systems and methods </t>
  </si>
  <si>
    <t>US9115708</t>
  </si>
  <si>
    <t xml:space="preserve">Mountable eddy current sensor for in-situ remote detection of surface and sub-surface fatigue cracks </t>
  </si>
  <si>
    <t>US8013600</t>
  </si>
  <si>
    <t xml:space="preserve">Flexible two-wheel self-balance robot system and motion control method thereof </t>
  </si>
  <si>
    <t>CN101554726</t>
  </si>
  <si>
    <t xml:space="preserve">Dynamic balancing mobile robot </t>
  </si>
  <si>
    <t>US7847504</t>
  </si>
  <si>
    <t>WO2009143377</t>
  </si>
  <si>
    <t xml:space="preserve">Single-wheel self-balancing robot system </t>
  </si>
  <si>
    <t>CN102445944</t>
  </si>
  <si>
    <t xml:space="preserve">A two-wheeled self-balance robot self-adaptive sliding mode changing structure control method and system </t>
  </si>
  <si>
    <t>CN105116729</t>
  </si>
  <si>
    <t xml:space="preserve">Single-wheel robot capable of realizing self balance </t>
  </si>
  <si>
    <t>CN102520720</t>
  </si>
  <si>
    <t>CN202351703</t>
  </si>
  <si>
    <t xml:space="preserve">Single-foot self-balance robot </t>
  </si>
  <si>
    <t>CN203838557</t>
  </si>
  <si>
    <t xml:space="preserve">Multi-terrain self-balancing two-wheel car </t>
  </si>
  <si>
    <t>CN103112510</t>
  </si>
  <si>
    <t xml:space="preserve">Self-balancing manned solowheel based on inertia balance wheel </t>
  </si>
  <si>
    <t>CN102815357</t>
  </si>
  <si>
    <t xml:space="preserve">Desktop type double-wheel self-balancing robot </t>
  </si>
  <si>
    <t>CN103170962</t>
  </si>
  <si>
    <t xml:space="preserve">Flexible two-wheel self-balance robot </t>
  </si>
  <si>
    <t>CN201525024</t>
  </si>
  <si>
    <t xml:space="preserve">Operation control device for leg-type mobile robot and operation control method, and robot device </t>
  </si>
  <si>
    <t>US7386364</t>
  </si>
  <si>
    <t xml:space="preserve">Hybrid mobile robot </t>
  </si>
  <si>
    <t>US2011040427</t>
  </si>
  <si>
    <t xml:space="preserve">Self-balancing robot </t>
  </si>
  <si>
    <t>CN202847850</t>
  </si>
  <si>
    <t xml:space="preserve">Robot control system based on double-wheel self-balance gravity inductive control </t>
  </si>
  <si>
    <t>CN103192394</t>
  </si>
  <si>
    <t xml:space="preserve">Small-sized self-balance robot gesture simulator </t>
  </si>
  <si>
    <t>CN103744297</t>
  </si>
  <si>
    <t xml:space="preserve">Self-balancing mobile robot on the bulbs </t>
  </si>
  <si>
    <t>CN108415429</t>
  </si>
  <si>
    <t xml:space="preserve">One-wheel robot capable of being self-balanced </t>
  </si>
  <si>
    <t>CN202362674</t>
  </si>
  <si>
    <t xml:space="preserve">Fast Convergence species complementary filter based on improved self-balancing method of the mobile robot posture </t>
  </si>
  <si>
    <t>CN105300381</t>
  </si>
  <si>
    <t xml:space="preserve">Two -wheeled self -balancing car based on outside intelligent device APP control </t>
  </si>
  <si>
    <t>CN205113575</t>
  </si>
  <si>
    <t xml:space="preserve">Mobile robot control system based on smart phone </t>
  </si>
  <si>
    <t>CN105611053</t>
  </si>
  <si>
    <t xml:space="preserve">Unicycle robot with function of self-balancing realization </t>
  </si>
  <si>
    <t>CN103645735</t>
  </si>
  <si>
    <t xml:space="preserve">Mobile robot with hydraulic mechanism </t>
  </si>
  <si>
    <t>US8102134</t>
  </si>
  <si>
    <t xml:space="preserve">Control device of legged mobile robot </t>
  </si>
  <si>
    <t>US2006106495</t>
  </si>
  <si>
    <t xml:space="preserve">Robot system </t>
  </si>
  <si>
    <t>US7082350</t>
  </si>
  <si>
    <t xml:space="preserve">Coaxial double-wheel self-balanced orchard pesticide spraying robot based on WiFi control </t>
  </si>
  <si>
    <t>CN204273018</t>
  </si>
  <si>
    <t xml:space="preserve">Mobile robot systems and methods </t>
  </si>
  <si>
    <t>US8122982</t>
  </si>
  <si>
    <t xml:space="preserve">Self-operated dynamically balancing movable robot </t>
  </si>
  <si>
    <t>CN100421882</t>
  </si>
  <si>
    <t xml:space="preserve">Self-balancing manned unicycle system </t>
  </si>
  <si>
    <t>CN201907604</t>
  </si>
  <si>
    <t xml:space="preserve">Self-balance control method of movable type inverted pendulum system and self-balance vehicle intelligent control system </t>
  </si>
  <si>
    <t>CN103753557</t>
  </si>
  <si>
    <t xml:space="preserve">Automatic balancing device </t>
  </si>
  <si>
    <t>CN201736232</t>
  </si>
  <si>
    <t xml:space="preserve">Self-navigation robot system </t>
  </si>
  <si>
    <t>CN102478657</t>
  </si>
  <si>
    <t xml:space="preserve">Mobile robot platform </t>
  </si>
  <si>
    <t>US7348747</t>
  </si>
  <si>
    <t xml:space="preserve">A one- time limited self-balancing robot control method </t>
  </si>
  <si>
    <t>CN104749955</t>
  </si>
  <si>
    <t xml:space="preserve">Two-wheeled mobile robot auto-control system </t>
  </si>
  <si>
    <t>CN104699092</t>
  </si>
  <si>
    <t xml:space="preserve">Self-balancing unicycle robot control method based on an event trigger mechanism for a limited time </t>
  </si>
  <si>
    <t>CN105159086</t>
  </si>
  <si>
    <t xml:space="preserve">Mobile robot capable of jumping </t>
  </si>
  <si>
    <t>CN103273477</t>
  </si>
  <si>
    <t xml:space="preserve">Companion robot for personal interaction </t>
  </si>
  <si>
    <t>US7957837</t>
  </si>
  <si>
    <t xml:space="preserve">Intrinsic motivation based self-cognition system for motion balance robot and control method </t>
  </si>
  <si>
    <t>CN104992059</t>
  </si>
  <si>
    <t xml:space="preserve">Control device for legged mobile robot </t>
  </si>
  <si>
    <t>US2006247799</t>
  </si>
  <si>
    <t xml:space="preserve">Balancing device, method and two-wheeled robot </t>
  </si>
  <si>
    <t>CN101980094</t>
  </si>
  <si>
    <t xml:space="preserve">Running control system for mobile robot provided with multiple sensor information integration system </t>
  </si>
  <si>
    <t>US5400244</t>
  </si>
  <si>
    <t xml:space="preserve">Power balance digitization automatic control oil pumping method and oil extraction robot </t>
  </si>
  <si>
    <t>CN104612631</t>
  </si>
  <si>
    <t xml:space="preserve">Unicycle robot capable of achieving self balancing </t>
  </si>
  <si>
    <t>CN203732988</t>
  </si>
  <si>
    <t xml:space="preserve">Kind of two-wheeled self-balancing vehicle and method </t>
  </si>
  <si>
    <t>CN105947041</t>
  </si>
  <si>
    <t xml:space="preserve">Omnidirectional intelligent mobile robot capable of automatically balancing lifting chassis </t>
  </si>
  <si>
    <t>CN105059410</t>
  </si>
  <si>
    <t xml:space="preserve">Self-adaptive fuzzy balance controller for two-wheeled robot </t>
  </si>
  <si>
    <t>CN104298113</t>
  </si>
  <si>
    <t xml:space="preserve">Robot with self-erecting mechanism </t>
  </si>
  <si>
    <t>KR101210591</t>
  </si>
  <si>
    <t xml:space="preserve">Self-weight balancing two-wheel robot for smart home </t>
  </si>
  <si>
    <t>CN204462849</t>
  </si>
  <si>
    <t xml:space="preserve">Weeding robot with adjustable center of gravity for paddy fields </t>
  </si>
  <si>
    <t>CN102696294</t>
  </si>
  <si>
    <t xml:space="preserve">Controller of legged mobile robot </t>
  </si>
  <si>
    <t>US6969965</t>
  </si>
  <si>
    <t xml:space="preserve">Sports inverted pendulum control signal processing methods and intelligent self-balancing vehicle signal control system </t>
  </si>
  <si>
    <t>CN103792946</t>
  </si>
  <si>
    <t xml:space="preserve">Monomer automatic transformable robot with self-assembly characteristic </t>
  </si>
  <si>
    <t>CN101549494</t>
  </si>
  <si>
    <t xml:space="preserve">PID (Proportion Integration Differentiation) controller applied to two-wheeled robots </t>
  </si>
  <si>
    <t>CN104682789</t>
  </si>
  <si>
    <t xml:space="preserve">Medical all-terrain self-balancing wheelchair and operation method thereof </t>
  </si>
  <si>
    <t>CN107049635</t>
  </si>
  <si>
    <t xml:space="preserve">Wheel-like mobile robot with flying and wading capacities </t>
  </si>
  <si>
    <t>CN203528225</t>
  </si>
  <si>
    <t xml:space="preserve">Bluetooth car based on self-balancing control inverted pendulum system </t>
  </si>
  <si>
    <t>CN108572590</t>
  </si>
  <si>
    <t xml:space="preserve">Two-wheeled upright self-balancing robot based on infrared sensor attitude detection </t>
  </si>
  <si>
    <t>CN201399786</t>
  </si>
  <si>
    <t xml:space="preserve">Wireless voice control two -wheeled formula self -balancing intelligent vehicle </t>
  </si>
  <si>
    <t>CN205809638</t>
  </si>
  <si>
    <t xml:space="preserve">Two-wheeled vertical type self balancing robot based on infrared posture detection and control method thereof </t>
  </si>
  <si>
    <t>CN101537615</t>
  </si>
  <si>
    <t xml:space="preserve">Kinds of intelligent self-balancing transportation device and its lifting structure </t>
  </si>
  <si>
    <t>CN207774693</t>
  </si>
  <si>
    <t xml:space="preserve">Mobile robot with manipulator arm traction device </t>
  </si>
  <si>
    <t>CN205521352</t>
  </si>
  <si>
    <t xml:space="preserve">Intelligence house butler robot </t>
  </si>
  <si>
    <t>CN206170095</t>
  </si>
  <si>
    <t xml:space="preserve">One kind of self-propelled apparatus balance control apparatus and method </t>
  </si>
  <si>
    <t>CN103984351</t>
  </si>
  <si>
    <t xml:space="preserve">Intelligence collection depot based on mobile robot </t>
  </si>
  <si>
    <t>CN204832833</t>
  </si>
  <si>
    <t xml:space="preserve">Self -balancing two -wheeled dolly control system is controlled to cell -phone </t>
  </si>
  <si>
    <t>CN205721355</t>
  </si>
  <si>
    <t xml:space="preserve">Ball type self-balancing robot </t>
  </si>
  <si>
    <t>CN102991600</t>
  </si>
  <si>
    <t xml:space="preserve">Vehicle-mounted support for transporting self-balancing electric vehicle </t>
  </si>
  <si>
    <t>CN203472644</t>
  </si>
  <si>
    <t xml:space="preserve">Power self-management device for agricultural tracked robot serving as mobile node of Internet of Things </t>
  </si>
  <si>
    <t>CN104953671</t>
  </si>
  <si>
    <t xml:space="preserve">Cargo transportation robot </t>
  </si>
  <si>
    <t>JP2006123854</t>
  </si>
  <si>
    <t xml:space="preserve">Gait generating device of mobile robot </t>
  </si>
  <si>
    <t>US2009171503</t>
  </si>
  <si>
    <t xml:space="preserve">Spring self-balancing power manipulator </t>
  </si>
  <si>
    <t>CN104440865</t>
  </si>
  <si>
    <t>CN203473057</t>
  </si>
  <si>
    <t xml:space="preserve">Since the mobile robot </t>
  </si>
  <si>
    <t>CN207564484</t>
  </si>
  <si>
    <t xml:space="preserve">Bionical housekeeping service robot </t>
  </si>
  <si>
    <t>CN204819530</t>
  </si>
  <si>
    <t xml:space="preserve">Remote telepresence smart robot, remote telepresence interaction system and method thereof </t>
  </si>
  <si>
    <t>WO2016155365</t>
  </si>
  <si>
    <t xml:space="preserve">Control device and gait generating device for bipedal mobile robot </t>
  </si>
  <si>
    <t>US2011264264</t>
  </si>
  <si>
    <t xml:space="preserve">Intelligent robot and control system thereof </t>
  </si>
  <si>
    <t>CN205968983</t>
  </si>
  <si>
    <t xml:space="preserve">Mobile robot for underwater inspection </t>
  </si>
  <si>
    <t>JPH05229480</t>
  </si>
  <si>
    <t xml:space="preserve">Mobile robot for autonomous freight transportation </t>
  </si>
  <si>
    <t>KR101319045</t>
  </si>
  <si>
    <t xml:space="preserve">Autonomous freight transportation system using mobile robot for autonomous freight transportation </t>
  </si>
  <si>
    <t>KR101323705</t>
  </si>
  <si>
    <t xml:space="preserve">But intelligent movement robot of qxcomm technology on automatic balance lift chassis </t>
  </si>
  <si>
    <t>CN204846100</t>
  </si>
  <si>
    <t xml:space="preserve">Intelligent autonomous wheel type mobile robot </t>
  </si>
  <si>
    <t>CN1513645</t>
  </si>
  <si>
    <t xml:space="preserve">Small self-balance delivery robot </t>
  </si>
  <si>
    <t>CN106002918</t>
  </si>
  <si>
    <t xml:space="preserve">Spring self-balance assistance manipulator </t>
  </si>
  <si>
    <t>CN204322065</t>
  </si>
  <si>
    <t xml:space="preserve">Gravity center adjustable weeding robot for irrigated field </t>
  </si>
  <si>
    <t>CN202857243</t>
  </si>
  <si>
    <t xml:space="preserve">Oil extraction robot </t>
  </si>
  <si>
    <t>CN204402439</t>
  </si>
  <si>
    <t xml:space="preserve">Unmanned drone, robot system for delivering mail, goods, humanoid security, crisis negotiation, mobile payments, smart humanoid mailbox and wearable personal exoskeleton heavy load flying machine </t>
  </si>
  <si>
    <t>US2014254896</t>
  </si>
  <si>
    <t xml:space="preserve">Electromechanically counterbalanced humanoid robotic system </t>
  </si>
  <si>
    <t>US2010243344</t>
  </si>
  <si>
    <t xml:space="preserve">Single wheel robot system </t>
  </si>
  <si>
    <t>CN201565951</t>
  </si>
  <si>
    <t xml:space="preserve">Method and device for realizing simultaneous localization and mapping of robots </t>
  </si>
  <si>
    <t>CN104807465</t>
  </si>
  <si>
    <t xml:space="preserve">Robot device and walking control method for robot device </t>
  </si>
  <si>
    <t>JP2005111654</t>
  </si>
  <si>
    <t xml:space="preserve">Gait Pattern Generating Device and Controller of Legged Mobile Robot </t>
  </si>
  <si>
    <t>US2008208391</t>
  </si>
  <si>
    <t xml:space="preserve">Walking figure generating device of legged mobile robot </t>
  </si>
  <si>
    <t>JP2007160428</t>
  </si>
  <si>
    <t xml:space="preserve">Balance control method, balance control device and robot </t>
  </si>
  <si>
    <t>CN102141814</t>
  </si>
  <si>
    <t xml:space="preserve">Fistfight robot, controlgear and recreation system </t>
  </si>
  <si>
    <t>CN206105877</t>
  </si>
  <si>
    <t xml:space="preserve">Software robot apparatus </t>
  </si>
  <si>
    <t>CN100583034</t>
  </si>
  <si>
    <t xml:space="preserve">Autonomous behaviors for a remote vehicle </t>
  </si>
  <si>
    <t>US8108092</t>
  </si>
  <si>
    <t>US8326469</t>
  </si>
  <si>
    <t xml:space="preserve">Mobile robot and travel speed control method for mobile robot </t>
  </si>
  <si>
    <t>JP2010039839</t>
  </si>
  <si>
    <t xml:space="preserve">Systems and methods for personal robotics </t>
  </si>
  <si>
    <t>US2015165895</t>
  </si>
  <si>
    <t xml:space="preserve">And an internal mobile robotic assembly movable robot </t>
  </si>
  <si>
    <t>CN207657927</t>
  </si>
  <si>
    <t xml:space="preserve">Robot bodywork uniform landing device </t>
  </si>
  <si>
    <t>CN201484100</t>
  </si>
  <si>
    <t xml:space="preserve">Apparatus with hydraulic power module </t>
  </si>
  <si>
    <t>US9387895</t>
  </si>
  <si>
    <t xml:space="preserve">Gait generating device of a legged mobile robot </t>
  </si>
  <si>
    <t>JP3679105</t>
  </si>
  <si>
    <t xml:space="preserve">Self-controlled ball shaped robot </t>
  </si>
  <si>
    <t>CN1295907</t>
  </si>
  <si>
    <t xml:space="preserve">Passive self-adaption crawler belt deformable rocking bar differential motion mobile robot platform </t>
  </si>
  <si>
    <t>CN103879467</t>
  </si>
  <si>
    <t xml:space="preserve">Beach garbage clearing robot </t>
  </si>
  <si>
    <t>CN103696393</t>
  </si>
  <si>
    <t xml:space="preserve">Controllable bevel gear balancing differential means and having a mobile platform thereof </t>
  </si>
  <si>
    <t>CN105150834</t>
  </si>
  <si>
    <t xml:space="preserve">Self-balancing mobile body and load detection device </t>
  </si>
  <si>
    <t>WO2014033788</t>
  </si>
  <si>
    <t xml:space="preserve">Difference means and a controllable balancing thereof having a mobile platform </t>
  </si>
  <si>
    <t>CN105216611</t>
  </si>
  <si>
    <t>JP4808626</t>
  </si>
  <si>
    <t xml:space="preserve">Kind of spherical self-balancing robot to find things </t>
  </si>
  <si>
    <t>CN207807743</t>
  </si>
  <si>
    <t xml:space="preserve">Auto-movement robot system </t>
  </si>
  <si>
    <t>WO2017101882</t>
  </si>
  <si>
    <t xml:space="preserve">Multifunctional household service robot </t>
  </si>
  <si>
    <t>CN102794758</t>
  </si>
  <si>
    <t xml:space="preserve">Autonomous Behaviors for a Remove Vehicle </t>
  </si>
  <si>
    <t>US2008086241</t>
  </si>
  <si>
    <t xml:space="preserve">Teleoperated Robotic System </t>
  </si>
  <si>
    <t>US2012328395</t>
  </si>
  <si>
    <t xml:space="preserve">Controllable differential balancing unit of bevel gear formula and have its moving platform </t>
  </si>
  <si>
    <t>CN205022365</t>
  </si>
  <si>
    <t xml:space="preserve">Smart Interactive and Autonomous Robotic Property Maintenance Apparatus, System, and Method </t>
  </si>
  <si>
    <t>US2018035606</t>
  </si>
  <si>
    <t>US2011098860</t>
  </si>
  <si>
    <t xml:space="preserve">Control device and footstep determination device for legged mobile robot </t>
  </si>
  <si>
    <t>US2005228539</t>
  </si>
  <si>
    <t xml:space="preserve">Self-service navigation unit of mobile devices </t>
  </si>
  <si>
    <t>CN202758239</t>
  </si>
  <si>
    <t>US8306657</t>
  </si>
  <si>
    <t xml:space="preserve">Humanoid robot </t>
  </si>
  <si>
    <t>CN206154282</t>
  </si>
  <si>
    <t xml:space="preserve">Household service robots </t>
  </si>
  <si>
    <t>CN202684911</t>
  </si>
  <si>
    <t xml:space="preserve">The legged mobile robot control system </t>
  </si>
  <si>
    <t>JP2006175567</t>
  </si>
  <si>
    <t xml:space="preserve">Robot control system </t>
  </si>
  <si>
    <t>JP2012056001</t>
  </si>
  <si>
    <t xml:space="preserve">Gait generation device for legged mobile robot </t>
  </si>
  <si>
    <t>US2006247800</t>
  </si>
  <si>
    <t xml:space="preserve">Autonomous surface cleaning robot for wet and dry cleaning </t>
  </si>
  <si>
    <t>US7761954</t>
  </si>
  <si>
    <t xml:space="preserve">Control system for a remote vehicle </t>
  </si>
  <si>
    <t>US7843431</t>
  </si>
  <si>
    <t xml:space="preserve">Collaborative logistics ecosystem: an extensible framework for collaborative logistics </t>
  </si>
  <si>
    <t>US9172738</t>
  </si>
  <si>
    <t xml:space="preserve">Gait generating device of a mobile robot </t>
  </si>
  <si>
    <t>JP4805818</t>
  </si>
  <si>
    <t xml:space="preserve">Conveying apparatus, control method and drive mechanism </t>
  </si>
  <si>
    <t>JP2004129435</t>
  </si>
  <si>
    <t xml:space="preserve">Mobile Robot Providing Environmental Mapping for Household Environmental Control </t>
  </si>
  <si>
    <t>US2014207282</t>
  </si>
  <si>
    <t xml:space="preserve">Amphibious robot capable of flying and climbing wall and control method of amphibious robot </t>
  </si>
  <si>
    <t>CN103192987</t>
  </si>
  <si>
    <t xml:space="preserve">Wheel type intelligent autonomous mobile service robot </t>
  </si>
  <si>
    <t>CN101612730</t>
  </si>
  <si>
    <t xml:space="preserve">Gait generator for mobile robot </t>
  </si>
  <si>
    <t>US2007156283</t>
  </si>
  <si>
    <t xml:space="preserve">System and method of dictation for a speech recognition command system </t>
  </si>
  <si>
    <t>US2011301943</t>
  </si>
  <si>
    <t xml:space="preserve">Fire-extinguishing robot </t>
  </si>
  <si>
    <t>CN201088794</t>
  </si>
  <si>
    <t xml:space="preserve">Minitype wheel/caterpillar structure-variable mobile-search reconnaissance robot </t>
  </si>
  <si>
    <t>CN101570216</t>
  </si>
  <si>
    <t xml:space="preserve">External force target generating device of legged mobile robot </t>
  </si>
  <si>
    <t>US2011213495</t>
  </si>
  <si>
    <t xml:space="preserve">Welding clamp-robot with self-adapting relieving and balancing device </t>
  </si>
  <si>
    <t>WO02078892</t>
  </si>
  <si>
    <t xml:space="preserve">Gait generating device of legged mobile robot </t>
  </si>
  <si>
    <t>US8396593</t>
  </si>
  <si>
    <t xml:space="preserve">Mobile robot </t>
  </si>
  <si>
    <t>CN203210377</t>
  </si>
  <si>
    <t xml:space="preserve">Motion state evaluation apparatus of legged mobile robot </t>
  </si>
  <si>
    <t>US2011213496</t>
  </si>
  <si>
    <t xml:space="preserve">Rehabilitation robot </t>
  </si>
  <si>
    <t>CN101589984</t>
  </si>
  <si>
    <t xml:space="preserve">Gait generating system for mobile robot </t>
  </si>
  <si>
    <t>US2007168080</t>
  </si>
  <si>
    <t xml:space="preserve">Legged Mobile Robot and Control Program for the Robot </t>
  </si>
  <si>
    <t>US2008300721</t>
  </si>
  <si>
    <t xml:space="preserve">Self-stabilized vehicle having three wheels </t>
  </si>
  <si>
    <t>KR20110088827</t>
  </si>
  <si>
    <t>WO2008060689</t>
  </si>
  <si>
    <t xml:space="preserve">Intelligent, self-contained robotic hand </t>
  </si>
  <si>
    <t>US7168748</t>
  </si>
  <si>
    <t xml:space="preserve">Environmental management systems including mobile robots and methods using same </t>
  </si>
  <si>
    <t>US2014207280</t>
  </si>
  <si>
    <t xml:space="preserve">Operating A Mobile Robot </t>
  </si>
  <si>
    <t>US2013268118</t>
  </si>
  <si>
    <t xml:space="preserve">Informatization mobile police affair platform </t>
  </si>
  <si>
    <t>CN203698534</t>
  </si>
  <si>
    <t xml:space="preserve">Desired motion evaluation apparatus of legged mobile robot </t>
  </si>
  <si>
    <t>US2011213498</t>
  </si>
  <si>
    <t>JP2006110676</t>
  </si>
  <si>
    <t xml:space="preserve">Leg type mobile robot </t>
  </si>
  <si>
    <t>JP2003071763</t>
  </si>
  <si>
    <t xml:space="preserve">Autonomous mobile robot system for sensor-based and map-based navigation in pipe networks </t>
  </si>
  <si>
    <t>US6108597</t>
  </si>
  <si>
    <t xml:space="preserve">Apparatus and methods for training of robots </t>
  </si>
  <si>
    <t>US2016096272</t>
  </si>
  <si>
    <t xml:space="preserve">Steerable vertical to horizontal energy transducer for mobile robots </t>
  </si>
  <si>
    <t>US6308791</t>
  </si>
  <si>
    <t>US2011301756</t>
  </si>
  <si>
    <t xml:space="preserve">Robot apparatus and image signal processing method in robot apparatus </t>
  </si>
  <si>
    <t>JP2004276165</t>
  </si>
  <si>
    <t xml:space="preserve">Magnetic adsorption wall climbing robot with curved surface adaptive ability </t>
  </si>
  <si>
    <t>CN1736668</t>
  </si>
  <si>
    <t xml:space="preserve">Even landing device of robot car body </t>
  </si>
  <si>
    <t>CN101665068</t>
  </si>
  <si>
    <t xml:space="preserve">Environmental Management Systems Including Mobile Robots and Methods Using Same </t>
  </si>
  <si>
    <t>US2014207281</t>
  </si>
  <si>
    <t xml:space="preserve">Mobile body </t>
  </si>
  <si>
    <t>WO2012039280</t>
  </si>
  <si>
    <t xml:space="preserve">Robot apparatus and walking control method thereof </t>
  </si>
  <si>
    <t>US2005066397</t>
  </si>
  <si>
    <t>US2008185985</t>
  </si>
  <si>
    <t xml:space="preserve">Game theoretic prioritization scheme for mobile ad hoc networks permitting hierarchal deference </t>
  </si>
  <si>
    <t>US7590589</t>
  </si>
  <si>
    <t xml:space="preserve">Passive self-adaption deformable continuous track type mobile robot platform </t>
  </si>
  <si>
    <t>CN103273977</t>
  </si>
  <si>
    <t xml:space="preserve">Communication device </t>
  </si>
  <si>
    <t>US8676273</t>
  </si>
  <si>
    <t xml:space="preserve">Handshake legged mobile robot control system </t>
  </si>
  <si>
    <t>US7877165</t>
  </si>
  <si>
    <t xml:space="preserve">Method and device for reckonimg positioning position and posture of robot </t>
  </si>
  <si>
    <t>CN1499324</t>
  </si>
  <si>
    <t xml:space="preserve">Sheet Metal Clamp Used in Combination with a Manipulator Arm, and Having an Electromechanical Balancing Module </t>
  </si>
  <si>
    <t>US2010025383</t>
  </si>
  <si>
    <t xml:space="preserve">Automated self-forming, self-healing configuration permitting substitution of software agents to effect a live repair of a system implemented on hardware processors </t>
  </si>
  <si>
    <t>US7549077</t>
  </si>
  <si>
    <t>JP3674788</t>
  </si>
  <si>
    <t xml:space="preserve">Mobile robot power supply </t>
  </si>
  <si>
    <t>CN101567572</t>
  </si>
  <si>
    <t xml:space="preserve">Automatic mobile robot </t>
  </si>
  <si>
    <t>CN202910861</t>
  </si>
  <si>
    <t xml:space="preserve">Guiding robot and method for controlling the same </t>
  </si>
  <si>
    <t>JP2010271911</t>
  </si>
  <si>
    <t xml:space="preserve">Biomimetic motion and balance controllers for use in prosthetics, orthotics and robotics </t>
  </si>
  <si>
    <t>US7313463</t>
  </si>
  <si>
    <t xml:space="preserve">System and method for performing mobile robotic work operations </t>
  </si>
  <si>
    <t>US5974348</t>
  </si>
  <si>
    <t xml:space="preserve">Self-aligning optical transceiver </t>
  </si>
  <si>
    <t>US5347387</t>
  </si>
  <si>
    <t>US8639214</t>
  </si>
  <si>
    <t xml:space="preserve">Modular dual wheel drive assembly, wheeled devices that include modular dual wheel drive assemblies and methods for moving and/or maneuvering wheeled devices using modular dual wheel drive assemblies </t>
  </si>
  <si>
    <t>US2007080000</t>
  </si>
  <si>
    <t xml:space="preserve">Automatic deployment and retrieval tethering system </t>
  </si>
  <si>
    <t>US5551545</t>
  </si>
  <si>
    <t xml:space="preserve">Material handling system using autonomous mobile drive units and movable inventory trays </t>
  </si>
  <si>
    <t>US6895301</t>
  </si>
  <si>
    <t xml:space="preserve">Material handling method using autonomous mobile drive units and movable inventory trays </t>
  </si>
  <si>
    <t>US6748292</t>
  </si>
  <si>
    <t xml:space="preserve">Autonomous coverage robot </t>
  </si>
  <si>
    <t>US2012311810</t>
  </si>
  <si>
    <t xml:space="preserve">Autonomous mobile surface treating apparatus </t>
  </si>
  <si>
    <t>US6481515</t>
  </si>
  <si>
    <t xml:space="preserve">Firearm </t>
  </si>
  <si>
    <t>US8312660</t>
  </si>
  <si>
    <t xml:space="preserve">Biologically-inspired multi-segmented robot </t>
  </si>
  <si>
    <t>US6532400</t>
  </si>
  <si>
    <t xml:space="preserve">Mobile electronic device, control method therefor, and computer storage medium </t>
  </si>
  <si>
    <t>WO2017088695</t>
  </si>
  <si>
    <t xml:space="preserve">Wireless energy transfer using magnetic materials to shape field and reduce loss </t>
  </si>
  <si>
    <t>US8324759</t>
  </si>
  <si>
    <t xml:space="preserve">Material handling system and method using mobile autonomous inventory trays and peer-to-peer communications </t>
  </si>
  <si>
    <t>US6950722</t>
  </si>
  <si>
    <t xml:space="preserve">Synthesized interoperable communications </t>
  </si>
  <si>
    <t>US8711732</t>
  </si>
  <si>
    <t xml:space="preserve">Asynchronous transcription object management system </t>
  </si>
  <si>
    <t>US7206805</t>
  </si>
  <si>
    <t xml:space="preserve">Wireless energy transfer systems </t>
  </si>
  <si>
    <t>US8629578</t>
  </si>
  <si>
    <t xml:space="preserve">Low AC resistance conductor designs </t>
  </si>
  <si>
    <t>US8410636</t>
  </si>
  <si>
    <t xml:space="preserve">Wireless energy transfer using conducting surfaces to shape fields and reduce loss </t>
  </si>
  <si>
    <t>US8461720</t>
  </si>
  <si>
    <t xml:space="preserve">System for optimizing interaction among agents acting on multiple levels </t>
  </si>
  <si>
    <t>US6292830</t>
  </si>
  <si>
    <t xml:space="preserve">Wireless energy transfer using variable size resonators and system monitoring </t>
  </si>
  <si>
    <t>US8482158</t>
  </si>
  <si>
    <t xml:space="preserve">Wireless energy transfer using object positioning for improved k </t>
  </si>
  <si>
    <t>US8569914</t>
  </si>
  <si>
    <t xml:space="preserve">Wireless energy transfer using repeater resonators </t>
  </si>
  <si>
    <t>US8729737</t>
  </si>
  <si>
    <t xml:space="preserve">Wireless energy transfer using planar capacitively loaded conducting loop resonators </t>
  </si>
  <si>
    <t>US8035255</t>
  </si>
  <si>
    <t xml:space="preserve">Mesh network personal emergency response appliance </t>
  </si>
  <si>
    <t>US7733224</t>
  </si>
  <si>
    <t xml:space="preserve">Wireless energy transfer using high Q resonators for lighting applications </t>
  </si>
  <si>
    <t>US8587153</t>
  </si>
  <si>
    <t xml:space="preserve">Wireless energy transfer using conducting surfaces to shape field and improve K </t>
  </si>
  <si>
    <t>US8461722</t>
  </si>
  <si>
    <t xml:space="preserve">Resonator arrays for wireless energy transfer </t>
  </si>
  <si>
    <t>US8598743</t>
  </si>
  <si>
    <t xml:space="preserve">Mesh network stroke monitoring appliance </t>
  </si>
  <si>
    <t>US7558622</t>
  </si>
  <si>
    <t xml:space="preserve">Wireless energy transfer using field shaping to reduce loss </t>
  </si>
  <si>
    <t>US8304935</t>
  </si>
  <si>
    <t xml:space="preserve">Wireless energy transfer with feedback control for lighting applications </t>
  </si>
  <si>
    <t>US8552592</t>
  </si>
  <si>
    <t>US8587155</t>
  </si>
  <si>
    <t xml:space="preserve">Method and system for scripting interactive animated actors </t>
  </si>
  <si>
    <t>US6285380</t>
  </si>
  <si>
    <t xml:space="preserve">Monitoring latency of a network to manage termination of distributed transactions </t>
  </si>
  <si>
    <t>US7290056</t>
  </si>
  <si>
    <t xml:space="preserve">Tunable wireless energy transfer for outdoor lighting applications </t>
  </si>
  <si>
    <t>US8466583</t>
  </si>
  <si>
    <t xml:space="preserve">Wireless energy transfer converters </t>
  </si>
  <si>
    <t>US8497601</t>
  </si>
  <si>
    <t xml:space="preserve">Prioritization associated with controller engine instances </t>
  </si>
  <si>
    <t>US7797060</t>
  </si>
  <si>
    <t xml:space="preserve">Wireless energy transfer over distance using field shaping to improve the coupling factor </t>
  </si>
  <si>
    <t>US8471410</t>
  </si>
  <si>
    <t xml:space="preserve">Wireless energy transfer resonator kit </t>
  </si>
  <si>
    <t>US8487480</t>
  </si>
  <si>
    <t xml:space="preserve">Multi-resonator wireless energy transfer for exterior lighting </t>
  </si>
  <si>
    <t>US8441154</t>
  </si>
  <si>
    <t xml:space="preserve">Wireless energy transfer for computer peripheral applications </t>
  </si>
  <si>
    <t>US8400017</t>
  </si>
  <si>
    <t xml:space="preserve">Wireless energy transfer using object positioning for low loss </t>
  </si>
  <si>
    <t>US8461721</t>
  </si>
  <si>
    <t xml:space="preserve">Wireless energy transfer with high-Q resonators using field shaping to improve K </t>
  </si>
  <si>
    <t>US8476788</t>
  </si>
  <si>
    <t xml:space="preserve">Concentric shaft mobile base for robots and the like </t>
  </si>
  <si>
    <t>US4657104</t>
  </si>
  <si>
    <t xml:space="preserve">Multiblock robot system </t>
  </si>
  <si>
    <t>US6934603</t>
  </si>
  <si>
    <t xml:space="preserve">Robot and attitude control method of robot </t>
  </si>
  <si>
    <t>US7657345</t>
  </si>
  <si>
    <t xml:space="preserve">Self reproducing fundamental fabricating machine system </t>
  </si>
  <si>
    <t>US5764518</t>
  </si>
  <si>
    <t xml:space="preserve">Inverted pendulum balancing control system based on flywheel </t>
  </si>
  <si>
    <t>CN101850548</t>
  </si>
  <si>
    <t xml:space="preserve">Self-help service system and method based on instant communication device </t>
  </si>
  <si>
    <t>CN101026595</t>
  </si>
  <si>
    <t xml:space="preserve">System of robots with legs or arms </t>
  </si>
  <si>
    <t>US4565487</t>
  </si>
  <si>
    <t xml:space="preserve">System for intelligent control of an engine based on soft computing </t>
  </si>
  <si>
    <t>US6216083</t>
  </si>
  <si>
    <t xml:space="preserve">The mobile station controller </t>
  </si>
  <si>
    <t>JP6158651</t>
  </si>
  <si>
    <t>US8726454</t>
  </si>
  <si>
    <t xml:space="preserve">Modular mobile robot </t>
  </si>
  <si>
    <t>US2014031977</t>
  </si>
  <si>
    <t xml:space="preserve">Methods and systems for content processing </t>
  </si>
  <si>
    <t>US8805110</t>
  </si>
  <si>
    <t xml:space="preserve">Navigating robot with reference line plotter </t>
  </si>
  <si>
    <t>US5453931</t>
  </si>
  <si>
    <t xml:space="preserve">Free piston compressor </t>
  </si>
  <si>
    <t>US2005284427</t>
  </si>
  <si>
    <t xml:space="preserve">Operation generating device of legged mobile robot </t>
  </si>
  <si>
    <t>JP2002326173</t>
  </si>
  <si>
    <t xml:space="preserve">Moving searching reconnaissance robot with mini-wheel/crawler-changing structure </t>
  </si>
  <si>
    <t>CN201405350</t>
  </si>
  <si>
    <t xml:space="preserve">Mobile electronic equipment </t>
  </si>
  <si>
    <t>CN205594454</t>
  </si>
  <si>
    <t xml:space="preserve">Mobile roly-poly-type apparatus and method </t>
  </si>
  <si>
    <t>US7258591</t>
  </si>
  <si>
    <t xml:space="preserve">Wheeled intelligent automatic moving service robot </t>
  </si>
  <si>
    <t>CN201565952</t>
  </si>
  <si>
    <t xml:space="preserve">Skimmer with self-adjusting floating collector </t>
  </si>
  <si>
    <t>US5133854</t>
  </si>
  <si>
    <t xml:space="preserve">Health monitoring appliance </t>
  </si>
  <si>
    <t>US8684900</t>
  </si>
  <si>
    <t xml:space="preserve">The bipedal mobile robot controller and the gait generator </t>
  </si>
  <si>
    <t>JP5468974</t>
  </si>
  <si>
    <t xml:space="preserve">Self-balanced apparatus for hoisting and positioning loads, with six degrees of freedom </t>
  </si>
  <si>
    <t>US9533861</t>
  </si>
  <si>
    <t xml:space="preserve">Self-attitude estimation apparatus of a legged mobile robot </t>
  </si>
  <si>
    <t>JP4181113</t>
  </si>
  <si>
    <t xml:space="preserve">Wireless energy transfer for vehicles </t>
  </si>
  <si>
    <t>US8933594</t>
  </si>
  <si>
    <t xml:space="preserve">Methods and systems for image or audio recognition processing </t>
  </si>
  <si>
    <t>US8768313</t>
  </si>
  <si>
    <t xml:space="preserve">Method and system for creating vertical search engines with cloud computing networks </t>
  </si>
  <si>
    <t>US8463765</t>
  </si>
  <si>
    <t xml:space="preserve">Secure wireless energy transfer for vehicle applications </t>
  </si>
  <si>
    <t>US8912687</t>
  </si>
  <si>
    <t xml:space="preserve">Interference checking method </t>
  </si>
  <si>
    <t>US5943056</t>
  </si>
  <si>
    <t xml:space="preserve">An assembly for and a method of feeding and milking animals, a feed platform, a milking pre-treatment device, a milking post-treatment device, a cleaning device, a separation device and a milking system all suitable for use in such an assembly </t>
  </si>
  <si>
    <t>EP1523882</t>
  </si>
  <si>
    <t xml:space="preserve">Solar Tracking System Employing Multiple Mobile Robots </t>
  </si>
  <si>
    <t>US2015073594</t>
  </si>
  <si>
    <t xml:space="preserve">Multibody aircrane </t>
  </si>
  <si>
    <t>US2009152391</t>
  </si>
  <si>
    <t xml:space="preserve">The control device of the bipedal mobile robot </t>
  </si>
  <si>
    <t>JP5465074</t>
  </si>
  <si>
    <t xml:space="preserve">Intelligent robot system for traffic guidance of crosswalk </t>
  </si>
  <si>
    <t>KR101193610</t>
  </si>
  <si>
    <t xml:space="preserve">Control system for unmanned 4-rotor-helicopter </t>
  </si>
  <si>
    <t>EP1901153</t>
  </si>
  <si>
    <t xml:space="preserve">Methods and apparatus for rehabilitation and training </t>
  </si>
  <si>
    <t>US8012107</t>
  </si>
  <si>
    <t xml:space="preserve">Multiple leg tumbling robot </t>
  </si>
  <si>
    <t>US7327112</t>
  </si>
  <si>
    <t xml:space="preserve">Hopping robot </t>
  </si>
  <si>
    <t>US6247546</t>
  </si>
  <si>
    <t xml:space="preserve">Method and apparatus for assisting or resisting postures or movements related to the joints of humans or devices </t>
  </si>
  <si>
    <t>US6846270</t>
  </si>
  <si>
    <t xml:space="preserve">Moving robot's vision navigation method based on image representation feature </t>
  </si>
  <si>
    <t>CN1569558</t>
  </si>
  <si>
    <t xml:space="preserve">Integrated repeaters for cell phone applications </t>
  </si>
  <si>
    <t>US8928276</t>
  </si>
  <si>
    <t xml:space="preserve">Control device for legged mobile body </t>
  </si>
  <si>
    <t>US2011098857</t>
  </si>
  <si>
    <t xml:space="preserve">Mobile Virtual Reality Projector </t>
  </si>
  <si>
    <t>US2009046140</t>
  </si>
  <si>
    <t xml:space="preserve">Electric cleaner with detachable unit </t>
  </si>
  <si>
    <t>JP2003180587</t>
  </si>
  <si>
    <t xml:space="preserve">Location-based mobile services and applications </t>
  </si>
  <si>
    <t>US2014280316</t>
  </si>
  <si>
    <t xml:space="preserve">Agricultural robot system and method </t>
  </si>
  <si>
    <t>US2006213167</t>
  </si>
  <si>
    <t xml:space="preserve">Coherent presentation of multiple reality and interaction models </t>
  </si>
  <si>
    <t>US2013050260</t>
  </si>
  <si>
    <t xml:space="preserve">Fully automatic cooking robot system </t>
  </si>
  <si>
    <t>CN201055262</t>
  </si>
  <si>
    <t xml:space="preserve">Mobile learning laboratory for multi-discipline self-study </t>
  </si>
  <si>
    <t>US5484293</t>
  </si>
  <si>
    <t xml:space="preserve">Wireless energy transfer with multi resonator arrays for vehicle applications </t>
  </si>
  <si>
    <t>US8922066</t>
  </si>
  <si>
    <t xml:space="preserve">Multi-resonator wireless energy transfer to mobile devices </t>
  </si>
  <si>
    <t>US2012248886</t>
  </si>
  <si>
    <t xml:space="preserve">Self-identifying one-way authentication method using optical signals </t>
  </si>
  <si>
    <t>US2014086590</t>
  </si>
  <si>
    <t xml:space="preserve">Methods and apparatuses for rehabilitation and training </t>
  </si>
  <si>
    <t>US2006293617</t>
  </si>
  <si>
    <t xml:space="preserve">Casino poker and dealer management system </t>
  </si>
  <si>
    <t>US7431650</t>
  </si>
  <si>
    <t xml:space="preserve">Walk controller of leg moving robot </t>
  </si>
  <si>
    <t>JPH07205069</t>
  </si>
  <si>
    <t xml:space="preserve">Mobile robot group for moving an item </t>
  </si>
  <si>
    <t>US9637310</t>
  </si>
  <si>
    <t xml:space="preserve">Mobile base for robots and the like </t>
  </si>
  <si>
    <t>US4573548</t>
  </si>
  <si>
    <t xml:space="preserve">Mobile robot positioning system and method based on infrared road sign </t>
  </si>
  <si>
    <t>CN102419178</t>
  </si>
  <si>
    <t xml:space="preserve">System for intelligent control based on soft computing </t>
  </si>
  <si>
    <t>US6415272</t>
  </si>
  <si>
    <t xml:space="preserve">Position insensitive wireless charging </t>
  </si>
  <si>
    <t>US8963488</t>
  </si>
  <si>
    <t xml:space="preserve">Solar panel wind turbine communication server network apparatus method and mechanism </t>
  </si>
  <si>
    <t>US2014176337</t>
  </si>
  <si>
    <t xml:space="preserve">System and method for controlling modular robots </t>
  </si>
  <si>
    <t>US2006095169</t>
  </si>
  <si>
    <t xml:space="preserve">Determining a position of an item in a virtual augmented space </t>
  </si>
  <si>
    <t>US2014063061</t>
  </si>
  <si>
    <t xml:space="preserve">Automated building exterior cleaning apparatus </t>
  </si>
  <si>
    <t>US2006048800</t>
  </si>
  <si>
    <t xml:space="preserve">Maximum information capture from energy constrained sensor nodes </t>
  </si>
  <si>
    <t>US2010076714</t>
  </si>
  <si>
    <t xml:space="preserve">Universal tracked mobile platform for military robot </t>
  </si>
  <si>
    <t>CN101850792</t>
  </si>
  <si>
    <t xml:space="preserve">Carrying out working operation on moving workpiece with synchronously moved robot involves raising base from longitudinal guide to floating state relative to all 6 degrees of freedom in working phase </t>
  </si>
  <si>
    <t>DE10313463</t>
  </si>
  <si>
    <t xml:space="preserve">Robotic guide assembly for use in computer-aided surgery </t>
  </si>
  <si>
    <t>US2011130761</t>
  </si>
  <si>
    <t xml:space="preserve">Self-balancing vehicles </t>
  </si>
  <si>
    <t>US2017043831</t>
  </si>
  <si>
    <t xml:space="preserve">Automatic machine for tangling internal bladder with exhalant in refrigerator </t>
  </si>
  <si>
    <t>CN2614095</t>
  </si>
  <si>
    <t xml:space="preserve">Robot behavior control system, behavior control method, and robot device </t>
  </si>
  <si>
    <t>US2004243281</t>
  </si>
  <si>
    <t xml:space="preserve">Automatic configuration of robotic transaction playback through analysis of previously collected traffic patterns </t>
  </si>
  <si>
    <t>US2009037914</t>
  </si>
  <si>
    <t xml:space="preserve">Humanoid robotics system and methods </t>
  </si>
  <si>
    <t>US2012061155</t>
  </si>
  <si>
    <t xml:space="preserve">Proximity Sensing On Mobile Robots </t>
  </si>
  <si>
    <t>US2014088761</t>
  </si>
  <si>
    <t xml:space="preserve">Automated research systems and methods for researching systems </t>
  </si>
  <si>
    <t>US2009138415</t>
  </si>
  <si>
    <t xml:space="preserve">System and method for automated search by distributed elements </t>
  </si>
  <si>
    <t>US7908040</t>
  </si>
  <si>
    <t xml:space="preserve">Method and apparatus for automated fluid transfer operations </t>
  </si>
  <si>
    <t>US8225824</t>
  </si>
  <si>
    <t xml:space="preserve">Robot able to move on fixed or mobile working stations </t>
  </si>
  <si>
    <t>US5503513</t>
  </si>
  <si>
    <t xml:space="preserve">Wireless powered projector </t>
  </si>
  <si>
    <t>US2012091796</t>
  </si>
  <si>
    <t xml:space="preserve">Wireless energy transfer in lossy environments </t>
  </si>
  <si>
    <t>US2010219694</t>
  </si>
  <si>
    <t>US2014080428</t>
  </si>
  <si>
    <t xml:space="preserve">Systems and methods for altering brain and body functions and for treating conditions and diseases of the same </t>
  </si>
  <si>
    <t>US2009312817</t>
  </si>
  <si>
    <t xml:space="preserve">Wirelessly powered laptop and desktop environment </t>
  </si>
  <si>
    <t>US2012091794</t>
  </si>
  <si>
    <t xml:space="preserve">Wireless energy transfer across variable distances using field shaping with magnetic materials to improve the coupling factor </t>
  </si>
  <si>
    <t>US2012153738</t>
  </si>
  <si>
    <t xml:space="preserve">Wireless energy transfer with resonator arrays for medical applications </t>
  </si>
  <si>
    <t>US2012248888</t>
  </si>
  <si>
    <t xml:space="preserve">Computer that wirelessly powers accessories </t>
  </si>
  <si>
    <t>US2012091819</t>
  </si>
  <si>
    <t xml:space="preserve">Method and system for providing information services relevant to visual imagery </t>
  </si>
  <si>
    <t>US2006047704</t>
  </si>
  <si>
    <t xml:space="preserve">Wireless powered television </t>
  </si>
  <si>
    <t>US2012091795</t>
  </si>
  <si>
    <t xml:space="preserve">Wireless power transfer within a circuit breaker </t>
  </si>
  <si>
    <t>US2012091820</t>
  </si>
  <si>
    <t xml:space="preserve">Modular upgrades for wirelessly powered televisions </t>
  </si>
  <si>
    <t>US2012086867</t>
  </si>
  <si>
    <t xml:space="preserve">Multi-resonator wireless energy transfer for lighting </t>
  </si>
  <si>
    <t>US2012248981</t>
  </si>
  <si>
    <t xml:space="preserve">Multi-resonator wireless energy transfer for implanted medical devices </t>
  </si>
  <si>
    <t>US2012235502</t>
  </si>
  <si>
    <t xml:space="preserve">System and method for augmenting knowledge commerce </t>
  </si>
  <si>
    <t>US2004006566</t>
  </si>
  <si>
    <t xml:space="preserve">Tunable wireless energy transfer for clothing applications </t>
  </si>
  <si>
    <t>US2012228954</t>
  </si>
  <si>
    <t xml:space="preserve">Wireless energy transfer with variable size resonators for medical applications </t>
  </si>
  <si>
    <t>US2012235634</t>
  </si>
  <si>
    <t xml:space="preserve">Wireless transmission of solar generated power </t>
  </si>
  <si>
    <t>US2012086284</t>
  </si>
  <si>
    <t xml:space="preserve">Tunable wireless energy transfer for medical applications </t>
  </si>
  <si>
    <t>US2012256494</t>
  </si>
  <si>
    <t xml:space="preserve">Tunable wireless energy transfer for sensors </t>
  </si>
  <si>
    <t>US2012235504</t>
  </si>
  <si>
    <t xml:space="preserve">Wireless energy transfer with frequency hopping </t>
  </si>
  <si>
    <t>US2010171368</t>
  </si>
  <si>
    <t xml:space="preserve">Multi-resonator wireless energy transfer inside vehicles </t>
  </si>
  <si>
    <t>US2012119569</t>
  </si>
  <si>
    <t xml:space="preserve">Wireless energy transfer with high-q resonators using field shaping to improve k </t>
  </si>
  <si>
    <t>US2011043049</t>
  </si>
  <si>
    <t>US2012112536</t>
  </si>
  <si>
    <t xml:space="preserve">Wireless energy transfer for energizing power tools </t>
  </si>
  <si>
    <t>US2012091949</t>
  </si>
  <si>
    <t xml:space="preserve">Wireless energy transfer for supplying power and heat to a device </t>
  </si>
  <si>
    <t>US2012153893</t>
  </si>
  <si>
    <t xml:space="preserve">Tunable wireless energy transfer for appliances </t>
  </si>
  <si>
    <t>US2012228952</t>
  </si>
  <si>
    <t xml:space="preserve">Energized tabletop </t>
  </si>
  <si>
    <t>US2012091797</t>
  </si>
  <si>
    <t xml:space="preserve">Methods and Systems for Applications for Z-numbers </t>
  </si>
  <si>
    <t>US2014201126</t>
  </si>
  <si>
    <t xml:space="preserve">Scalable base station architecture </t>
  </si>
  <si>
    <t>US2002123365</t>
  </si>
  <si>
    <t xml:space="preserve">Multi-resonator wireless energy transfer for medical applications </t>
  </si>
  <si>
    <t>US2012235501</t>
  </si>
  <si>
    <t>US2012239117</t>
  </si>
  <si>
    <t xml:space="preserve">Safety systems for wireless energy transfer in vehicle applications </t>
  </si>
  <si>
    <t>US2012119576</t>
  </si>
  <si>
    <t>US2009306741</t>
  </si>
  <si>
    <t xml:space="preserve">Flexible resonator attachment </t>
  </si>
  <si>
    <t>US2012223573</t>
  </si>
  <si>
    <t>US2012242501</t>
  </si>
  <si>
    <t xml:space="preserve">Multi-resonator wireless energy transfer for appliances </t>
  </si>
  <si>
    <t>US2012242159</t>
  </si>
  <si>
    <t xml:space="preserve">Tunable wireless energy transfer for lighting applications </t>
  </si>
  <si>
    <t>US2012235566</t>
  </si>
  <si>
    <t xml:space="preserve">Wireless energy transfer resonator enclosures </t>
  </si>
  <si>
    <t>US2010231340</t>
  </si>
  <si>
    <t xml:space="preserve">Tunable wireless energy transfer for in-vehicle applications </t>
  </si>
  <si>
    <t>US2012112532</t>
  </si>
  <si>
    <t>US2012119698</t>
  </si>
  <si>
    <t>US2012112535</t>
  </si>
  <si>
    <t xml:space="preserve">Resonator enclosure </t>
  </si>
  <si>
    <t>US2013057364</t>
  </si>
  <si>
    <t>US2012112691</t>
  </si>
  <si>
    <t xml:space="preserve">Wireless energy transfer for vehicle applications </t>
  </si>
  <si>
    <t>US2012112538</t>
  </si>
  <si>
    <t xml:space="preserve">Wireless energy transfer with variable size resonators for implanted medical devices </t>
  </si>
  <si>
    <t>US2012235633</t>
  </si>
  <si>
    <t xml:space="preserve">Tunable wireless energy transfer for furniture applications </t>
  </si>
  <si>
    <t>US2012228953</t>
  </si>
  <si>
    <t xml:space="preserve">Compact resonators for wireless energy transfer in vehicle applications </t>
  </si>
  <si>
    <t>US2012313742</t>
  </si>
  <si>
    <t xml:space="preserve">Collaborative electronic game play employing player classification and aggregation </t>
  </si>
  <si>
    <t>US2012142429</t>
  </si>
  <si>
    <t xml:space="preserve">Health monitoring system </t>
  </si>
  <si>
    <t>US2013095459</t>
  </si>
  <si>
    <t xml:space="preserve">Integrated resonator-shield structures </t>
  </si>
  <si>
    <t>US2010308939</t>
  </si>
  <si>
    <t xml:space="preserve">Lawn Care Robot </t>
  </si>
  <si>
    <t>US2008109126</t>
  </si>
  <si>
    <t xml:space="preserve">Resonator optimizations for wireless energy transfer </t>
  </si>
  <si>
    <t>US2010259110</t>
  </si>
  <si>
    <t xml:space="preserve">Device And Method For Training, Rehabilitation And/Or Support </t>
  </si>
  <si>
    <t>US2008132383</t>
  </si>
  <si>
    <t xml:space="preserve">Temperature compensation in a wireless transfer system </t>
  </si>
  <si>
    <t>US2010181845</t>
  </si>
  <si>
    <t xml:space="preserve">Multi-resonator wireless energy transfer for sensors </t>
  </si>
  <si>
    <t>US2012248887</t>
  </si>
  <si>
    <t xml:space="preserve">Electronic toy </t>
  </si>
  <si>
    <t>US2002081937</t>
  </si>
  <si>
    <t>US2012313449</t>
  </si>
  <si>
    <t xml:space="preserve">Wireless energy transfer between a source and a vehicle </t>
  </si>
  <si>
    <t>US2010277121</t>
  </si>
  <si>
    <t xml:space="preserve">Secure wireless energy transfer in medical applications </t>
  </si>
  <si>
    <t>US2012235503</t>
  </si>
  <si>
    <t xml:space="preserve">Robot-enabled case picking </t>
  </si>
  <si>
    <t>US2012330458</t>
  </si>
  <si>
    <t xml:space="preserve">Catalyst composition comprising shuttling agent for ethylene multi-block copolymer formation </t>
  </si>
  <si>
    <t>US2007167578</t>
  </si>
  <si>
    <t>US2014312706</t>
  </si>
  <si>
    <t>US2013334892</t>
  </si>
  <si>
    <t xml:space="preserve">Mechanically removable wireless power vehicle seat assembly </t>
  </si>
  <si>
    <t>US2013221744</t>
  </si>
  <si>
    <t xml:space="preserve">Automated Access, Key, Certificate, and Credential Management </t>
  </si>
  <si>
    <t>US2015222604</t>
  </si>
  <si>
    <t xml:space="preserve">System and method for activating a device based on a record of physical activity </t>
  </si>
  <si>
    <t>US2009171788</t>
  </si>
  <si>
    <t xml:space="preserve">Systems and methods for dynamic digital product synthesis, commerce, and distribution </t>
  </si>
  <si>
    <t>US2013304604</t>
  </si>
  <si>
    <t xml:space="preserve">Load balanced inter-device messaging </t>
  </si>
  <si>
    <t>US2015088982</t>
  </si>
  <si>
    <t xml:space="preserve">Automated Mobile Boom System for Crawling Robots </t>
  </si>
  <si>
    <t>US2015226369</t>
  </si>
  <si>
    <t xml:space="preserve">Chinese massage robot </t>
  </si>
  <si>
    <t>CN102058466</t>
  </si>
  <si>
    <t xml:space="preserve">Visual vector display generation of very fast moving elements </t>
  </si>
  <si>
    <t>US2006050929</t>
  </si>
  <si>
    <t xml:space="preserve">Pool cleaning robot and a method for cleaning a pool </t>
  </si>
  <si>
    <t>US2016060887</t>
  </si>
  <si>
    <t xml:space="preserve">Leg type mobile robot and its floor reaction force detecting device </t>
  </si>
  <si>
    <t>JP2003205484</t>
  </si>
  <si>
    <t xml:space="preserve">Varying camera self-determination based on subject motion </t>
  </si>
  <si>
    <t>US2007237514</t>
  </si>
  <si>
    <t xml:space="preserve">Unmanned device interaction methods and systems </t>
  </si>
  <si>
    <t>US2014022051</t>
  </si>
  <si>
    <t xml:space="preserve">Apparatus and Method for Brewed and Espresso Drink Generation </t>
  </si>
  <si>
    <t>US2012156337</t>
  </si>
  <si>
    <t xml:space="preserve">Personal monitoring system </t>
  </si>
  <si>
    <t>US2014143064</t>
  </si>
  <si>
    <t>US2007248330</t>
  </si>
  <si>
    <t xml:space="preserve">Configuration and management of light positioning system using digital pulse recognition </t>
  </si>
  <si>
    <t>US2014045549</t>
  </si>
  <si>
    <t xml:space="preserve">Providing a local device with computing services from a remote host </t>
  </si>
  <si>
    <t>US2010299187</t>
  </si>
  <si>
    <t xml:space="preserve">Personnel risk management system and methods </t>
  </si>
  <si>
    <t>US2005182722</t>
  </si>
  <si>
    <t xml:space="preserve">Internal means for rotating an object between gravitationally stable states </t>
  </si>
  <si>
    <t>US2012298430</t>
  </si>
  <si>
    <t xml:space="preserve">Systems and Methods for Creating, Managing and Communicating Users and Applications on Spontaneous Area Networks </t>
  </si>
  <si>
    <t>US2010208662</t>
  </si>
  <si>
    <t xml:space="preserve">Personally powered appliance </t>
  </si>
  <si>
    <t>US2015068069</t>
  </si>
  <si>
    <t xml:space="preserve">Leg type mobile robot and exterior module for robot </t>
  </si>
  <si>
    <t>JP2001239479</t>
  </si>
  <si>
    <t xml:space="preserve">Practical method and means for mechanosynthesis and assembly of precise nanostructures and materials including diamond, programmable systems for performing same; devices and systems produced thereby, and applications thereof </t>
  </si>
  <si>
    <t>US2009056802</t>
  </si>
  <si>
    <t xml:space="preserve">Robot apparatus and method of controlling the same </t>
  </si>
  <si>
    <t>US2007220637</t>
  </si>
  <si>
    <t xml:space="preserve">Communication using augmented reality </t>
  </si>
  <si>
    <t>US2013249947</t>
  </si>
  <si>
    <t xml:space="preserve">Systems and Apparatuses for a Secure Mobile Cloud Framework for Mobile Computing and Communication </t>
  </si>
  <si>
    <t>US2016044035</t>
  </si>
  <si>
    <t xml:space="preserve">Apparatus and methods for control of robot actions based on corrective user inputs </t>
  </si>
  <si>
    <t>US2015217449</t>
  </si>
  <si>
    <t xml:space="preserve">Telerobot for Facilitating Interaction between Users </t>
  </si>
  <si>
    <t>US2013105239</t>
  </si>
  <si>
    <t xml:space="preserve">Device and method of controlling operation of robot apparatus </t>
  </si>
  <si>
    <t>US2006033462</t>
  </si>
  <si>
    <t xml:space="preserve">Walking attitude producing device of mobile robot with legs </t>
  </si>
  <si>
    <t>JPH10217161</t>
  </si>
  <si>
    <t xml:space="preserve">Series relayed wireless power transfer in a vehicle </t>
  </si>
  <si>
    <t>US2014265555</t>
  </si>
  <si>
    <t xml:space="preserve">Tactical surveillance and threat detection system </t>
  </si>
  <si>
    <t>US2007171042</t>
  </si>
  <si>
    <t xml:space="preserve">Mobile wireless appliance </t>
  </si>
  <si>
    <t>US9060683</t>
  </si>
  <si>
    <t xml:space="preserve">System for providing information and associated devices </t>
  </si>
  <si>
    <t>US2014155098</t>
  </si>
  <si>
    <t xml:space="preserve">System for intelligent control of a vehicle suspension based on soft computing </t>
  </si>
  <si>
    <t>US6463371</t>
  </si>
  <si>
    <t xml:space="preserve">Three dimensional digitally rendered environments </t>
  </si>
  <si>
    <t>US2011072367</t>
  </si>
  <si>
    <t xml:space="preserve">Lossy wireless energy transfer environment </t>
  </si>
  <si>
    <t>CN102439669</t>
  </si>
  <si>
    <t xml:space="preserve">Modifiable display marker </t>
  </si>
  <si>
    <t>US2007048084</t>
  </si>
  <si>
    <t xml:space="preserve">Dynamic versioning utilizing multiple controller engine instances to limit complications </t>
  </si>
  <si>
    <t>US2008208365</t>
  </si>
  <si>
    <t xml:space="preserve">Modular wall climbing robot with transition capability </t>
  </si>
  <si>
    <t>US7520356</t>
  </si>
  <si>
    <t xml:space="preserve">Personalized driving ranking and alerting </t>
  </si>
  <si>
    <t>US9189897</t>
  </si>
  <si>
    <t xml:space="preserve">Rfid and robots for multichannel shopping </t>
  </si>
  <si>
    <t>US2014152507</t>
  </si>
  <si>
    <t xml:space="preserve">Personalized Driving of Autonomously Driven Vehicles </t>
  </si>
  <si>
    <t>US2016026182</t>
  </si>
  <si>
    <t xml:space="preserve">Control device for mobile body </t>
  </si>
  <si>
    <t>US2011022232</t>
  </si>
  <si>
    <t xml:space="preserve">Manipulation system and method </t>
  </si>
  <si>
    <t>US2009306825</t>
  </si>
  <si>
    <t xml:space="preserve">Full automatic cooking robot system </t>
  </si>
  <si>
    <t>CN101006833</t>
  </si>
  <si>
    <t xml:space="preserve">Resistive balance for an energy storage device </t>
  </si>
  <si>
    <t>US2006194102</t>
  </si>
  <si>
    <t xml:space="preserve">Enhancing a sensory perception in a field of view of a real-time source within a display screen through augmented reality </t>
  </si>
  <si>
    <t>US2013222371</t>
  </si>
  <si>
    <t xml:space="preserve">Interactive user interface </t>
  </si>
  <si>
    <t>US2013232430</t>
  </si>
  <si>
    <t xml:space="preserve">Method to generate self-organizing processes in autonomous mechanisms and organisms </t>
  </si>
  <si>
    <t>US6172941</t>
  </si>
  <si>
    <t xml:space="preserve">Robot management systems for determining docking station pose including mobile robots and methods using same </t>
  </si>
  <si>
    <t>US2014100693</t>
  </si>
  <si>
    <t xml:space="preserve">An assembly for and a method of feeding and milking animals </t>
  </si>
  <si>
    <t>EP1523880</t>
  </si>
  <si>
    <t xml:space="preserve">Line sensing robot and a method of using the same with a digital display </t>
  </si>
  <si>
    <t>US2013288560</t>
  </si>
  <si>
    <t xml:space="preserve">Mobile videoconferencing </t>
  </si>
  <si>
    <t>US2012246212</t>
  </si>
  <si>
    <t xml:space="preserve">Logistics system complete equipment </t>
  </si>
  <si>
    <t>CN201214554</t>
  </si>
  <si>
    <t xml:space="preserve">Webrooming with rfid-scanning robots </t>
  </si>
  <si>
    <t>US2014304107</t>
  </si>
  <si>
    <t>US7606634</t>
  </si>
  <si>
    <t xml:space="preserve">Passive orientation apparatus </t>
  </si>
  <si>
    <t>US6286386</t>
  </si>
  <si>
    <t xml:space="preserve">Touch sensitive robotic gripper </t>
  </si>
  <si>
    <t>US2013238129</t>
  </si>
  <si>
    <t xml:space="preserve">Method of milking an animal </t>
  </si>
  <si>
    <t>US2005120965</t>
  </si>
  <si>
    <t>CN1956692</t>
  </si>
  <si>
    <t>WO2013142840</t>
  </si>
  <si>
    <t xml:space="preserve">Geometric routing in wireless networks </t>
  </si>
  <si>
    <t>US2006259597</t>
  </si>
  <si>
    <t xml:space="preserve">Devices, methods, and associated information processing for the smart-sensored home </t>
  </si>
  <si>
    <t>CN104813378</t>
  </si>
  <si>
    <t xml:space="preserve">Producing, Capturing and Using Visual Identification Tags for Moving Objects </t>
  </si>
  <si>
    <t>US2012039529</t>
  </si>
  <si>
    <t xml:space="preserve">Interface for robot motion control </t>
  </si>
  <si>
    <t>US2006161300</t>
  </si>
  <si>
    <t xml:space="preserve">Security, safety, and redundancy employing controller engine instances </t>
  </si>
  <si>
    <t>US2008209211</t>
  </si>
  <si>
    <t xml:space="preserve">Multi-server fractional subdomain dns protocol </t>
  </si>
  <si>
    <t>US2015052253</t>
  </si>
  <si>
    <t xml:space="preserve">Apparatus for tracking an overhead line and automatically moving around obstacles on the line </t>
  </si>
  <si>
    <t>US5103739</t>
  </si>
  <si>
    <t xml:space="preserve">Storage and retrieval system </t>
  </si>
  <si>
    <t>WO2010118412</t>
  </si>
  <si>
    <t xml:space="preserve">Exhaustive search system and method using space-filling curves </t>
  </si>
  <si>
    <t>US6636847</t>
  </si>
  <si>
    <t xml:space="preserve">System and Method for Identity Management </t>
  </si>
  <si>
    <t>US2015058931</t>
  </si>
  <si>
    <t>US2007088553</t>
  </si>
  <si>
    <t xml:space="preserve">Learning control apparatus, learning control method, and computer program </t>
  </si>
  <si>
    <t>US2006195409</t>
  </si>
  <si>
    <t xml:space="preserve">Method and apparatus for an avatar user interface system </t>
  </si>
  <si>
    <t>WO03058518</t>
  </si>
  <si>
    <t>KR20060113930</t>
  </si>
  <si>
    <t>WO2009042965</t>
  </si>
  <si>
    <t xml:space="preserve">Image processing-based self-control underwater robot </t>
  </si>
  <si>
    <t>CN202703877</t>
  </si>
  <si>
    <t xml:space="preserve">Cable channel intelligent inspection robot monitoring application system </t>
  </si>
  <si>
    <t>CN202735798</t>
  </si>
  <si>
    <t xml:space="preserve">Real-time self collision and obstacle avoidance </t>
  </si>
  <si>
    <t>US2009074252</t>
  </si>
  <si>
    <t xml:space="preserve">Method and apparatus for automating arm and grasping movement training for rehabilitation of patients with motor impairment </t>
  </si>
  <si>
    <t>US2007060445</t>
  </si>
  <si>
    <t xml:space="preserve">CMM arm with exoskeleton </t>
  </si>
  <si>
    <t>CN1812868</t>
  </si>
  <si>
    <t xml:space="preserve">Control device of leg type moving robot </t>
  </si>
  <si>
    <t>JPH10277969</t>
  </si>
  <si>
    <t>JP2001096482</t>
  </si>
  <si>
    <t xml:space="preserve">Autonomous mobile platform for service applications </t>
  </si>
  <si>
    <t>US2015012163</t>
  </si>
  <si>
    <t xml:space="preserve">Robotic surgical system for performing minimally invasive medical procedures </t>
  </si>
  <si>
    <t>CN101443162</t>
  </si>
  <si>
    <t xml:space="preserve">Improvements to mobile robots and their control system </t>
  </si>
  <si>
    <t>CN1284177</t>
  </si>
  <si>
    <t>WO2014063150</t>
  </si>
  <si>
    <t xml:space="preserve">Robot device and action control method used for the same </t>
  </si>
  <si>
    <t>JP2004167666</t>
  </si>
  <si>
    <t xml:space="preserve">Integrated machining center </t>
  </si>
  <si>
    <t>CN1145840</t>
  </si>
  <si>
    <t xml:space="preserve">Leg type mobile robot and control method for its motion </t>
  </si>
  <si>
    <t>JP2001138272</t>
  </si>
  <si>
    <t>US2015019013</t>
  </si>
  <si>
    <t xml:space="preserve">Providing interactive travel content at a display device </t>
  </si>
  <si>
    <t>US2013249948</t>
  </si>
  <si>
    <t xml:space="preserve">Bridge detecting robot based on negative-pressure absorption </t>
  </si>
  <si>
    <t>CN102966038</t>
  </si>
  <si>
    <t xml:space="preserve">Modularized reconfigurable multifunctional education robot </t>
  </si>
  <si>
    <t>CN101369385</t>
  </si>
  <si>
    <t xml:space="preserve">Novel vacuum handling manipulator </t>
  </si>
  <si>
    <t>CN103448052</t>
  </si>
  <si>
    <t xml:space="preserve">Magnetic assembly of soft robots with hard components </t>
  </si>
  <si>
    <t>WO2014138123</t>
  </si>
  <si>
    <t xml:space="preserve">Robotic Vehicle </t>
  </si>
  <si>
    <t>US2011190933</t>
  </si>
  <si>
    <t xml:space="preserve">Leg type mobile and its controlling method </t>
  </si>
  <si>
    <t>JP2001138273</t>
  </si>
  <si>
    <t xml:space="preserve">Small-sized caterpillar belt inspect robot system for cable tunnel hazardous environment </t>
  </si>
  <si>
    <t>CN101468664</t>
  </si>
  <si>
    <t xml:space="preserve">Social Processing Member Offering Fixed and Intelligent Services </t>
  </si>
  <si>
    <t>US2013091551</t>
  </si>
  <si>
    <t xml:space="preserve">Real-time self collision and obstacle avoidance using weighting matrix </t>
  </si>
  <si>
    <t>US2009118863</t>
  </si>
  <si>
    <t xml:space="preserve">Robot server and automatic chatting method </t>
  </si>
  <si>
    <t>CN101076061</t>
  </si>
  <si>
    <t xml:space="preserve">Chatting robot system and automatic chatting method </t>
  </si>
  <si>
    <t>CN101076060</t>
  </si>
  <si>
    <t xml:space="preserve">Device for balance and body orientation support </t>
  </si>
  <si>
    <t>US2010170546</t>
  </si>
  <si>
    <t xml:space="preserve">Intelligent adaptive design </t>
  </si>
  <si>
    <t>CN101923669</t>
  </si>
  <si>
    <t xml:space="preserve">Walking posture generation device for leg type moving robot </t>
  </si>
  <si>
    <t>JPH1086081</t>
  </si>
  <si>
    <t xml:space="preserve">Automatic control system generation for robot design validation </t>
  </si>
  <si>
    <t>US2007233280</t>
  </si>
  <si>
    <t xml:space="preserve">3-degree-of-freedom 6-UPS tri-translational parallel robot </t>
  </si>
  <si>
    <t>CN1827312</t>
  </si>
  <si>
    <t xml:space="preserve">Managing network connected devices </t>
  </si>
  <si>
    <t>US2017272316</t>
  </si>
  <si>
    <t xml:space="preserve">Legged Mobile Robot and Control Program </t>
  </si>
  <si>
    <t>US2008046123</t>
  </si>
  <si>
    <t xml:space="preserve">Delivering aggregated social media with third party apis </t>
  </si>
  <si>
    <t>US2013226758</t>
  </si>
  <si>
    <t xml:space="preserve">Material handling system and method using autonomous mobile drive units and movable inventory trays </t>
  </si>
  <si>
    <t>WO2004069699</t>
  </si>
  <si>
    <t>WO2010022185</t>
  </si>
  <si>
    <t xml:space="preserve">Computing grid for massively multiplayer online games and other multi-user immersive persistent-state and session-based applications </t>
  </si>
  <si>
    <t>WO03081447</t>
  </si>
  <si>
    <t xml:space="preserve">Formation system and formation method of multi-mobile robot based on wireless sensor network </t>
  </si>
  <si>
    <t>CN102662377</t>
  </si>
  <si>
    <t xml:space="preserve">Obstacle evading route searching method for mobile object </t>
  </si>
  <si>
    <t>JPH05297937</t>
  </si>
  <si>
    <t xml:space="preserve">Software center and highly configurable robotic systems for surgery and other uses </t>
  </si>
  <si>
    <t>CN101227870</t>
  </si>
  <si>
    <t xml:space="preserve">Electronic digital traffic management method converts detected data for traffic subscribers into cyberworld for dynamic analysis for detection and prevention of potential disaster </t>
  </si>
  <si>
    <t>DE10200002</t>
  </si>
  <si>
    <t xml:space="preserve">Battery and unmanned aerial vehicle with the battery </t>
  </si>
  <si>
    <t>US2015158392</t>
  </si>
  <si>
    <t>US2015059003</t>
  </si>
  <si>
    <t xml:space="preserve">Unmanned device utilization methods and systems </t>
  </si>
  <si>
    <t>US2014025236</t>
  </si>
  <si>
    <t>US2015255994</t>
  </si>
  <si>
    <t xml:space="preserve">Digital image cropping using a blended map </t>
  </si>
  <si>
    <t>US7978918</t>
  </si>
  <si>
    <t xml:space="preserve">Auto gluing apparatus </t>
  </si>
  <si>
    <t>KR20090004182</t>
  </si>
  <si>
    <t xml:space="preserve">Wearable and convertible passive and active movement training robot: apparatus and method </t>
  </si>
  <si>
    <t>CN102614066</t>
  </si>
  <si>
    <t xml:space="preserve">Gesture Recognition Cloud Command Platform, System, Method, and Apparatus </t>
  </si>
  <si>
    <t>US2016109954</t>
  </si>
  <si>
    <t xml:space="preserve">Assay plates, reader systems and methods for luminescence test measurements </t>
  </si>
  <si>
    <t>CN1549921</t>
  </si>
  <si>
    <t xml:space="preserve">Floor shape estimating device for leg type mobile robot </t>
  </si>
  <si>
    <t>JP2001322076</t>
  </si>
  <si>
    <t xml:space="preserve">Building-Integrated Mobile Robot </t>
  </si>
  <si>
    <t>US2017225336</t>
  </si>
  <si>
    <t xml:space="preserve">Device and method for deassembling and assembling combustion turbine </t>
  </si>
  <si>
    <t>CN1159380</t>
  </si>
  <si>
    <t xml:space="preserve">Working equipment provided in one position and engineering machinery employing the same </t>
  </si>
  <si>
    <t>CN200974980</t>
  </si>
  <si>
    <t xml:space="preserve">hybrid manual-robotic system for controlling the position of an instrument </t>
  </si>
  <si>
    <t>US2010185211</t>
  </si>
  <si>
    <t xml:space="preserve">Wireless energy transfer device </t>
  </si>
  <si>
    <t>JP2012502602</t>
  </si>
  <si>
    <t xml:space="preserve">Method and device for positioning components to be joined together </t>
  </si>
  <si>
    <t>US7331094</t>
  </si>
  <si>
    <t xml:space="preserve">Virtual earth </t>
  </si>
  <si>
    <t>CN101427104</t>
  </si>
  <si>
    <t xml:space="preserve">Self-propelling boots, skates or artificial feet for able bodied or disabled persons and robots, comprise fixed upper members and centrally pivoted lower members actuated by a compressed air bag </t>
  </si>
  <si>
    <t>FR2839443</t>
  </si>
  <si>
    <t xml:space="preserve">Robot hand comprising a hydraulic unit having a storage space with a variable compensating volume </t>
  </si>
  <si>
    <t>WO2006056255</t>
  </si>
  <si>
    <t xml:space="preserve">Mobile detecting cart </t>
  </si>
  <si>
    <t>CN203142835</t>
  </si>
  <si>
    <t xml:space="preserve">Connectivity maintenance using a quality of service-based robot path planning algorithm </t>
  </si>
  <si>
    <t>US2015197010</t>
  </si>
  <si>
    <t xml:space="preserve">Air pressure type regulation fish and shell fishe dissection apparatus and method of used </t>
  </si>
  <si>
    <t>KR20120064663</t>
  </si>
  <si>
    <t xml:space="preserve">Endoscope holder </t>
  </si>
  <si>
    <t>JP2001145634</t>
  </si>
  <si>
    <t xml:space="preserve">Wearable electronics and mounting method expedient biologically </t>
  </si>
  <si>
    <t>JP2009527134</t>
  </si>
  <si>
    <t xml:space="preserve">Green Energy Mine Defeat System </t>
  </si>
  <si>
    <t>US2014007756</t>
  </si>
  <si>
    <t xml:space="preserve">Vertical counter balanced test head manipulator </t>
  </si>
  <si>
    <t>CN1408065</t>
  </si>
  <si>
    <t xml:space="preserve">Group robot system </t>
  </si>
  <si>
    <t>JP2007242056</t>
  </si>
  <si>
    <t xml:space="preserve">Flexible double-wheel self-balancing robot attitude detecting method </t>
  </si>
  <si>
    <t>CN101100059</t>
  </si>
  <si>
    <t xml:space="preserve">Variable structure monotroch robot capable of realizing self balance </t>
  </si>
  <si>
    <t>CN204229226</t>
  </si>
  <si>
    <t>USD627377</t>
  </si>
  <si>
    <t xml:space="preserve">Self-balanced intelligent traffic robot </t>
  </si>
  <si>
    <t>CN202180886</t>
  </si>
  <si>
    <t xml:space="preserve">Two-wheel self-balancing patrolling robot for transformer substation </t>
  </si>
  <si>
    <t>CN203245872</t>
  </si>
  <si>
    <t xml:space="preserve">Self-balancing type six-wheel independent driving robot </t>
  </si>
  <si>
    <t>CN201249818</t>
  </si>
  <si>
    <t xml:space="preserve">Gravity center self-balance device for high-order picking truck </t>
  </si>
  <si>
    <t>CN102358600</t>
  </si>
  <si>
    <t xml:space="preserve">Reset mechanism and steering device of self-balancing two-wheeled robot utilizing reset mechanism </t>
  </si>
  <si>
    <t>CN102826147</t>
  </si>
  <si>
    <t xml:space="preserve">Intelligent self-balancing traffic robot </t>
  </si>
  <si>
    <t>CN202879697</t>
  </si>
  <si>
    <t xml:space="preserve">Self-balancing waddle-walking robot driven by axial-radial counter forces </t>
  </si>
  <si>
    <t>CN203612099</t>
  </si>
  <si>
    <t xml:space="preserve">Self-balancing motor-driven two-wheel robot steering device and reset mechanism thereof </t>
  </si>
  <si>
    <t>CN202827912</t>
  </si>
  <si>
    <t xml:space="preserve">Two-wheel balance car reset device and self-balancing electric vehicle adopting same </t>
  </si>
  <si>
    <t>CN103552635</t>
  </si>
  <si>
    <t xml:space="preserve">Reset mechanism and self-balancing motor-driven two-wheel robot steering device thereof </t>
  </si>
  <si>
    <t>CN202827910</t>
  </si>
  <si>
    <t xml:space="preserve">Two wheel self-balancing robot and its control method by control moment gyroscope </t>
  </si>
  <si>
    <t>KR101846383</t>
  </si>
  <si>
    <t xml:space="preserve">Rigid flexible coupled wirewalking robot based on balance beam </t>
  </si>
  <si>
    <t>CN102424075</t>
  </si>
  <si>
    <t xml:space="preserve">Reset device of two-wheeled balance car and self-balancing electric car with same </t>
  </si>
  <si>
    <t>CN203593099</t>
  </si>
  <si>
    <t xml:space="preserve">Two kinds of robot self-balancing sliding mode control method of adaptively </t>
  </si>
  <si>
    <t>CN106041934</t>
  </si>
  <si>
    <t xml:space="preserve">The self-balancing robot guide </t>
  </si>
  <si>
    <t>CN207606854</t>
  </si>
  <si>
    <t xml:space="preserve">Two deformable self balancing robot </t>
  </si>
  <si>
    <t>CN207773294</t>
  </si>
  <si>
    <t xml:space="preserve">Species-based wireless control of miniature two self-balancing robot </t>
  </si>
  <si>
    <t>CN207790998</t>
  </si>
  <si>
    <t xml:space="preserve">Two kinds of known parameters based on the partial self-balancing robot control method </t>
  </si>
  <si>
    <t>CN106182000</t>
  </si>
  <si>
    <t xml:space="preserve">Kind of self-balancing robot automatically follow the system </t>
  </si>
  <si>
    <t>CN207718226</t>
  </si>
  <si>
    <t xml:space="preserve">Two kinds of self-balancing robot toy platform </t>
  </si>
  <si>
    <t>CN207614340</t>
  </si>
  <si>
    <t xml:space="preserve">Self-balanced robot </t>
  </si>
  <si>
    <t>CN203727502</t>
  </si>
  <si>
    <t xml:space="preserve">Power generation system based on two-wheeled self-balancing trolley </t>
  </si>
  <si>
    <t>CN203840044</t>
  </si>
  <si>
    <t xml:space="preserve">Self-balancing cellosilk laying mechanical arm </t>
  </si>
  <si>
    <t>CN204249371</t>
  </si>
  <si>
    <t>CN103770873</t>
  </si>
  <si>
    <t>CN103331747</t>
  </si>
  <si>
    <t xml:space="preserve">Self-balancing robot filament placement </t>
  </si>
  <si>
    <t>CN108481316</t>
  </si>
  <si>
    <t xml:space="preserve">Kind of modular self-balancing robot education </t>
  </si>
  <si>
    <t>CN108470504</t>
  </si>
  <si>
    <t xml:space="preserve">Certification room thermostat self-balancing robot </t>
  </si>
  <si>
    <t>CN108527396</t>
  </si>
  <si>
    <t>CN108356829</t>
  </si>
  <si>
    <t xml:space="preserve">Kind of two-wheeled self-balancing robot </t>
  </si>
  <si>
    <t>CN207937873</t>
  </si>
  <si>
    <t xml:space="preserve">Inductive self-balance object table for teaching assistant robot </t>
  </si>
  <si>
    <t>CN106128179</t>
  </si>
  <si>
    <t xml:space="preserve">Self-balancing swing walking robot driven by axial and radial direction counter-force </t>
  </si>
  <si>
    <t>CN103612687</t>
  </si>
  <si>
    <t xml:space="preserve">Self-balancing cellosilk placement manipulator arm </t>
  </si>
  <si>
    <t>CN104441691</t>
  </si>
  <si>
    <t xml:space="preserve">Two-wheeled self-balancing trolley </t>
  </si>
  <si>
    <t>CN104210594</t>
  </si>
  <si>
    <t xml:space="preserve">Five-freedom large-argument self-balancing device </t>
  </si>
  <si>
    <t>CN1103475</t>
  </si>
  <si>
    <t xml:space="preserve">Smart automatic balance robot bicycle </t>
  </si>
  <si>
    <t>CN105278528</t>
  </si>
  <si>
    <t xml:space="preserve">Two self-balancing electric vehicle (i-ROBOT-P3 type) </t>
  </si>
  <si>
    <t>CN302526052</t>
  </si>
  <si>
    <t xml:space="preserve">Track-information-based control system and method for two-wheel self-balancing dolly </t>
  </si>
  <si>
    <t>CN105759823</t>
  </si>
  <si>
    <t xml:space="preserve">Reset mechanism and steering device of self-balancing power-driven two-wheeled robot utilizing reset mechanism </t>
  </si>
  <si>
    <t>CN102826113</t>
  </si>
  <si>
    <t xml:space="preserve">Spacecraft capture self-balancing mechanism </t>
  </si>
  <si>
    <t>CN102991730</t>
  </si>
  <si>
    <t xml:space="preserve">Robot </t>
  </si>
  <si>
    <t>CN103817683</t>
  </si>
  <si>
    <t xml:space="preserve">Self-organizing operating conditioned response automata and application in realization of intelligent behavior thereof </t>
  </si>
  <si>
    <t>CN101599137</t>
  </si>
  <si>
    <t xml:space="preserve">Stable robot of balance quality </t>
  </si>
  <si>
    <t>CN205614646</t>
  </si>
  <si>
    <t xml:space="preserve">Two-wheeled vertical type self-balancing trolley </t>
  </si>
  <si>
    <t>CN203191852</t>
  </si>
  <si>
    <t xml:space="preserve">Intelligent manned robot </t>
  </si>
  <si>
    <t>CN201296337</t>
  </si>
  <si>
    <t xml:space="preserve">Torque limiting clutch for use with robot arm </t>
  </si>
  <si>
    <t>US9759267</t>
  </si>
  <si>
    <t xml:space="preserve">Independent-state single-spheroid self-balanced movement device </t>
  </si>
  <si>
    <t>CN106393108</t>
  </si>
  <si>
    <t xml:space="preserve">Two-wheel self-balancing driving system based on embedded ARM </t>
  </si>
  <si>
    <t>CN103257605</t>
  </si>
  <si>
    <t xml:space="preserve">But remote control two -wheeled is upright from balancing trolley </t>
  </si>
  <si>
    <t>CN205068166</t>
  </si>
  <si>
    <t xml:space="preserve">Upper artificial limb hand gesture self-balancing control system </t>
  </si>
  <si>
    <t>CN202776646</t>
  </si>
  <si>
    <t xml:space="preserve">Sit-stand two-wheeled self-balancing vehicle and balance control method thereof </t>
  </si>
  <si>
    <t>CN105083432</t>
  </si>
  <si>
    <t xml:space="preserve">Two -wheeled self -balancing remote control car </t>
  </si>
  <si>
    <t>CN206218091</t>
  </si>
  <si>
    <t xml:space="preserve">Self -balancing of displacement can be taken notes and arm of barrier is kept away </t>
  </si>
  <si>
    <t>CN206493338</t>
  </si>
  <si>
    <t xml:space="preserve">Stable balance in properties of the robot and a control method </t>
  </si>
  <si>
    <t>CN105619392</t>
  </si>
  <si>
    <t xml:space="preserve">Two -wheeled self -balancing car control circuit </t>
  </si>
  <si>
    <t>CN205594387</t>
  </si>
  <si>
    <t xml:space="preserve">Self-balancing servo means </t>
  </si>
  <si>
    <t>CN207807784</t>
  </si>
  <si>
    <t xml:space="preserve">Robot with spring pivot balancing mechanism </t>
  </si>
  <si>
    <t>US4753128</t>
  </si>
  <si>
    <t xml:space="preserve">Embedded-ARM-based double-wheel self-balance drive system </t>
  </si>
  <si>
    <t>CN203278721</t>
  </si>
  <si>
    <t xml:space="preserve">From balancing machine arm </t>
  </si>
  <si>
    <t>CN207290115</t>
  </si>
  <si>
    <t xml:space="preserve">Independent attitude self -balancing moving system </t>
  </si>
  <si>
    <t>CN206358274</t>
  </si>
  <si>
    <t xml:space="preserve">Two-wheel self-balance car control system </t>
  </si>
  <si>
    <t>CN105807689</t>
  </si>
  <si>
    <t xml:space="preserve">Momentum control based self-balance control method for generalized movements of humanoid robot </t>
  </si>
  <si>
    <t>CN104097206</t>
  </si>
  <si>
    <t xml:space="preserve">Apparatus and methods for training path navigation by robots </t>
  </si>
  <si>
    <t>US9604359</t>
  </si>
  <si>
    <t xml:space="preserve">Kind of self-balancing control system based on car platforms myRIO </t>
  </si>
  <si>
    <t>CN207860351</t>
  </si>
  <si>
    <t xml:space="preserve">Six Degrees of Freedom Self Balanced Hybrid Serial-Parallel Robotic Systemfor Rehabilitation of Upper and Lower Limbs, Left and Right </t>
  </si>
  <si>
    <t>US2018289577</t>
  </si>
  <si>
    <t xml:space="preserve">Self-balanced trolley control system and method based on myRIO platform </t>
  </si>
  <si>
    <t>CN107757795</t>
  </si>
  <si>
    <t xml:space="preserve">Self-adaptation and self-balancing manipulator finger </t>
  </si>
  <si>
    <t>CN203665545</t>
  </si>
  <si>
    <t xml:space="preserve">Six degrees of freedom self balanced hybrid serial-parallel robotic system for rehabilitation of upper and lower limbs, left and right </t>
  </si>
  <si>
    <t>EP3244862</t>
  </si>
  <si>
    <t xml:space="preserve">Double-leg walking robot and balancing shoes for double-leg walking robot </t>
  </si>
  <si>
    <t>CN105730544</t>
  </si>
  <si>
    <t>CN103802904</t>
  </si>
  <si>
    <t xml:space="preserve">Two -wheeled is from balancing trolley </t>
  </si>
  <si>
    <t>CN206741309</t>
  </si>
  <si>
    <t xml:space="preserve">From balancing machine arm and medical system </t>
  </si>
  <si>
    <t>CN207402779</t>
  </si>
  <si>
    <t xml:space="preserve">Can realize balanced wheel barrow device of turning </t>
  </si>
  <si>
    <t>CN205168691</t>
  </si>
  <si>
    <t xml:space="preserve">Wheeled self -balancing device </t>
  </si>
  <si>
    <t>CN206456475</t>
  </si>
  <si>
    <t xml:space="preserve">Two -wheeled is from balancing trolley based on arduino and cloud model control </t>
  </si>
  <si>
    <t>CN205844788</t>
  </si>
  <si>
    <t xml:space="preserve">Double round is manned from balancing trolley </t>
  </si>
  <si>
    <t>CN204846210</t>
  </si>
  <si>
    <t xml:space="preserve">Locking device and robot </t>
  </si>
  <si>
    <t>CN205440667</t>
  </si>
  <si>
    <t xml:space="preserve">Off means for supporting two self-balancing vehicle chassis assembly </t>
  </si>
  <si>
    <t>CN207737423</t>
  </si>
  <si>
    <t xml:space="preserve">Wheel type self-balancing device </t>
  </si>
  <si>
    <t>CN106828724</t>
  </si>
  <si>
    <t xml:space="preserve">Robot and balance shoes </t>
  </si>
  <si>
    <t>CN105947011</t>
  </si>
  <si>
    <t xml:space="preserve">Robot head </t>
  </si>
  <si>
    <t>USD626578</t>
  </si>
  <si>
    <t xml:space="preserve">Upper prosthetic hand pose self-balancing control system and working method thereof </t>
  </si>
  <si>
    <t>CN102764166</t>
  </si>
  <si>
    <t xml:space="preserve">Automatic balancing robot control mechanism </t>
  </si>
  <si>
    <t>CN202825841</t>
  </si>
  <si>
    <t xml:space="preserve">Balance control method and vehicle </t>
  </si>
  <si>
    <t>CN107340778</t>
  </si>
  <si>
    <t xml:space="preserve">Ball robot </t>
  </si>
  <si>
    <t>US8099189</t>
  </si>
  <si>
    <t xml:space="preserve">Flying robot hovering control system setup method </t>
  </si>
  <si>
    <t>CN108062104</t>
  </si>
  <si>
    <t xml:space="preserve">Free dance step generation method for two-wheel robot </t>
  </si>
  <si>
    <t>CN102707717</t>
  </si>
  <si>
    <t xml:space="preserve">Self-balancing bicycle based on disk grating </t>
  </si>
  <si>
    <t>CN103600795</t>
  </si>
  <si>
    <t xml:space="preserve">Balanced robot </t>
  </si>
  <si>
    <t>CN207670570</t>
  </si>
  <si>
    <t>CN101140515</t>
  </si>
  <si>
    <t xml:space="preserve">Telepresence intelligent robot, telepresence interaction system and method </t>
  </si>
  <si>
    <t>CN106154869</t>
  </si>
  <si>
    <t xml:space="preserve">Method for two-wheeled balancing device to fly off to the ground in a floating way and two-wheeled balancing device </t>
  </si>
  <si>
    <t>CN106444798</t>
  </si>
  <si>
    <t xml:space="preserve">robot </t>
  </si>
  <si>
    <t>CN105691482</t>
  </si>
  <si>
    <t xml:space="preserve">Novel automatic obstacle avoiding double round balance car </t>
  </si>
  <si>
    <t>CN206914529</t>
  </si>
  <si>
    <t xml:space="preserve">Round trip flight wheel tight -wire walking robot structure </t>
  </si>
  <si>
    <t>CN205166931</t>
  </si>
  <si>
    <t xml:space="preserve">Metamorphic expandable balance submersible device </t>
  </si>
  <si>
    <t>CN103264763</t>
  </si>
  <si>
    <t xml:space="preserve">Pendulum angle detection device of self-balancing two-wheel car support platform </t>
  </si>
  <si>
    <t>CN102853759</t>
  </si>
  <si>
    <t xml:space="preserve">Double round is from balancing trolley based on wireless control </t>
  </si>
  <si>
    <t>CN205087089</t>
  </si>
  <si>
    <t xml:space="preserve">Balanced stabilizing mean of robot head </t>
  </si>
  <si>
    <t>CN206048258</t>
  </si>
  <si>
    <t xml:space="preserve">Material handling system manual or automatic with self- balancing linkage </t>
  </si>
  <si>
    <t>FR2781709</t>
  </si>
  <si>
    <t xml:space="preserve">Sing-wheel transporter </t>
  </si>
  <si>
    <t>CN101513911</t>
  </si>
  <si>
    <t xml:space="preserve">Wheelbarrow turning balance device can be realized </t>
  </si>
  <si>
    <t>CN105235774</t>
  </si>
  <si>
    <t xml:space="preserve">Bicycle-robot with controlling driving, steering and balancing and method controlling the bicycle-robot </t>
  </si>
  <si>
    <t>KR20120116046</t>
  </si>
  <si>
    <t>CN205969039</t>
  </si>
  <si>
    <t xml:space="preserve">Flying round tightrope robot structure </t>
  </si>
  <si>
    <t>CN105234935</t>
  </si>
  <si>
    <t xml:space="preserve">Pipeline robot based on image recognition technology and control method </t>
  </si>
  <si>
    <t>CN106374394</t>
  </si>
  <si>
    <t xml:space="preserve">Self balance type punching riveting gun and control method thereof </t>
  </si>
  <si>
    <t>CN104493049</t>
  </si>
  <si>
    <t xml:space="preserve">Load Balancing self-test means for automatically stop the robot </t>
  </si>
  <si>
    <t>CN108571220</t>
  </si>
  <si>
    <t xml:space="preserve">Remote virtual robot based on dynamic balance car </t>
  </si>
  <si>
    <t>CN203888925</t>
  </si>
  <si>
    <t xml:space="preserve">Double-wheel mini type motorcycle </t>
  </si>
  <si>
    <t>CN104670359</t>
  </si>
  <si>
    <t xml:space="preserve">Two-freedom-degree robot motion control method </t>
  </si>
  <si>
    <t>CN103170976</t>
  </si>
  <si>
    <t xml:space="preserve">Medical assistant robot of intelligence </t>
  </si>
  <si>
    <t>CN206780416</t>
  </si>
  <si>
    <t xml:space="preserve">Wire walking robot </t>
  </si>
  <si>
    <t>CN1472044</t>
  </si>
  <si>
    <t xml:space="preserve">Self-balancing vehicle having only one wheel or having one segmented wheel, and method for self-balancing control of such a vehicle </t>
  </si>
  <si>
    <t>WO2012160400</t>
  </si>
  <si>
    <t xml:space="preserve">Quick kinds of spraying robot teaching device </t>
  </si>
  <si>
    <t>CN207736292</t>
  </si>
  <si>
    <t xml:space="preserve">Movement control method of self-balancing two-wheel vehicle </t>
  </si>
  <si>
    <t>CN103010360</t>
  </si>
  <si>
    <t xml:space="preserve">Implementation of structural and mechanical robot photography </t>
  </si>
  <si>
    <t>CN207747033</t>
  </si>
  <si>
    <t xml:space="preserve">Self-balancing linking arm </t>
  </si>
  <si>
    <t>CN202181177</t>
  </si>
  <si>
    <t xml:space="preserve">Walking robot and method for controlling walking robot </t>
  </si>
  <si>
    <t>JP2004314216</t>
  </si>
  <si>
    <t xml:space="preserve">Balance device and robot with same </t>
  </si>
  <si>
    <t>CN203901299</t>
  </si>
  <si>
    <t xml:space="preserve">Self-balance floating sealing device </t>
  </si>
  <si>
    <t>CN105402417</t>
  </si>
  <si>
    <t xml:space="preserve">High-stability intelligent self-balance device and control method thereof </t>
  </si>
  <si>
    <t>CN104608859</t>
  </si>
  <si>
    <t xml:space="preserve">State detection device used on self-balancing two-wheeled vehicle and state detection method </t>
  </si>
  <si>
    <t>CN103162738</t>
  </si>
  <si>
    <t xml:space="preserve">Portable self-balancing vehicle </t>
  </si>
  <si>
    <t>CN201914376</t>
  </si>
  <si>
    <t xml:space="preserve">Chassis running gear and service robot </t>
  </si>
  <si>
    <t>CN207240224</t>
  </si>
  <si>
    <t xml:space="preserve">Rotatory nozzle is pull in recoil of hydraulic pressure self -balancing </t>
  </si>
  <si>
    <t>CN204953167</t>
  </si>
  <si>
    <t xml:space="preserve">Self-balancing bike with small wheels </t>
  </si>
  <si>
    <t>CN203740058</t>
  </si>
  <si>
    <t xml:space="preserve">Steering device of self-balance two-wheeler </t>
  </si>
  <si>
    <t>CN102849156</t>
  </si>
  <si>
    <t xml:space="preserve">Self-balancing electric bicycle hub motor </t>
  </si>
  <si>
    <t>CN203714124</t>
  </si>
  <si>
    <t xml:space="preserve">Elastic steering reset mechanism for self-balancing two-wheel electric vehicle </t>
  </si>
  <si>
    <t>CN202080392</t>
  </si>
  <si>
    <t xml:space="preserve">Gyroscopic-effect-based transverse self-balancing device and method </t>
  </si>
  <si>
    <t>CN104648497</t>
  </si>
  <si>
    <t xml:space="preserve">Efficient intelligent tracking pipeline detecting system </t>
  </si>
  <si>
    <t>CN103926448</t>
  </si>
  <si>
    <t xml:space="preserve">Anti-roll self-balancing vehicle </t>
  </si>
  <si>
    <t>CN204021082</t>
  </si>
  <si>
    <t xml:space="preserve">Multimodal agile robots </t>
  </si>
  <si>
    <t>US8083013</t>
  </si>
  <si>
    <t xml:space="preserve">Elastic reset mechanism and self-balancing two-wheel vehicle steering gear thereof </t>
  </si>
  <si>
    <t>CN202827911</t>
  </si>
  <si>
    <t xml:space="preserve">Folding mechanism of self-balancing two-wheeled vehicle </t>
  </si>
  <si>
    <t>CN202953118</t>
  </si>
  <si>
    <t>CN106044534</t>
  </si>
  <si>
    <t xml:space="preserve">Pedal structure of self-balancing two-wheel electric vehicle </t>
  </si>
  <si>
    <t>CN202080376</t>
  </si>
  <si>
    <t xml:space="preserve">Systems and devices for a counter balanced surgical robot </t>
  </si>
  <si>
    <t>US2014343567</t>
  </si>
  <si>
    <t xml:space="preserve">Intelligent self-balancing electric vehicle and direction control rod thereof </t>
  </si>
  <si>
    <t>CN202657171</t>
  </si>
  <si>
    <t xml:space="preserve">Commodity shelf, electric riding tool and self-balancing two-wheeled golf cart </t>
  </si>
  <si>
    <t>CN103287537</t>
  </si>
  <si>
    <t xml:space="preserve">Self-balancing two-wheeled vehicle simulation road test device </t>
  </si>
  <si>
    <t>CN103558034</t>
  </si>
  <si>
    <t xml:space="preserve">Steering mechanism of self-balancing two-wheeler </t>
  </si>
  <si>
    <t>CN103693146</t>
  </si>
  <si>
    <t xml:space="preserve">Support system, electronic self-balanced wheelchair method of controlling a support system and kit </t>
  </si>
  <si>
    <t>DE102014113278</t>
  </si>
  <si>
    <t xml:space="preserve">Self-balance and sliding plate double-purpose two-wheeled electric vehicle </t>
  </si>
  <si>
    <t>CN105015673</t>
  </si>
  <si>
    <t xml:space="preserve">Collision-resistant triphibian robot </t>
  </si>
  <si>
    <t>CN204432279</t>
  </si>
  <si>
    <t xml:space="preserve">Remote controlled, multi-legged, walking robot </t>
  </si>
  <si>
    <t>US5158493</t>
  </si>
  <si>
    <t xml:space="preserve">Spherical robot </t>
  </si>
  <si>
    <t>CN104908964</t>
  </si>
  <si>
    <t xml:space="preserve">Elastic reset mechanism and self-balancing two-wheeled vehicle steering device thereof </t>
  </si>
  <si>
    <t>CN102826148</t>
  </si>
  <si>
    <t xml:space="preserve">Standby system used for self-balancing two-wheel vehicle </t>
  </si>
  <si>
    <t>CN202916679</t>
  </si>
  <si>
    <t xml:space="preserve">Power supply system based on self-balancing two-wheel vehicle </t>
  </si>
  <si>
    <t>CN202260530</t>
  </si>
  <si>
    <t xml:space="preserve">Kind of robot toe bearing capacity balancing mechanism </t>
  </si>
  <si>
    <t>CN105892558</t>
  </si>
  <si>
    <t xml:space="preserve">Biped robot foot telescoping device texturing machine constructs </t>
  </si>
  <si>
    <t>CN206456452</t>
  </si>
  <si>
    <t xml:space="preserve">Steering apparatus of translational self-balanced two-wheel vehicle </t>
  </si>
  <si>
    <t>CN102826121</t>
  </si>
  <si>
    <t xml:space="preserve">Remote controller pairing method and device for self-balancing two-wheeled scooter </t>
  </si>
  <si>
    <t>CN103778770</t>
  </si>
  <si>
    <t xml:space="preserve">Dynamic stability control method for operation of humanoid robot arm </t>
  </si>
  <si>
    <t>CN102672719</t>
  </si>
  <si>
    <t xml:space="preserve">Battery pack locking assembly and self-balance electric vehicle thereof </t>
  </si>
  <si>
    <t>CN203859165</t>
  </si>
  <si>
    <t xml:space="preserve">Intelligent auditory humanoid robot and computerized verbalization system programmed to perform auditory and verbal artificial intelligence processes </t>
  </si>
  <si>
    <t>US9302393</t>
  </si>
  <si>
    <t xml:space="preserve">Suspended damping device for self-balancing electric two-wheeled vehicle </t>
  </si>
  <si>
    <t>CN104149913</t>
  </si>
  <si>
    <t xml:space="preserve">Steering elastic reset mechanism for self-balanced two-wheel electric vehicle </t>
  </si>
  <si>
    <t>CN102069872</t>
  </si>
  <si>
    <t xml:space="preserve">Speed reducing mechanism of self-balancing two-wheel vehicle </t>
  </si>
  <si>
    <t>CN103615508</t>
  </si>
  <si>
    <t xml:space="preserve">Single-wheel self-balance vehicle with load detecting devices and control method of single-wheel self-balance vehicle </t>
  </si>
  <si>
    <t>CN104691674</t>
  </si>
  <si>
    <t xml:space="preserve">Commodity shelf, electric tool for riding instead of walk and self-balance two-wheel golf ball cart </t>
  </si>
  <si>
    <t>CN203391922</t>
  </si>
  <si>
    <t xml:space="preserve">Controller for controlling a system </t>
  </si>
  <si>
    <t>US2003004777</t>
  </si>
  <si>
    <t xml:space="preserve">Joint type convey robot </t>
  </si>
  <si>
    <t>CN201198136</t>
  </si>
  <si>
    <t xml:space="preserve">Three-degree-of-freedom tandem type self-gravity-balance passive mechanical arm </t>
  </si>
  <si>
    <t>CN105196284</t>
  </si>
  <si>
    <t xml:space="preserve">Robot device for container disinfection </t>
  </si>
  <si>
    <t>CN201049464</t>
  </si>
  <si>
    <t xml:space="preserve">Multiple sporting state spherical robot </t>
  </si>
  <si>
    <t>CN101168372</t>
  </si>
  <si>
    <t xml:space="preserve">Multi-degree-of-freedom two-wheeled robot with variable gravity center </t>
  </si>
  <si>
    <t>CN102923204</t>
  </si>
  <si>
    <t xml:space="preserve">Barrier-free intelligent robot wheelchair used in flat ground and stairs </t>
  </si>
  <si>
    <t>CN203138895</t>
  </si>
  <si>
    <t xml:space="preserve">Amphibious barrier free intelligent robot wheel chair for ladder and land </t>
  </si>
  <si>
    <t>CN103110487</t>
  </si>
  <si>
    <t xml:space="preserve">Control of robots from human motion descriptors </t>
  </si>
  <si>
    <t>US8924021</t>
  </si>
  <si>
    <t xml:space="preserve">Four-footed walking robot in compound driving mode </t>
  </si>
  <si>
    <t>CN101758867</t>
  </si>
  <si>
    <t xml:space="preserve">Upright self-balancing intelligent vehicle </t>
  </si>
  <si>
    <t>CN102890890</t>
  </si>
  <si>
    <t xml:space="preserve">Method and apparatus for balancing vehicle wheels </t>
  </si>
  <si>
    <t>DE102007014461</t>
  </si>
  <si>
    <t xml:space="preserve">Synchronized computational architecture for generalized bilateral control of robot arms </t>
  </si>
  <si>
    <t>US5038089</t>
  </si>
  <si>
    <t xml:space="preserve">Counterbalance assembly for rotatable robotic arm and the like </t>
  </si>
  <si>
    <t>US4756204</t>
  </si>
  <si>
    <t xml:space="preserve">Radio controlled skateboard with robot </t>
  </si>
  <si>
    <t>US6074271</t>
  </si>
  <si>
    <t xml:space="preserve">Walking robot </t>
  </si>
  <si>
    <t>US5351626</t>
  </si>
  <si>
    <t xml:space="preserve">Natural robot control </t>
  </si>
  <si>
    <t>US6741911</t>
  </si>
  <si>
    <t xml:space="preserve">Industrial robot with servo </t>
  </si>
  <si>
    <t>US5155423</t>
  </si>
  <si>
    <t xml:space="preserve">Electronic pet system, network system, robot, and storage medium </t>
  </si>
  <si>
    <t>US6560511</t>
  </si>
  <si>
    <t xml:space="preserve">Radio controlled surfboard with robot </t>
  </si>
  <si>
    <t>US5947788</t>
  </si>
  <si>
    <t xml:space="preserve">Architecture for multiple interacting robot intelligences </t>
  </si>
  <si>
    <t>US7328196</t>
  </si>
  <si>
    <t xml:space="preserve">Motion controller for redundant or nonredundant linkages </t>
  </si>
  <si>
    <t>US4975856</t>
  </si>
  <si>
    <t xml:space="preserve">Industrial robot with controller </t>
  </si>
  <si>
    <t>US4937759</t>
  </si>
  <si>
    <t xml:space="preserve">Plasma device </t>
  </si>
  <si>
    <t>US6357385</t>
  </si>
  <si>
    <t xml:space="preserve">Articulated arm for medical procedures </t>
  </si>
  <si>
    <t>US5820623</t>
  </si>
  <si>
    <t xml:space="preserve">Customer communication service system </t>
  </si>
  <si>
    <t>US7106850</t>
  </si>
  <si>
    <t xml:space="preserve">Method and apparatus for data analysis </t>
  </si>
  <si>
    <t>US5983251</t>
  </si>
  <si>
    <t xml:space="preserve">Multiblock-robot </t>
  </si>
  <si>
    <t>US5241875</t>
  </si>
  <si>
    <t xml:space="preserve">Automated cartridge system </t>
  </si>
  <si>
    <t>US4932826</t>
  </si>
  <si>
    <t xml:space="preserve">Asynchronous temporal neural processing element </t>
  </si>
  <si>
    <t>US5355435</t>
  </si>
  <si>
    <t>US7858706</t>
  </si>
  <si>
    <t xml:space="preserve">Adaptive natural language computer interface system </t>
  </si>
  <si>
    <t>US4974191</t>
  </si>
  <si>
    <t xml:space="preserve">Multiplexed molecular analysis apparatus and method </t>
  </si>
  <si>
    <t>US6083763</t>
  </si>
  <si>
    <t xml:space="preserve">Circuit for searching/sorting data in neural networks </t>
  </si>
  <si>
    <t>US5740326</t>
  </si>
  <si>
    <t xml:space="preserve">Specialized actuators driven by oscillatory transducers </t>
  </si>
  <si>
    <t>US6069420</t>
  </si>
  <si>
    <t xml:space="preserve">Neuron circuit </t>
  </si>
  <si>
    <t>US5621863</t>
  </si>
  <si>
    <t xml:space="preserve">Step height locking device and self-balanced handlebar rod with height capable of being regulated in step mode </t>
  </si>
  <si>
    <t>CN204021158</t>
  </si>
  <si>
    <t xml:space="preserve">Massively parellel real-time network architectures for robots capable of self-calibrating their operating parameters through associative learning </t>
  </si>
  <si>
    <t>US4852018</t>
  </si>
  <si>
    <t>US4928245</t>
  </si>
  <si>
    <t xml:space="preserve">Balancing weight for automated robot handling </t>
  </si>
  <si>
    <t>EP2610523</t>
  </si>
  <si>
    <t xml:space="preserve">Robot with light-weight, inertia-free programming device </t>
  </si>
  <si>
    <t>US4300198</t>
  </si>
  <si>
    <t xml:space="preserve">Personal hoverplane with four tiltmotors </t>
  </si>
  <si>
    <t>US6655631</t>
  </si>
  <si>
    <t>US4864511</t>
  </si>
  <si>
    <t xml:space="preserve">Self normalizing drill head </t>
  </si>
  <si>
    <t>US5848859</t>
  </si>
  <si>
    <t xml:space="preserve">System and method providing automated welding notification </t>
  </si>
  <si>
    <t>US7375304</t>
  </si>
  <si>
    <t>US7854108</t>
  </si>
  <si>
    <t xml:space="preserve">Daisy chain circuit for serial connection of neuron circuits </t>
  </si>
  <si>
    <t>US5710869</t>
  </si>
  <si>
    <t xml:space="preserve">Patient selectable joint arthroplasty devices and surgical tools </t>
  </si>
  <si>
    <t>US8529630</t>
  </si>
  <si>
    <t xml:space="preserve">Robotic storage buffer system for substrate carrier pods </t>
  </si>
  <si>
    <t>US6678583</t>
  </si>
  <si>
    <t xml:space="preserve">Industrial robot </t>
  </si>
  <si>
    <t>CN102601803</t>
  </si>
  <si>
    <t xml:space="preserve">Intelligent charging method and system, patrol robot and charging power supply </t>
  </si>
  <si>
    <t>CN104242411</t>
  </si>
  <si>
    <t>US7039499</t>
  </si>
  <si>
    <t xml:space="preserve">Ambulatory suspension and rehabilitation apparatus </t>
  </si>
  <si>
    <t>US7462138</t>
  </si>
  <si>
    <t xml:space="preserve">Processing tool interface apparatus for use in manufacturing environment </t>
  </si>
  <si>
    <t>US6427096</t>
  </si>
  <si>
    <t xml:space="preserve">Gait generating device of legged mobile robot and legged mobile robot controller </t>
  </si>
  <si>
    <t>US2006184276</t>
  </si>
  <si>
    <t xml:space="preserve">Circuit for pre-charging a free neuron circuit </t>
  </si>
  <si>
    <t>US5701397</t>
  </si>
  <si>
    <t xml:space="preserve">Robot device and motion control method </t>
  </si>
  <si>
    <t>US6442450</t>
  </si>
  <si>
    <t xml:space="preserve">Self-balanced parallel movement simulator of two-freedom degree closed loop </t>
  </si>
  <si>
    <t>CN103050047</t>
  </si>
  <si>
    <t xml:space="preserve">Master-slave hydraulic mechanical arm system of high-voltage hot-line operation robot </t>
  </si>
  <si>
    <t>CN102615638</t>
  </si>
  <si>
    <t xml:space="preserve">Light-weight six-shaft universal robot </t>
  </si>
  <si>
    <t>CN103029123</t>
  </si>
  <si>
    <t xml:space="preserve">Radio controlled surfboard with robotic rider controlled by two-string roto-wing </t>
  </si>
  <si>
    <t>US6793552</t>
  </si>
  <si>
    <t xml:space="preserve">Robot cleaner and self testing method of the same </t>
  </si>
  <si>
    <t>US2013025085</t>
  </si>
  <si>
    <t xml:space="preserve">Neuromuscular Model-Based Sensing And Control Paradigm For A Robotic Leg </t>
  </si>
  <si>
    <t>US2013310979</t>
  </si>
  <si>
    <t xml:space="preserve">Multi-ply strap drive trains for robotic arms </t>
  </si>
  <si>
    <t>US2007089557</t>
  </si>
  <si>
    <t xml:space="preserve">Model-Based Neuromechanical Controller for a Robotic Leg </t>
  </si>
  <si>
    <t>US2010324699</t>
  </si>
  <si>
    <t xml:space="preserve">Two-arm swing obstacle-clearing type line walking robot body </t>
  </si>
  <si>
    <t>CN101752804</t>
  </si>
  <si>
    <t xml:space="preserve">Variable-rigidity flexible joint design of humanoid robot </t>
  </si>
  <si>
    <t>CN101934525</t>
  </si>
  <si>
    <t xml:space="preserve">Robot with removable mounting elements </t>
  </si>
  <si>
    <t>US2005038564</t>
  </si>
  <si>
    <t xml:space="preserve">Method and system for detecting and responding to attacking networks </t>
  </si>
  <si>
    <t>US8566928</t>
  </si>
  <si>
    <t xml:space="preserve">Operating arm unit controlled by a computer system </t>
  </si>
  <si>
    <t>US4534006</t>
  </si>
  <si>
    <t xml:space="preserve">Architecture for robot intelligence </t>
  </si>
  <si>
    <t>US6697707</t>
  </si>
  <si>
    <t>US2007250119</t>
  </si>
  <si>
    <t xml:space="preserve">Process of cleaning the inner surface of a water-containing vessel </t>
  </si>
  <si>
    <t>US2002112742</t>
  </si>
  <si>
    <t xml:space="preserve">Architecture for power plant comprising clusters of power-generation devices </t>
  </si>
  <si>
    <t>US2010295383</t>
  </si>
  <si>
    <t xml:space="preserve">Motor training with brain plasticity </t>
  </si>
  <si>
    <t>US2009221928</t>
  </si>
  <si>
    <t xml:space="preserve">Climbing with dry adhesives </t>
  </si>
  <si>
    <t>US2007289786</t>
  </si>
  <si>
    <t xml:space="preserve">Automated laboratory system and analytical module </t>
  </si>
  <si>
    <t>US2005158212</t>
  </si>
  <si>
    <t xml:space="preserve">Solar energy concentrator and mounting method </t>
  </si>
  <si>
    <t>US2010212654</t>
  </si>
  <si>
    <t xml:space="preserve">Temperature Control Within Disk Drive Testing Systems </t>
  </si>
  <si>
    <t>US2009262455</t>
  </si>
  <si>
    <t xml:space="preserve">Copying procedures including verification in data networks </t>
  </si>
  <si>
    <t>US2004230863</t>
  </si>
  <si>
    <t xml:space="preserve">Dependent Temperature Control Within Disk Drive Testing Systems </t>
  </si>
  <si>
    <t>US2009265043</t>
  </si>
  <si>
    <t xml:space="preserve">Reconstruction, Retargetting, Tracking, And Estimation Of Motion For Articulated Systems </t>
  </si>
  <si>
    <t>US2007146371</t>
  </si>
  <si>
    <t xml:space="preserve">Reconstruction, Retargetting, Tracking, And Estimation Of Pose Of Articulated Systems </t>
  </si>
  <si>
    <t>US2007162164</t>
  </si>
  <si>
    <t>US2007124144</t>
  </si>
  <si>
    <t>US2009261228</t>
  </si>
  <si>
    <t xml:space="preserve">Force feedback interactive device for automatically regulating balance of dead weight </t>
  </si>
  <si>
    <t>CN102320040</t>
  </si>
  <si>
    <t xml:space="preserve">Self-balance tripod head for gyroscope </t>
  </si>
  <si>
    <t>US2016327847</t>
  </si>
  <si>
    <t xml:space="preserve">Self-guilding instrument carrier for in-situ operation in a generator </t>
  </si>
  <si>
    <t>EP2071343</t>
  </si>
  <si>
    <t xml:space="preserve">Novel vacuum carrying manipulator </t>
  </si>
  <si>
    <t>CN202668545</t>
  </si>
  <si>
    <t>US2009262454</t>
  </si>
  <si>
    <t xml:space="preserve">Light weight robot mechanism </t>
  </si>
  <si>
    <t>WO9315452</t>
  </si>
  <si>
    <t xml:space="preserve">Enclosed Operating Area For Disk Drive Testing Systems </t>
  </si>
  <si>
    <t>US2009261047</t>
  </si>
  <si>
    <t xml:space="preserve">Devices, systems, and methods for the fabrication of tissue </t>
  </si>
  <si>
    <t>US2012116568</t>
  </si>
  <si>
    <t xml:space="preserve">Robust Compliant Adaptive Grasper and Method of Manufacturing Same </t>
  </si>
  <si>
    <t>US2009302626</t>
  </si>
  <si>
    <t xml:space="preserve">Dual-arm generalized compliant motion with shared control </t>
  </si>
  <si>
    <t>US5336982</t>
  </si>
  <si>
    <t xml:space="preserve">Monowheel Type Vehicle </t>
  </si>
  <si>
    <t>US2011191013</t>
  </si>
  <si>
    <t xml:space="preserve">Embedded imaging and control system </t>
  </si>
  <si>
    <t>US2006088196</t>
  </si>
  <si>
    <t xml:space="preserve">System and method for developing artificial intelligence </t>
  </si>
  <si>
    <t>US2004143559</t>
  </si>
  <si>
    <t xml:space="preserve">Balancing device </t>
  </si>
  <si>
    <t>US4517853</t>
  </si>
  <si>
    <t xml:space="preserve">Method and apparatus for automatic calibration of robots </t>
  </si>
  <si>
    <t>US6856863</t>
  </si>
  <si>
    <t xml:space="preserve">Wearing type dynamic real-time fall detection method and device </t>
  </si>
  <si>
    <t>CN103976739</t>
  </si>
  <si>
    <t xml:space="preserve">Methods, systems, and apparatus for multi-sensory stereo vision for robotics </t>
  </si>
  <si>
    <t>US2016227193</t>
  </si>
  <si>
    <t xml:space="preserve">Balance vehicle </t>
  </si>
  <si>
    <t>CN104118508</t>
  </si>
  <si>
    <t xml:space="preserve">Automated devices, systems, and methods for the fabrication of tissue </t>
  </si>
  <si>
    <t>US2015037445</t>
  </si>
  <si>
    <t xml:space="preserve">Substrate Polishing Apparatus And Substrate Polishing Method </t>
  </si>
  <si>
    <t>US2008139087</t>
  </si>
  <si>
    <t xml:space="preserve">Method and apparatus for centering discs in disc drives </t>
  </si>
  <si>
    <t>US6453541</t>
  </si>
  <si>
    <t xml:space="preserve">Sputtered spring films with low stress anisotropy </t>
  </si>
  <si>
    <t>US6866255</t>
  </si>
  <si>
    <t xml:space="preserve">Floating bathtub or swimming pool cleaning device </t>
  </si>
  <si>
    <t>US6792956</t>
  </si>
  <si>
    <t xml:space="preserve">Tube characterization station </t>
  </si>
  <si>
    <t>US2016025756</t>
  </si>
  <si>
    <t xml:space="preserve">Haptic input devices </t>
  </si>
  <si>
    <t>US2004040805</t>
  </si>
  <si>
    <t xml:space="preserve">Devices, systems, and methods for the fabrication of tissue utilizing uv cross-linking </t>
  </si>
  <si>
    <t>US2014093932</t>
  </si>
  <si>
    <t xml:space="preserve">Method and device for processing a multi-channel signal for use with a headphone </t>
  </si>
  <si>
    <t>WO9725834</t>
  </si>
  <si>
    <t xml:space="preserve">Targets, fixtures, and workflows for calibrating an endoscopic camera </t>
  </si>
  <si>
    <t>US2010245541</t>
  </si>
  <si>
    <t xml:space="preserve">Centrifuge container rack with balancing feature </t>
  </si>
  <si>
    <t>US6599482</t>
  </si>
  <si>
    <t xml:space="preserve">Bird webbed foot-simulated self-adaptive foot mechanism of aquatic robot </t>
  </si>
  <si>
    <t>CN102390498</t>
  </si>
  <si>
    <t xml:space="preserve">Self propelled walking toy </t>
  </si>
  <si>
    <t>US6648720</t>
  </si>
  <si>
    <t xml:space="preserve">Traveling robot </t>
  </si>
  <si>
    <t>JP2005081447</t>
  </si>
  <si>
    <t xml:space="preserve">Momentum-Based Balance Controller For Humanoid Robots On Non-Level And Non-Stationary Ground </t>
  </si>
  <si>
    <t>US2012316684</t>
  </si>
  <si>
    <t xml:space="preserve">Multiple control surface robotic fish with embedded vision </t>
  </si>
  <si>
    <t>CN102303700</t>
  </si>
  <si>
    <t xml:space="preserve">Bridge detection robot based on four-axle aircraft </t>
  </si>
  <si>
    <t>CN101914893</t>
  </si>
  <si>
    <t xml:space="preserve">Automatic hot-pressing assembly device of balancing shaft and helical gear </t>
  </si>
  <si>
    <t>CN102029501</t>
  </si>
  <si>
    <t xml:space="preserve">Method and device for fastening elements like counterweights on or to bodies with an adhesive uses a programmable handling device to control fixing pressure on such elements with a preset force in short time cycles. </t>
  </si>
  <si>
    <t>DE19922085</t>
  </si>
  <si>
    <t xml:space="preserve">Concrete jetting robot </t>
  </si>
  <si>
    <t>CN1339348</t>
  </si>
  <si>
    <t xml:space="preserve">Self-contained rotary actuator </t>
  </si>
  <si>
    <t>US2007249457</t>
  </si>
  <si>
    <t>US6959231</t>
  </si>
  <si>
    <t xml:space="preserve">System and method for information processing and motor control </t>
  </si>
  <si>
    <t>US2010138366</t>
  </si>
  <si>
    <t xml:space="preserve">Floating location tool on self-adaption car roof </t>
  </si>
  <si>
    <t>CN201988822</t>
  </si>
  <si>
    <t xml:space="preserve">Exoskeleton walk-assisting robot for old people and bionic control method for anti-falling gaits </t>
  </si>
  <si>
    <t>CN103263339</t>
  </si>
  <si>
    <t>EP0233712</t>
  </si>
  <si>
    <t xml:space="preserve">Interactive device for cooperation between a person and a robot unit at a work station with a robot unit has sensor units to detect how close the person is </t>
  </si>
  <si>
    <t>DE102005003827</t>
  </si>
  <si>
    <t xml:space="preserve">Multi-Axis Metamorphic Actuator and Drive System and Method </t>
  </si>
  <si>
    <t>US2011114080</t>
  </si>
  <si>
    <t xml:space="preserve">Robotic pool cleaning apparatus </t>
  </si>
  <si>
    <t>US2016145884</t>
  </si>
  <si>
    <t xml:space="preserve">Robotic vehicle </t>
  </si>
  <si>
    <t>US8413752</t>
  </si>
  <si>
    <t xml:space="preserve">Pneumatic balance assisted manipulator </t>
  </si>
  <si>
    <t>CN201511364</t>
  </si>
  <si>
    <t xml:space="preserve">Assets management system for broadcast television media, and method of adjust and control </t>
  </si>
  <si>
    <t>CN1760900</t>
  </si>
  <si>
    <t xml:space="preserve">Modular workcells for lab automation </t>
  </si>
  <si>
    <t>US2015276775</t>
  </si>
  <si>
    <t xml:space="preserve">Bimodal conveyance mechanism </t>
  </si>
  <si>
    <t>US2006076167</t>
  </si>
  <si>
    <t>EP0320498</t>
  </si>
  <si>
    <t xml:space="preserve">Rehabilitation exercising mechanical arm </t>
  </si>
  <si>
    <t>CN200987756</t>
  </si>
  <si>
    <t xml:space="preserve">Power source for an automation system mechanism </t>
  </si>
  <si>
    <t>US2014373747</t>
  </si>
  <si>
    <t xml:space="preserve">Mechanical weight compensation apparatus </t>
  </si>
  <si>
    <t>JP2003181789</t>
  </si>
  <si>
    <t xml:space="preserve">Apparatus and method for carrying signature bundles </t>
  </si>
  <si>
    <t>US6871893</t>
  </si>
  <si>
    <t xml:space="preserve">Automated cleaning system for structures </t>
  </si>
  <si>
    <t>US2006096050</t>
  </si>
  <si>
    <t xml:space="preserve">Humanoid robot push recovery on level and non-level ground </t>
  </si>
  <si>
    <t>US2012245734</t>
  </si>
  <si>
    <t xml:space="preserve">Stabilized vertical surface cleaning </t>
  </si>
  <si>
    <t>US2009044833</t>
  </si>
  <si>
    <t xml:space="preserve">Automation maintenance carrier </t>
  </si>
  <si>
    <t>WO2014059134</t>
  </si>
  <si>
    <t xml:space="preserve">Standardized rotary actuator </t>
  </si>
  <si>
    <t>US2004102274</t>
  </si>
  <si>
    <t xml:space="preserve">A method and system for scripting interactive animated actors </t>
  </si>
  <si>
    <t>WO9806043</t>
  </si>
  <si>
    <t xml:space="preserve">Robotic turntable </t>
  </si>
  <si>
    <t>US6651867</t>
  </si>
  <si>
    <t>JP2002307354</t>
  </si>
  <si>
    <t xml:space="preserve">System and method for processing samples </t>
  </si>
  <si>
    <t>US2014305227</t>
  </si>
  <si>
    <t>EP0019596</t>
  </si>
  <si>
    <t xml:space="preserve">Method and device for coating the interior of hollow areas by thermal injection </t>
  </si>
  <si>
    <t>WO2004005575</t>
  </si>
  <si>
    <t xml:space="preserve">Force feedback type master manipulator with deadweight balance property </t>
  </si>
  <si>
    <t>CN101623864</t>
  </si>
  <si>
    <t xml:space="preserve">Computer controlled adaptive compliance assembly workstation </t>
  </si>
  <si>
    <t>US4842475</t>
  </si>
  <si>
    <t xml:space="preserve">Four-foot walking robot through rigidly transmitting driving power by internal-combustion engine </t>
  </si>
  <si>
    <t>CN101746431</t>
  </si>
  <si>
    <t xml:space="preserve">Suspending type aviation camera shooting self-determination aircraft system </t>
  </si>
  <si>
    <t>CN201217501</t>
  </si>
  <si>
    <t xml:space="preserve">Integration online detection system for full-automatic wheel dynamic balance and hop </t>
  </si>
  <si>
    <t>CN102128705</t>
  </si>
  <si>
    <t xml:space="preserve">Fully-automatic integrated online detection system for dynamic balance and bouncing of vehicle wheel </t>
  </si>
  <si>
    <t>CN201935783</t>
  </si>
  <si>
    <t xml:space="preserve">Robotic arm </t>
  </si>
  <si>
    <t>US2013330162</t>
  </si>
  <si>
    <t xml:space="preserve">Modular rapid development system for building underwater robots and robotic vehicles </t>
  </si>
  <si>
    <t>US2015136012</t>
  </si>
  <si>
    <t xml:space="preserve">Autonomous agent architecture </t>
  </si>
  <si>
    <t>EP0862113</t>
  </si>
  <si>
    <t xml:space="preserve">Free expanding and rotary lifting push and boosting mechanical arm </t>
  </si>
  <si>
    <t>CN201136150</t>
  </si>
  <si>
    <t xml:space="preserve">Six degree of freedom position ranging </t>
  </si>
  <si>
    <t>US6842246</t>
  </si>
  <si>
    <t xml:space="preserve">Weight Balancer and Pipe Joining Method </t>
  </si>
  <si>
    <t>US2009014500</t>
  </si>
  <si>
    <t>US2014319916</t>
  </si>
  <si>
    <t xml:space="preserve">Magnetically actuated chuck for edge bevel removal </t>
  </si>
  <si>
    <t>US2010219920</t>
  </si>
  <si>
    <t xml:space="preserve">Robot system, robot, and method of manufacturing product </t>
  </si>
  <si>
    <t>US2011185556</t>
  </si>
  <si>
    <t xml:space="preserve">Holding device for an instrument </t>
  </si>
  <si>
    <t>DE102010027248</t>
  </si>
  <si>
    <t xml:space="preserve">Method and device for controlling robot </t>
  </si>
  <si>
    <t>US7421314</t>
  </si>
  <si>
    <t xml:space="preserve">Flexible follow-up control method for spacecraft mechanical arm </t>
  </si>
  <si>
    <t>CN103640022</t>
  </si>
  <si>
    <t xml:space="preserve">Two-wheeled balance car with dual-adjustment rotating shaft </t>
  </si>
  <si>
    <t>CN203698535</t>
  </si>
  <si>
    <t xml:space="preserve">Robot automatic coating system for automobile windshield </t>
  </si>
  <si>
    <t>CN204182538</t>
  </si>
  <si>
    <t xml:space="preserve">Gait generating device for moving robot </t>
  </si>
  <si>
    <t>US2007061038</t>
  </si>
  <si>
    <t xml:space="preserve">Production system </t>
  </si>
  <si>
    <t>US2011175274</t>
  </si>
  <si>
    <t xml:space="preserve">Robot system, calibration method, and method for producing to-be-processed material </t>
  </si>
  <si>
    <t>US2014277715</t>
  </si>
  <si>
    <t xml:space="preserve">Method and apparatus for moving a handling system </t>
  </si>
  <si>
    <t>US7366585</t>
  </si>
  <si>
    <t xml:space="preserve">Aircraft system member mounting method and apparatus based on industrial robot </t>
  </si>
  <si>
    <t>CN101462595</t>
  </si>
  <si>
    <t xml:space="preserve">Calibration Of A Base Coordinate System For An Industrial Robot </t>
  </si>
  <si>
    <t>US2013006421</t>
  </si>
  <si>
    <t xml:space="preserve">Method for teaching a robot movement </t>
  </si>
  <si>
    <t>EP2666064</t>
  </si>
  <si>
    <t xml:space="preserve">Method and devices for picking and placing workpieces into devices under manufacture using dual robots </t>
  </si>
  <si>
    <t>US10039219</t>
  </si>
  <si>
    <t xml:space="preserve">Industrial robot pitch joint </t>
  </si>
  <si>
    <t>KR950002357</t>
  </si>
  <si>
    <t xml:space="preserve">Method for automated rotational joining and/or rotational detachment of components, and associated industrial robot and automated assembly workstation </t>
  </si>
  <si>
    <t>EP3086909</t>
  </si>
  <si>
    <t xml:space="preserve">Multitask application multi-axis robot </t>
  </si>
  <si>
    <t>CN106078710</t>
  </si>
  <si>
    <t xml:space="preserve">Device, system and method for teaching a position with a hand-held position teaching device </t>
  </si>
  <si>
    <t>WO2017036519</t>
  </si>
  <si>
    <t>WO2015075778</t>
  </si>
  <si>
    <t xml:space="preserve">Robotic apparatus and method for transport of a workpiece </t>
  </si>
  <si>
    <t>US2018012789</t>
  </si>
  <si>
    <t xml:space="preserve">Robot system, method for controlling a robot system, and processing system </t>
  </si>
  <si>
    <t>WO2017153504</t>
  </si>
  <si>
    <t xml:space="preserve">Type of dynamic welding manipulator system based on visual measurement </t>
  </si>
  <si>
    <t>CN108311835</t>
  </si>
  <si>
    <t xml:space="preserve">Tool coordinates deciding method for industrial robot </t>
  </si>
  <si>
    <t>JP2002113676</t>
  </si>
  <si>
    <t xml:space="preserve">Method for the mechanical processing and/or transfer of components </t>
  </si>
  <si>
    <t>WO2009018812</t>
  </si>
  <si>
    <t xml:space="preserve">Robotic Manipulation Using Reusable, Independent Tags </t>
  </si>
  <si>
    <t>US2018072523</t>
  </si>
  <si>
    <t xml:space="preserve">6R-type industrial robot load identification method </t>
  </si>
  <si>
    <t>CN103495977</t>
  </si>
  <si>
    <t xml:space="preserve">Manufacturing system, method for constructing a manufacturing system, the end effector, robot, and the work process of the robot </t>
  </si>
  <si>
    <t>JPWO2017085897</t>
  </si>
  <si>
    <t xml:space="preserve">Compact strip accumulator </t>
  </si>
  <si>
    <t>US3506210</t>
  </si>
  <si>
    <t xml:space="preserve">System, method and article of manufacture for a simulation enabled focused feedback tutorial system </t>
  </si>
  <si>
    <t>US6067538</t>
  </si>
  <si>
    <t xml:space="preserve">Piecemeal retrieval in an information services patterns environment </t>
  </si>
  <si>
    <t>US6550057</t>
  </si>
  <si>
    <t xml:space="preserve">System, method and article of manufacture for a call back architecture in a hybrid network with support for internet telephony </t>
  </si>
  <si>
    <t>US6731625</t>
  </si>
  <si>
    <t xml:space="preserve">Method for providing communication services over a computer network system </t>
  </si>
  <si>
    <t>US6332163</t>
  </si>
  <si>
    <t xml:space="preserve">Optical synchronous clock distribution network and high-speed signal distribution network </t>
  </si>
  <si>
    <t>US5416861</t>
  </si>
  <si>
    <t xml:space="preserve">Driver training system </t>
  </si>
  <si>
    <t>US6227862</t>
  </si>
  <si>
    <t xml:space="preserve">Method and apparatus for auto journaling of continuous or discrete body states utilizing physiological and/or contextual parameters </t>
  </si>
  <si>
    <t>US8157731</t>
  </si>
  <si>
    <t xml:space="preserve">Protocol for anonymous wireless communication </t>
  </si>
  <si>
    <t>US8116749</t>
  </si>
  <si>
    <t xml:space="preserve">Presentation service which enables client device to run a network based application </t>
  </si>
  <si>
    <t>US7627658</t>
  </si>
  <si>
    <t xml:space="preserve">Information services patterns in a netcentric environment </t>
  </si>
  <si>
    <t>US6434568</t>
  </si>
  <si>
    <t xml:space="preserve">Personalized interactive digital catalog profiling </t>
  </si>
  <si>
    <t>US7013290</t>
  </si>
  <si>
    <t xml:space="preserve">Automated sales and services system </t>
  </si>
  <si>
    <t>US5576951</t>
  </si>
  <si>
    <t xml:space="preserve">Employee analysis based on results of an education business simulation </t>
  </si>
  <si>
    <t>US6944596</t>
  </si>
  <si>
    <t xml:space="preserve">Interactive multi-media game system and method </t>
  </si>
  <si>
    <t>US5679075</t>
  </si>
  <si>
    <t xml:space="preserve">Using execution statistics to select tasks for redundant assignment in a distributed computing platform </t>
  </si>
  <si>
    <t>US7093004</t>
  </si>
  <si>
    <t xml:space="preserve">System for monitoring and managing body weight and other physiological conditions including iterative and personalized planning, intervention and reporting capability </t>
  </si>
  <si>
    <t>US8398546</t>
  </si>
  <si>
    <t xml:space="preserve">System, method and article of manufacture for a gateway system architecture with system administration information accessible from a browser </t>
  </si>
  <si>
    <t>US5931917</t>
  </si>
  <si>
    <t xml:space="preserve">System, method and article of manufacture for a payment gateway system architecture for processing encrypted payment transactions utilizing a multichannel, extensible, flexible architecture </t>
  </si>
  <si>
    <t>US5978840</t>
  </si>
  <si>
    <t xml:space="preserve">Smart card issuing and receiving apparatus </t>
  </si>
  <si>
    <t>US4968873</t>
  </si>
  <si>
    <t xml:space="preserve">Reconfigurable instrument panels </t>
  </si>
  <si>
    <t>US7489303</t>
  </si>
  <si>
    <t xml:space="preserve">Method for mediating social and behavioral processes in medicine and business through an interactive telecommunications guidance system </t>
  </si>
  <si>
    <t>US5722418</t>
  </si>
  <si>
    <t xml:space="preserve">Nextdoor neighborhood social network method, apparatus, and system </t>
  </si>
  <si>
    <t>US8863245</t>
  </si>
  <si>
    <t xml:space="preserve">Trusted infrastructure support system, methods and techniques for secure electronic commerce transaction and rights management </t>
  </si>
  <si>
    <t>US6658568</t>
  </si>
  <si>
    <t xml:space="preserve">Multi-user card system </t>
  </si>
  <si>
    <t>US4837422</t>
  </si>
  <si>
    <t xml:space="preserve">Methods for using wireless phones having optical capabilities </t>
  </si>
  <si>
    <t>US7174031</t>
  </si>
  <si>
    <t xml:space="preserve">System, method and article of manufacture for a simulation system for goal based education </t>
  </si>
  <si>
    <t>US6003021</t>
  </si>
  <si>
    <t xml:space="preserve">Method for segmenting medical images and detecting surface anomalies in anatomical structures </t>
  </si>
  <si>
    <t>US6556696</t>
  </si>
  <si>
    <t xml:space="preserve">Power supply methods and configurations </t>
  </si>
  <si>
    <t>US7002265</t>
  </si>
  <si>
    <t xml:space="preserve">System, method and article of manufacture for a goal based educational system </t>
  </si>
  <si>
    <t>US5987443</t>
  </si>
  <si>
    <t xml:space="preserve">System, method and article of manufacture for a simulation system for goal based education of a plurality of students </t>
  </si>
  <si>
    <t>US6125358</t>
  </si>
  <si>
    <t xml:space="preserve">Voice-interactive marketplace providing promotion and promotion tracking, loyalty reward and redemption, and other features </t>
  </si>
  <si>
    <t>US6934684</t>
  </si>
  <si>
    <t xml:space="preserve">Methods and devices employing optical sensors and/or steganography </t>
  </si>
  <si>
    <t>US7406214</t>
  </si>
  <si>
    <t xml:space="preserve">Trusted infrastructure support systems, methods and techniques for secure electronic commerce, electronic transactions, commerce process control and automation, distributed computing, and rights management </t>
  </si>
  <si>
    <t>US7415617</t>
  </si>
  <si>
    <t xml:space="preserve">Wireless mobile phone with content processing </t>
  </si>
  <si>
    <t>US7760905</t>
  </si>
  <si>
    <t xml:space="preserve">Apparatus and method of extracorporeally applying and locking laparoscopic suture and loop ligatures </t>
  </si>
  <si>
    <t>US5609597</t>
  </si>
  <si>
    <t xml:space="preserve">System and method for a refreshable proxy pool in a communication services patterns environment </t>
  </si>
  <si>
    <t>US6842906</t>
  </si>
  <si>
    <t xml:space="preserve">System and method for providing requested quality of service in a hybrid network </t>
  </si>
  <si>
    <t>US6335927</t>
  </si>
  <si>
    <t xml:space="preserve">Skill games </t>
  </si>
  <si>
    <t>US6767284</t>
  </si>
  <si>
    <t xml:space="preserve">System, method and article of manufacture for a simulation engine with a help website and processing engine </t>
  </si>
  <si>
    <t>US6018730</t>
  </si>
  <si>
    <t xml:space="preserve">Managing information in an endoscopy system </t>
  </si>
  <si>
    <t>US5740801</t>
  </si>
  <si>
    <t xml:space="preserve">System and method for facsimile cover page storage and use </t>
  </si>
  <si>
    <t>US5438433</t>
  </si>
  <si>
    <t xml:space="preserve">Digital certificate support system, methods and techniques for secure electronic commerce transaction and rights management </t>
  </si>
  <si>
    <t>US7133846</t>
  </si>
  <si>
    <t xml:space="preserve">System, method and article of manufacture for a communication system architecture including video conferencing </t>
  </si>
  <si>
    <t>US6909708</t>
  </si>
  <si>
    <t>US7720572</t>
  </si>
  <si>
    <t xml:space="preserve">System, method and article of manufacture for a goal based system with dynamic feedback information </t>
  </si>
  <si>
    <t>US6073127</t>
  </si>
  <si>
    <t xml:space="preserve">Method and system for matching entities in an auction </t>
  </si>
  <si>
    <t>US7676034</t>
  </si>
  <si>
    <t xml:space="preserve">Telephony control system with intelligent call routing </t>
  </si>
  <si>
    <t>US7023979</t>
  </si>
  <si>
    <t xml:space="preserve">Travel system and methods utilizing multi-application passenger cards </t>
  </si>
  <si>
    <t>US6085976</t>
  </si>
  <si>
    <t xml:space="preserve">Block-based communication in a communication services patterns environment </t>
  </si>
  <si>
    <t>US6571282</t>
  </si>
  <si>
    <t xml:space="preserve">Voice code registration system and method for registering voice codes for voice pages in a voice network access provider system </t>
  </si>
  <si>
    <t>US6501832</t>
  </si>
  <si>
    <t xml:space="preserve">Voice network access provider system and method </t>
  </si>
  <si>
    <t>US6792086</t>
  </si>
  <si>
    <t xml:space="preserve">Revenue generation method for use with voice network access provider system and method </t>
  </si>
  <si>
    <t>US6888929</t>
  </si>
  <si>
    <t xml:space="preserve">Multiple voice network access provider system and method </t>
  </si>
  <si>
    <t>US6707889</t>
  </si>
  <si>
    <t xml:space="preserve">Portable game machine </t>
  </si>
  <si>
    <t>US6716103</t>
  </si>
  <si>
    <t xml:space="preserve">Combined drilling apparatus and method </t>
  </si>
  <si>
    <t>US6158516</t>
  </si>
  <si>
    <t xml:space="preserve">System method and article of manufacture for creating collaborative application sharing </t>
  </si>
  <si>
    <t>US6611822</t>
  </si>
  <si>
    <t xml:space="preserve">System and method for a directory service supporting a hybrid communication system architecture </t>
  </si>
  <si>
    <t>US6754181</t>
  </si>
  <si>
    <t xml:space="preserve">Creating chat rooms with multiple roles for multiple participants </t>
  </si>
  <si>
    <t>US7152092</t>
  </si>
  <si>
    <t xml:space="preserve">Creating collaborative application sharing </t>
  </si>
  <si>
    <t>US7047279</t>
  </si>
  <si>
    <t xml:space="preserve">Port aggregation protocol </t>
  </si>
  <si>
    <t>US5959968</t>
  </si>
  <si>
    <t xml:space="preserve">Automobile personal computer systems </t>
  </si>
  <si>
    <t>US6711474</t>
  </si>
  <si>
    <t xml:space="preserve">Self-described stream in a communication services patterns environment </t>
  </si>
  <si>
    <t>US6477580</t>
  </si>
  <si>
    <t xml:space="preserve">System method and article of manufacture for building, managing, and supporting various components of a system </t>
  </si>
  <si>
    <t>US6957186</t>
  </si>
  <si>
    <t xml:space="preserve">Web-based architecture sales tool </t>
  </si>
  <si>
    <t>US7165041</t>
  </si>
  <si>
    <t xml:space="preserve">System, method, and article of manufacture for environment services patterns in a netcentic environment </t>
  </si>
  <si>
    <t>US6477665</t>
  </si>
  <si>
    <t xml:space="preserve">Comparatively analyzing vendors of components required for a web-based architecture </t>
  </si>
  <si>
    <t>US7315826</t>
  </si>
  <si>
    <t xml:space="preserve">Electronic item management and archival system and method of operating the same </t>
  </si>
  <si>
    <t>US7379978</t>
  </si>
  <si>
    <t xml:space="preserve">Automated internet based interactive travel planning and management system </t>
  </si>
  <si>
    <t>US7599847</t>
  </si>
  <si>
    <t xml:space="preserve">Automatic currency processing system having ticket redemption module </t>
  </si>
  <si>
    <t>US7778456</t>
  </si>
  <si>
    <t xml:space="preserve">Identification of redundancies and omissions among components of a web based architecture </t>
  </si>
  <si>
    <t>US6536037</t>
  </si>
  <si>
    <t xml:space="preserve">Business alliance identification in a web architecture framework </t>
  </si>
  <si>
    <t>US6721713</t>
  </si>
  <si>
    <t xml:space="preserve">Prioritizing components of a network framework required for implementation of technology </t>
  </si>
  <si>
    <t>US6615166</t>
  </si>
  <si>
    <t xml:space="preserve">Dynamic customer profile management </t>
  </si>
  <si>
    <t>US6519571</t>
  </si>
  <si>
    <t xml:space="preserve">Conversational computing via conversational virtual machine </t>
  </si>
  <si>
    <t>US7729916</t>
  </si>
  <si>
    <t xml:space="preserve">Method, system, and computer program product for providing voice over the internet communication </t>
  </si>
  <si>
    <t>US6760324</t>
  </si>
  <si>
    <t xml:space="preserve">System, method and article of manufacture for communications utilizing calling, plans in a hybrid network </t>
  </si>
  <si>
    <t>US5867495</t>
  </si>
  <si>
    <t xml:space="preserve">Analysis and validation system for provisioning network related facilities </t>
  </si>
  <si>
    <t>US5881131</t>
  </si>
  <si>
    <t xml:space="preserve">Method and system for delivering redeeming dynamically and adaptively characterized promotional incentives on a computer network </t>
  </si>
  <si>
    <t>US6915271</t>
  </si>
  <si>
    <t xml:space="preserve">System for establishing plan to test components of web based framework by displaying pictorial representation and conveying indicia coded components of existing network framework </t>
  </si>
  <si>
    <t>US6473794</t>
  </si>
  <si>
    <t xml:space="preserve">Management training simulation method and system </t>
  </si>
  <si>
    <t>US6408263</t>
  </si>
  <si>
    <t xml:space="preserve">Processing pipeline in a base services pattern environment </t>
  </si>
  <si>
    <t>US6715145</t>
  </si>
  <si>
    <t xml:space="preserve">Multi-object identifier system and method for information service pattern environment </t>
  </si>
  <si>
    <t>US6539396</t>
  </si>
  <si>
    <t xml:space="preserve">Presentation services patterns in a netcentric environment </t>
  </si>
  <si>
    <t>US6640249</t>
  </si>
  <si>
    <t xml:space="preserve">System, method and article of manufacture for a globally addressable interface in a communication services patterns environment </t>
  </si>
  <si>
    <t>US6289382</t>
  </si>
  <si>
    <t xml:space="preserve">System, method and article of manufacture for a persistent state and persistent object separator in an information services patterns environment </t>
  </si>
  <si>
    <t>US6442748</t>
  </si>
  <si>
    <t xml:space="preserve">System for, and method of, monitoring the movement of mobile items </t>
  </si>
  <si>
    <t>US8350700</t>
  </si>
  <si>
    <t xml:space="preserve">Delivering service to a client via a locally addressable interface </t>
  </si>
  <si>
    <t>US6438594</t>
  </si>
  <si>
    <t xml:space="preserve">View configurer in a presentation services patterns environment </t>
  </si>
  <si>
    <t>US6636242</t>
  </si>
  <si>
    <t xml:space="preserve">Voice page directory system in a voice page creation and delivery system </t>
  </si>
  <si>
    <t>US7457397</t>
  </si>
  <si>
    <t xml:space="preserve">Systems and methods for monitoring and modifying behavior </t>
  </si>
  <si>
    <t>US7914468</t>
  </si>
  <si>
    <t>US6236955</t>
  </si>
  <si>
    <t xml:space="preserve">Exception response table in environment services patterns </t>
  </si>
  <si>
    <t>US6339832</t>
  </si>
  <si>
    <t xml:space="preserve">Base services patterns in a netcentric environment </t>
  </si>
  <si>
    <t>US6742015</t>
  </si>
  <si>
    <t xml:space="preserve">Fixed format stream in a communication services patterns environment </t>
  </si>
  <si>
    <t>US6549949</t>
  </si>
  <si>
    <t xml:space="preserve">Abstraction factory in a base services pattern environment </t>
  </si>
  <si>
    <t>US6615199</t>
  </si>
  <si>
    <t xml:space="preserve">Activity component in a presentation services patterns environment </t>
  </si>
  <si>
    <t>US6640238</t>
  </si>
  <si>
    <t xml:space="preserve">Efficient server side data retrieval for execution of client side applications </t>
  </si>
  <si>
    <t>US6615253</t>
  </si>
  <si>
    <t xml:space="preserve">System, method, and article of manufacture for a polymorphic exception handler in environment services patterns </t>
  </si>
  <si>
    <t>US6502213</t>
  </si>
  <si>
    <t xml:space="preserve">Stream-based communication in a communication services patterns environment </t>
  </si>
  <si>
    <t>US6606660</t>
  </si>
  <si>
    <t xml:space="preserve">Request batcher in a transaction services patterns environment </t>
  </si>
  <si>
    <t>US6640244</t>
  </si>
  <si>
    <t xml:space="preserve">Method for translating an object attribute converter in an information services patterns environment </t>
  </si>
  <si>
    <t>US6529909</t>
  </si>
  <si>
    <t xml:space="preserve">Load balancer in environment services patterns </t>
  </si>
  <si>
    <t>US6578068</t>
  </si>
  <si>
    <t xml:space="preserve">Attribute dictionary in a business logic services environment </t>
  </si>
  <si>
    <t>US6601234</t>
  </si>
  <si>
    <t xml:space="preserve">Assertion component in environment services patterns </t>
  </si>
  <si>
    <t>US6601192</t>
  </si>
  <si>
    <t xml:space="preserve">System and method for transaction services patterns in a netcentric environment </t>
  </si>
  <si>
    <t>US7289964</t>
  </si>
  <si>
    <t xml:space="preserve">System, method and article of manufacture for selecting a gateway of a hybrid communication system architecture </t>
  </si>
  <si>
    <t>US7145898</t>
  </si>
  <si>
    <t xml:space="preserve">Multi-object fetch component </t>
  </si>
  <si>
    <t>US6529948</t>
  </si>
  <si>
    <t xml:space="preserve">Common interface for handling exception interface name with additional prefix and suffix for handling exceptions in environment services patterns </t>
  </si>
  <si>
    <t>US6434628</t>
  </si>
  <si>
    <t xml:space="preserve">Clean-up of orphaned server contexts </t>
  </si>
  <si>
    <t>US6496850</t>
  </si>
  <si>
    <t xml:space="preserve">Phase delivery of components of a system required for implementation technology </t>
  </si>
  <si>
    <t>US8121874</t>
  </si>
  <si>
    <t xml:space="preserve">Network-based tax framework database </t>
  </si>
  <si>
    <t>US7234103</t>
  </si>
  <si>
    <t xml:space="preserve">System, method and article of manufacture for a dynamic toolbar in a tutorial system </t>
  </si>
  <si>
    <t>US6085184</t>
  </si>
  <si>
    <t xml:space="preserve">Travel system and methods utilizing multi-application traveler devices </t>
  </si>
  <si>
    <t>US6926203</t>
  </si>
  <si>
    <t xml:space="preserve">Body weight management system </t>
  </si>
  <si>
    <t>US6635015</t>
  </si>
  <si>
    <t xml:space="preserve">System, method and article of manufacture for a goal based educational system with support for dynamic personality feedback </t>
  </si>
  <si>
    <t>US6067537</t>
  </si>
  <si>
    <t xml:space="preserve">System, method and article of manufacture for a goal based educational system with support for dynamic tailored feedback </t>
  </si>
  <si>
    <t>US6032141</t>
  </si>
  <si>
    <t xml:space="preserve">Video editing with timeline representations </t>
  </si>
  <si>
    <t>US7769819</t>
  </si>
  <si>
    <t xml:space="preserve">Integration of lifeotypes with devices and systems </t>
  </si>
  <si>
    <t>US8275635</t>
  </si>
  <si>
    <t xml:space="preserve">Runtime program analysis tool for a simulation engine </t>
  </si>
  <si>
    <t>US7660778</t>
  </si>
  <si>
    <t xml:space="preserve">Use of R-enantiomer of N-propargyl-1-aminoindan, salts, and compositions thereof </t>
  </si>
  <si>
    <t>US6316504</t>
  </si>
  <si>
    <t xml:space="preserve">System, method and article of manufacture for a goal based system utilizing a time based model </t>
  </si>
  <si>
    <t>US6101489</t>
  </si>
  <si>
    <t xml:space="preserve">System, method and article of manufacture for a goal based education and reporting system </t>
  </si>
  <si>
    <t>US6134539</t>
  </si>
  <si>
    <t xml:space="preserve">Travel system and methods utilizing multi-application airline passenger cards </t>
  </si>
  <si>
    <t>US6910628</t>
  </si>
  <si>
    <t>US6964608</t>
  </si>
  <si>
    <t xml:space="preserve">Creating collaborative simulations for creating collaborative simulations with multiple roles for a single student </t>
  </si>
  <si>
    <t>US7280991</t>
  </si>
  <si>
    <t xml:space="preserve">Goal based stimulator utilizing a spreadsheet architecture </t>
  </si>
  <si>
    <t>US6023691</t>
  </si>
  <si>
    <t xml:space="preserve">Computerized method and system for teaching prose, document and quantitative literacy </t>
  </si>
  <si>
    <t>US5893717</t>
  </si>
  <si>
    <t xml:space="preserve">System, method and article of manufacture for a simulation enabled accounting tutorial system </t>
  </si>
  <si>
    <t>US6029159</t>
  </si>
  <si>
    <t xml:space="preserve">System, method and article of manufacture for a goal based system utilizing a spreadsheet and table based architecture </t>
  </si>
  <si>
    <t>US6018731</t>
  </si>
  <si>
    <t xml:space="preserve">Goal based tutoring system with behavior to control flow of presentation </t>
  </si>
  <si>
    <t>US6023692</t>
  </si>
  <si>
    <t xml:space="preserve">System, method and article of manufacture for a simulation engine with an expert system example processing engine </t>
  </si>
  <si>
    <t>US6064998</t>
  </si>
  <si>
    <t xml:space="preserve">Mode information displayed in a mapping application </t>
  </si>
  <si>
    <t>US7777648</t>
  </si>
  <si>
    <t xml:space="preserve">Method of food and insulin dose management for a diabetic subject </t>
  </si>
  <si>
    <t>US7137951</t>
  </si>
  <si>
    <t xml:space="preserve">Dynamic map rendering as a function of a user parameter </t>
  </si>
  <si>
    <t>US8103445</t>
  </si>
  <si>
    <t xml:space="preserve">Eyewear with touch-sensitive input surface </t>
  </si>
  <si>
    <t>US8430507</t>
  </si>
  <si>
    <t xml:space="preserve">System and method for using global location information, 2D and 3D mapping, social media, and user behavior and information for a consumer feedback social media analytics platform for providing analytic measurements data of online consumer feedback for global brand products or services of past, present or future customers, users, and/or target markets </t>
  </si>
  <si>
    <t>US8909771</t>
  </si>
  <si>
    <t xml:space="preserve">System, method and article of manufacture for a simulation enabled feedback system </t>
  </si>
  <si>
    <t>US6029158</t>
  </si>
  <si>
    <t xml:space="preserve">Zero defect management system for restaurant equipment and environment equipment </t>
  </si>
  <si>
    <t>US6133555</t>
  </si>
  <si>
    <t xml:space="preserve">Method and apparatus for providing visitors with a personalized itinerary and managed access to attractions </t>
  </si>
  <si>
    <t>US7212983</t>
  </si>
  <si>
    <t xml:space="preserve">Virtual earth rooftop overlay and bounding </t>
  </si>
  <si>
    <t>US7466244</t>
  </si>
  <si>
    <t xml:space="preserve">Goal based tutoring system with behavior to tailor to characteristics of a particular user </t>
  </si>
  <si>
    <t>US6029156</t>
  </si>
  <si>
    <t xml:space="preserve">System method and article of manufacture for a goal based system utilizing an activity table </t>
  </si>
  <si>
    <t>US6016486</t>
  </si>
  <si>
    <t xml:space="preserve">System, method and article of manufacture for a goal based educational system with support for dynamic media control </t>
  </si>
  <si>
    <t>US6026386</t>
  </si>
  <si>
    <t xml:space="preserve">Machine-implementable project finance analysis and negotiating tool software, method and system </t>
  </si>
  <si>
    <t>US7177834</t>
  </si>
  <si>
    <t xml:space="preserve">Combination inflator and manifold assembly </t>
  </si>
  <si>
    <t>US7056179</t>
  </si>
  <si>
    <t xml:space="preserve">System, method and article of manufacture for a runtime program regression analysis tool for a simulation engine </t>
  </si>
  <si>
    <t>US6018732</t>
  </si>
  <si>
    <t xml:space="preserve">Pictorial tour process and applications thereof </t>
  </si>
  <si>
    <t>US6224387</t>
  </si>
  <si>
    <t xml:space="preserve">Apparatus for inducing attitudinal head movements for passive virtual reality </t>
  </si>
  <si>
    <t>US6798443</t>
  </si>
  <si>
    <t xml:space="preserve">System and method of virtual schooling </t>
  </si>
  <si>
    <t>US7210938</t>
  </si>
  <si>
    <t xml:space="preserve">System, method and article of manufacture with integrated video conferencing billing in a communication system architecture </t>
  </si>
  <si>
    <t>US5867494</t>
  </si>
  <si>
    <t xml:space="preserve">Facsimile machine with custom operational parameters </t>
  </si>
  <si>
    <t>US5539530</t>
  </si>
  <si>
    <t xml:space="preserve">Tear resistant gel articles for various uses </t>
  </si>
  <si>
    <t>US7290367</t>
  </si>
  <si>
    <t xml:space="preserve">Method for video telephony over a hybrid network </t>
  </si>
  <si>
    <t>US5999525</t>
  </si>
  <si>
    <t xml:space="preserve">Graphical menu for a television receiver </t>
  </si>
  <si>
    <t>US5543857</t>
  </si>
  <si>
    <t xml:space="preserve">Adaptive interactive preceptored teaching system incorporating remote image monitoring </t>
  </si>
  <si>
    <t>US7077806</t>
  </si>
  <si>
    <t xml:space="preserve">Browser based multi-clip video editing </t>
  </si>
  <si>
    <t>US8156176</t>
  </si>
  <si>
    <t xml:space="preserve">Real-time virtual earth driving information </t>
  </si>
  <si>
    <t>US7564377</t>
  </si>
  <si>
    <t xml:space="preserve">Broadband communications </t>
  </si>
  <si>
    <t>US7987228</t>
  </si>
  <si>
    <t xml:space="preserve">Browser based video editing </t>
  </si>
  <si>
    <t>US7809802</t>
  </si>
  <si>
    <t xml:space="preserve">Computing infrastructure </t>
  </si>
  <si>
    <t>US8706914</t>
  </si>
  <si>
    <t xml:space="preserve">System and method for performance support </t>
  </si>
  <si>
    <t>US6539269</t>
  </si>
  <si>
    <t xml:space="preserve">Gray balance control system </t>
  </si>
  <si>
    <t>US5121195</t>
  </si>
  <si>
    <t>US7349838</t>
  </si>
  <si>
    <t xml:space="preserve">Method and apparatus for arranging social meetings </t>
  </si>
  <si>
    <t>US7761386</t>
  </si>
  <si>
    <t xml:space="preserve">Systems and methods for improving emotional awareness and self-mastery </t>
  </si>
  <si>
    <t>US6497577</t>
  </si>
  <si>
    <t xml:space="preserve">System and method for processing gift cards </t>
  </si>
  <si>
    <t>US8285643</t>
  </si>
  <si>
    <t xml:space="preserve">Controller for an exercise bicycle </t>
  </si>
  <si>
    <t>US7837595</t>
  </si>
  <si>
    <t xml:space="preserve">Verification and printing of a tax return in a network-based tax architecture </t>
  </si>
  <si>
    <t>US7603301</t>
  </si>
  <si>
    <t xml:space="preserve">Interpersonal development communications system and directory </t>
  </si>
  <si>
    <t>US6618723</t>
  </si>
  <si>
    <t xml:space="preserve">Goal based educational system with support for dynamic characteristic tuning </t>
  </si>
  <si>
    <t>US6745170</t>
  </si>
  <si>
    <t>US2005144189</t>
  </si>
  <si>
    <t xml:space="preserve">Media mashup system </t>
  </si>
  <si>
    <t>US2011161409</t>
  </si>
  <si>
    <t xml:space="preserve">System and method for social networking interactions using online consumer browsing behavior, buying patterns, advertisements and affiliate advertising, for promotions, online coupons, mobile services, products, goods &amp; services, entertainment and auctions, with geospatial mapping technology </t>
  </si>
  <si>
    <t>US2013073473</t>
  </si>
  <si>
    <t xml:space="preserve">System and Method For Travel Planning </t>
  </si>
  <si>
    <t>US2008046298</t>
  </si>
  <si>
    <t xml:space="preserve">Method and apparatus for creating and evaluating strategies </t>
  </si>
  <si>
    <t>US2005096950</t>
  </si>
  <si>
    <t xml:space="preserve">System And Method For Fuzzy Concept Mapping, Voting Ontology Crowd Sourcing, And Technology Prediction </t>
  </si>
  <si>
    <t>US2014075004</t>
  </si>
  <si>
    <t xml:space="preserve">Point of interest location marking on full windshield head-up display </t>
  </si>
  <si>
    <t>US2010253542</t>
  </si>
  <si>
    <t xml:space="preserve">User Feedback in Connection with Object Recognition </t>
  </si>
  <si>
    <t>US2010045816</t>
  </si>
  <si>
    <t xml:space="preserve">Identity Protection </t>
  </si>
  <si>
    <t>US2008103800</t>
  </si>
  <si>
    <t xml:space="preserve">Method and system for delivering foreign exchange risk management advisory solutions to a designated market </t>
  </si>
  <si>
    <t>US2001056398</t>
  </si>
  <si>
    <t xml:space="preserve">Method and apparatus for explaining credit scores </t>
  </si>
  <si>
    <t>US2004199456</t>
  </si>
  <si>
    <t xml:space="preserve">Management and control of online merchandising </t>
  </si>
  <si>
    <t>US2002188527</t>
  </si>
  <si>
    <t xml:space="preserve">Method and apparatus for providing financial instrument interface </t>
  </si>
  <si>
    <t>US2002130868</t>
  </si>
  <si>
    <t xml:space="preserve">Methods and systems for evaluation of business performance </t>
  </si>
  <si>
    <t>US2004068431</t>
  </si>
  <si>
    <t xml:space="preserve">Universal knowledge management and desktop search system </t>
  </si>
  <si>
    <t>US2010030734</t>
  </si>
  <si>
    <t xml:space="preserve">Integrated customer interface system for communications network management </t>
  </si>
  <si>
    <t>US2005172018</t>
  </si>
  <si>
    <t xml:space="preserve">Diabetes care host-client architecture and data management system </t>
  </si>
  <si>
    <t>US2006010098</t>
  </si>
  <si>
    <t xml:space="preserve">Wagering system with automated entry system </t>
  </si>
  <si>
    <t>US2004229671</t>
  </si>
  <si>
    <t xml:space="preserve">Multi-channel messaging system and method </t>
  </si>
  <si>
    <t>US2002120697</t>
  </si>
  <si>
    <t xml:space="preserve">Online production and media coordination portal/system for telephone ringback messages and digital media content </t>
  </si>
  <si>
    <t>US2007168462</t>
  </si>
  <si>
    <t xml:space="preserve">Interactive, Internet-based, trip planning, travel resource, travel community, virtual travel, travel-based education, travel-related gaming and virtual/live tour system, methods, and processes, emphasizing a user's ability to tailor complete travel, trip, route, game and touring choices to unique user-specified personal interests, preferences, and special requirements for self and companions </t>
  </si>
  <si>
    <t>US2008201227</t>
  </si>
  <si>
    <t xml:space="preserve">Method and apparatus for enabling a player to select features on a gaming device </t>
  </si>
  <si>
    <t>US2004005919</t>
  </si>
  <si>
    <t xml:space="preserve">Facilitating the process of designing and developing a project </t>
  </si>
  <si>
    <t>US2005114829</t>
  </si>
  <si>
    <t xml:space="preserve">Distributed data propagator </t>
  </si>
  <si>
    <t>US2003154284</t>
  </si>
  <si>
    <t xml:space="preserve">Systems and methods for providing enhanced sports watching media guidance </t>
  </si>
  <si>
    <t>US2008066111</t>
  </si>
  <si>
    <t xml:space="preserve">Pari-mutuel terminal wagering system and process </t>
  </si>
  <si>
    <t>US2004235542</t>
  </si>
  <si>
    <t xml:space="preserve">System and methods for a micropayment-enabled marketplace with permission-based, self-service, precision-targeted delivery of advertising, entertainment and informational content and relationship marketing to anonymous internet users </t>
  </si>
  <si>
    <t>US2007067297</t>
  </si>
  <si>
    <t xml:space="preserve">System and method for debt presentment and resolution </t>
  </si>
  <si>
    <t>US2002059139</t>
  </si>
  <si>
    <t>US2004019560</t>
  </si>
  <si>
    <t xml:space="preserve">System and method for allowing creators, artsists, and owners to protect and profit from content </t>
  </si>
  <si>
    <t>US2007156594</t>
  </si>
  <si>
    <t xml:space="preserve">Broad and alternative category clustering of the same, similar or different categories in social/geo/promo link promotional data sets for end user display of interactive ad links, promotions and sale of products, goods and services integrated with 3d spatial geomapping and social networking </t>
  </si>
  <si>
    <t>US2013073400</t>
  </si>
  <si>
    <t xml:space="preserve">Content creation, distribution, interaction, and monitoring system </t>
  </si>
  <si>
    <t>US2006095331</t>
  </si>
  <si>
    <t xml:space="preserve">System and method for using impressions tracking and analysis, location information, 2d and 3d mapping, mobile mapping, social media, and user behavior and information for generating mobile and internet posted promotions or offers for, and/or sales of, products and/or services </t>
  </si>
  <si>
    <t>US2013073388</t>
  </si>
  <si>
    <t xml:space="preserve">Digital jukebox device with karaoke and/or photo booth features, and associated methods </t>
  </si>
  <si>
    <t>US2013070093</t>
  </si>
  <si>
    <t xml:space="preserve">Methods for managing standards </t>
  </si>
  <si>
    <t>US2006161879</t>
  </si>
  <si>
    <t xml:space="preserve">Camera, camera accessories for reading digital watermarks, digital watermarking method and systems, and embedding digital watermarks with metallic inks </t>
  </si>
  <si>
    <t>US2004258274</t>
  </si>
  <si>
    <t xml:space="preserve">Dynamic rendering of map information </t>
  </si>
  <si>
    <t>US2007210937</t>
  </si>
  <si>
    <t xml:space="preserve">Virtual reality immersion system </t>
  </si>
  <si>
    <t>US2004104935</t>
  </si>
  <si>
    <t xml:space="preserve">System and method for providing sports and sporting events related social/geo/promo link promotional data sets for end user display of interactive ad links, promotions and sale of products, goods, gambling and/or services integrated with 3d spatial geomapping, company and local information for selected worldwide locations and social networking </t>
  </si>
  <si>
    <t>US2013073389</t>
  </si>
  <si>
    <t xml:space="preserve">Control systems employing novel physical controls and touch screens </t>
  </si>
  <si>
    <t>US2008211779</t>
  </si>
  <si>
    <t xml:space="preserve">Methods, apparatus and systems for data visualization and related applications </t>
  </si>
  <si>
    <t>US2011261049</t>
  </si>
  <si>
    <t xml:space="preserve">Systems and methods for suggesting meta-information to a camera user </t>
  </si>
  <si>
    <t>US2004174434</t>
  </si>
  <si>
    <t xml:space="preserve">Method And Apparatus For Mobile Location Determination </t>
  </si>
  <si>
    <t>US2013317944</t>
  </si>
  <si>
    <t xml:space="preserve">Games controllers </t>
  </si>
  <si>
    <t>US2003171190</t>
  </si>
  <si>
    <t xml:space="preserve">System and method for providing educational related social/geo/promo link promotional data sets for end user display of interactive ad links, promotions and sale of products, goods, and/or services integrated with 3d spatial geomapping, company and local information for selected worldwide locations and social networking </t>
  </si>
  <si>
    <t>US2013073387</t>
  </si>
  <si>
    <t xml:space="preserve">Systems and methods of profiling, matching and optimizing performance of large networks of individuals </t>
  </si>
  <si>
    <t>US2004210661</t>
  </si>
  <si>
    <t xml:space="preserve">Methods for standards management </t>
  </si>
  <si>
    <t>US2006161444</t>
  </si>
  <si>
    <t xml:space="preserve">Automatic update of online social networking sites </t>
  </si>
  <si>
    <t>US2011047182</t>
  </si>
  <si>
    <t xml:space="preserve">Wagering game machine with biofeedback-aware game presentation </t>
  </si>
  <si>
    <t>US2006281543</t>
  </si>
  <si>
    <t xml:space="preserve">System and methods for performing distributed transactions </t>
  </si>
  <si>
    <t>US2007162308</t>
  </si>
  <si>
    <t xml:space="preserve">Providing Benefits To Players Who Agree To Appropriation Of A Portion Of Future Winnings </t>
  </si>
  <si>
    <t>US2008026816</t>
  </si>
  <si>
    <t xml:space="preserve">Multi-participant, mixed-initiative voice interaction system </t>
  </si>
  <si>
    <t>US2009248420</t>
  </si>
  <si>
    <t xml:space="preserve">Methods, Apparatus, and Systems for Enabling Feedback-Dependent Transactions </t>
  </si>
  <si>
    <t>US2011295722</t>
  </si>
  <si>
    <t xml:space="preserve">System, method and apparatus for modeling and utilizing metrics, processes and technology in marketing applications </t>
  </si>
  <si>
    <t>US2006085255</t>
  </si>
  <si>
    <t xml:space="preserve">Browser enabled video manipulation </t>
  </si>
  <si>
    <t>US2006259588</t>
  </si>
  <si>
    <t xml:space="preserve">Individualized mastery-based driver training </t>
  </si>
  <si>
    <t>US2012135382</t>
  </si>
  <si>
    <t xml:space="preserve">Methods and systems for controlling computers or linking to internet resources from physical and electronic objects </t>
  </si>
  <si>
    <t>EP1054335</t>
  </si>
  <si>
    <t xml:space="preserve">Microchemical nanofactories </t>
  </si>
  <si>
    <t>US2008108122</t>
  </si>
  <si>
    <t xml:space="preserve">Goal-based control of lighting </t>
  </si>
  <si>
    <t>US2011307112</t>
  </si>
  <si>
    <t xml:space="preserve">System, method and apparatus of video processing and applications </t>
  </si>
  <si>
    <t>US2008072261</t>
  </si>
  <si>
    <t xml:space="preserve">Comprehensive user control system for therapeutic wellness devices </t>
  </si>
  <si>
    <t>US2011055720</t>
  </si>
  <si>
    <t xml:space="preserve">Virtual server consumer authorization, verification and credit update method and article </t>
  </si>
  <si>
    <t>US2005065855</t>
  </si>
  <si>
    <t xml:space="preserve">Method and apparatus for player communication </t>
  </si>
  <si>
    <t>US2004082384</t>
  </si>
  <si>
    <t xml:space="preserve">Target and method of detecting, identifying, and determining 3-d pose of the target </t>
  </si>
  <si>
    <t>US2010092079</t>
  </si>
  <si>
    <t xml:space="preserve">Method of hydration; infusion packet system(s), support member(s), delivery system(s), and method(s); with business model(s) and Method(s) </t>
  </si>
  <si>
    <t>US2002012689</t>
  </si>
  <si>
    <t xml:space="preserve">Marketing collateral repository and supporting data management and communication environment </t>
  </si>
  <si>
    <t>US2002103737</t>
  </si>
  <si>
    <t xml:space="preserve">System and method for generating multimedia messages in a mobile device </t>
  </si>
  <si>
    <t>US2008299999</t>
  </si>
  <si>
    <t xml:space="preserve">System and method of individualized mass diagnosis and treatment of obesity </t>
  </si>
  <si>
    <t>US2005240444</t>
  </si>
  <si>
    <t xml:space="preserve">Methods and apparatus for gauging group choices </t>
  </si>
  <si>
    <t>US2003233274</t>
  </si>
  <si>
    <t xml:space="preserve">Architectural frameworks, functions and interfaces for relationship management (affirm) </t>
  </si>
  <si>
    <t>US2009006467</t>
  </si>
  <si>
    <t xml:space="preserve">Context Driven Topologies </t>
  </si>
  <si>
    <t>US2009063557</t>
  </si>
  <si>
    <t xml:space="preserve">Systems, methods, and articles of manufacture to measure, analyze and share golf swing characteristics </t>
  </si>
  <si>
    <t>US2012289354</t>
  </si>
  <si>
    <t xml:space="preserve">Method and system for providing web based interactive lessons with improved session playback </t>
  </si>
  <si>
    <t>US2010081116</t>
  </si>
  <si>
    <t xml:space="preserve">Virtual consultant </t>
  </si>
  <si>
    <t>US2003023686</t>
  </si>
  <si>
    <t xml:space="preserve">Automated poker table </t>
  </si>
  <si>
    <t>US2008026826</t>
  </si>
  <si>
    <t xml:space="preserve">Method and apparatus for generating business activity-related model-based computer system output </t>
  </si>
  <si>
    <t>US2002069083</t>
  </si>
  <si>
    <t xml:space="preserve">Method and apparatus for collection and dissemination of information over a computer network </t>
  </si>
  <si>
    <t>US2006074727</t>
  </si>
  <si>
    <t xml:space="preserve">Photographer's guidance systems </t>
  </si>
  <si>
    <t>US2011050909</t>
  </si>
  <si>
    <t xml:space="preserve">Systems and methods for interactive wagering </t>
  </si>
  <si>
    <t>US2001031656</t>
  </si>
  <si>
    <t xml:space="preserve">System and method for tracking, utilizing predicting, and implementing online consumer browsing behavior, buying patterns, social networking communications, advertisements and communications, for online coupons, products, goods &amp; services, auctions, and service providers using geospatial mapping technology, and social networking </t>
  </si>
  <si>
    <t>US2013073366</t>
  </si>
  <si>
    <t xml:space="preserve">System and method for self management of health using natural language interface </t>
  </si>
  <si>
    <t>US2005010416</t>
  </si>
  <si>
    <t xml:space="preserve">Wearable tactile navigation system </t>
  </si>
  <si>
    <t>US2013218456</t>
  </si>
  <si>
    <t xml:space="preserve">Locaiton determination in an indoor space </t>
  </si>
  <si>
    <t>US2014148196</t>
  </si>
  <si>
    <t xml:space="preserve">System and method for creating exalted video games and virtual realities wherein ideas have consequences </t>
  </si>
  <si>
    <t>US2009017886</t>
  </si>
  <si>
    <t xml:space="preserve">Method and apparatus for computer system engineering </t>
  </si>
  <si>
    <t>US2004098154</t>
  </si>
  <si>
    <t xml:space="preserve">System and method of implementing multi-level marketing of weight management products </t>
  </si>
  <si>
    <t>US2005240434</t>
  </si>
  <si>
    <t xml:space="preserve">Multi-Stage Future Events Outcome Prediction Game </t>
  </si>
  <si>
    <t>US2009054127</t>
  </si>
  <si>
    <t xml:space="preserve">Nagivation Provision System and Framework for Providing Content to an End User </t>
  </si>
  <si>
    <t>US2009276318</t>
  </si>
  <si>
    <t xml:space="preserve">System method and article of manufacture for creating a virtual university experience </t>
  </si>
  <si>
    <t>US2002138590</t>
  </si>
  <si>
    <t xml:space="preserve">Method and apparatus for dynamic rule and/or offer generation </t>
  </si>
  <si>
    <t>US2006271441</t>
  </si>
  <si>
    <t xml:space="preserve">Location-Based Arrangements Employing Mobile Devices </t>
  </si>
  <si>
    <t>US2010293106</t>
  </si>
  <si>
    <t>US2002103695</t>
  </si>
  <si>
    <t xml:space="preserve">Multi-biometric enrollment kiosk including biometric enrollment and verification, face recognition and fingerprint matching systems </t>
  </si>
  <si>
    <t>US2012293642</t>
  </si>
  <si>
    <t xml:space="preserve">Systems and methods for the measurement of vestibulo-ocular reflex to improve human performance in an occupational environment </t>
  </si>
  <si>
    <t>US2016007849</t>
  </si>
  <si>
    <t xml:space="preserve">System and method for providing combined coupon/geospatial mapping/ company-local &amp; socially conscious information and social networking (c-gm-c/l&amp;sc/i-sn) </t>
  </si>
  <si>
    <t>US2013073374</t>
  </si>
  <si>
    <t xml:space="preserve">Enrollment kiosk including biometric enrollment and verification, face recognition and fingerprint matching systems </t>
  </si>
  <si>
    <t>US2013215275</t>
  </si>
  <si>
    <t xml:space="preserve">Universal knowledge information and data storage system </t>
  </si>
  <si>
    <t>US2006277205</t>
  </si>
  <si>
    <t xml:space="preserve">System &amp; method for compiling, accessing &amp; providing community association disclosure information, lender information, community association document information and update information </t>
  </si>
  <si>
    <t>US2003177071</t>
  </si>
  <si>
    <t>US2005041100</t>
  </si>
  <si>
    <t xml:space="preserve">Web-enabled method and system for managing remote dispute resolution </t>
  </si>
  <si>
    <t>US2002038293</t>
  </si>
  <si>
    <t xml:space="preserve">Method and system for a search engine for user generated content (ugc) </t>
  </si>
  <si>
    <t>US2010306192</t>
  </si>
  <si>
    <t xml:space="preserve">System and method for providing competitive pricing for automobiles </t>
  </si>
  <si>
    <t>US2010088158</t>
  </si>
  <si>
    <t xml:space="preserve">Array of individually angled mirrors reflecting disparate color sources toward one or more viewing positions to construct images and visual effects </t>
  </si>
  <si>
    <t>US2011032365</t>
  </si>
  <si>
    <t xml:space="preserve">Method and device for detecting tyre wear or the like </t>
  </si>
  <si>
    <t>US2004154715</t>
  </si>
  <si>
    <t xml:space="preserve">Balanced care product customization </t>
  </si>
  <si>
    <t>US2005240085</t>
  </si>
  <si>
    <t xml:space="preserve">Systems and methods for collecting, analyzing, and sharing bio-signal and non-bio-signal data </t>
  </si>
  <si>
    <t>US2015199010</t>
  </si>
  <si>
    <t xml:space="preserve">System and method for collaborative gifts in a social network environment </t>
  </si>
  <si>
    <t>US2012150605</t>
  </si>
  <si>
    <t xml:space="preserve">Career management system </t>
  </si>
  <si>
    <t>US2010179916</t>
  </si>
  <si>
    <t xml:space="preserve">Display apparatus </t>
  </si>
  <si>
    <t>US2012306940</t>
  </si>
  <si>
    <t xml:space="preserve">Automated procedure for database creation for a form-based data collection system </t>
  </si>
  <si>
    <t>US2002161772</t>
  </si>
  <si>
    <t xml:space="preserve">Home diagnostic system </t>
  </si>
  <si>
    <t>US2007185391</t>
  </si>
  <si>
    <t xml:space="preserve">Autonomous media capturing </t>
  </si>
  <si>
    <t>US2016127641</t>
  </si>
  <si>
    <t xml:space="preserve">Systems, apparatus and methods for delivery of location-oriented information </t>
  </si>
  <si>
    <t>US2009216446</t>
  </si>
  <si>
    <t xml:space="preserve">Virtual Reality Composer Platform System </t>
  </si>
  <si>
    <t>US2009114079</t>
  </si>
  <si>
    <t xml:space="preserve">Systems and methods for providing a virtual assistant </t>
  </si>
  <si>
    <t>US2015172463</t>
  </si>
  <si>
    <t xml:space="preserve">Apparatus and methods for providing city services </t>
  </si>
  <si>
    <t>US2015294431</t>
  </si>
  <si>
    <t xml:space="preserve">Interactive simulations utilizing a remote knowledge base </t>
  </si>
  <si>
    <t>US2003084015</t>
  </si>
  <si>
    <t xml:space="preserve">Project economics analysis tool </t>
  </si>
  <si>
    <t>US2013103615</t>
  </si>
  <si>
    <t xml:space="preserve">Situ patterning of electrolyte for molecular information storage devices </t>
  </si>
  <si>
    <t>US2005207208</t>
  </si>
  <si>
    <t xml:space="preserve">Method and system of transforming an application into an on-demand service </t>
  </si>
  <si>
    <t>US2005188345</t>
  </si>
  <si>
    <t xml:space="preserve">Television delivery system having interactive electronic program guide </t>
  </si>
  <si>
    <t>US8060905</t>
  </si>
  <si>
    <t xml:space="preserve">System and method for processing remainder amounts of money from gift cards </t>
  </si>
  <si>
    <t>US2012150643</t>
  </si>
  <si>
    <t xml:space="preserve">Personal listening device for events </t>
  </si>
  <si>
    <t>US2006126861</t>
  </si>
  <si>
    <t xml:space="preserve">System and method for conducting on-line discussions. </t>
  </si>
  <si>
    <t>US2008184122</t>
  </si>
  <si>
    <t xml:space="preserve">Medical patient training systems and methods </t>
  </si>
  <si>
    <t>US2002132214</t>
  </si>
  <si>
    <t xml:space="preserve">Method and apparatus for leisure &amp; entertainment merchandising </t>
  </si>
  <si>
    <t>US2006129551</t>
  </si>
  <si>
    <t xml:space="preserve">System and method for processing gift cards via social networks </t>
  </si>
  <si>
    <t>US2012245987</t>
  </si>
  <si>
    <t xml:space="preserve">System and method for transferring redemption rights to gift cards </t>
  </si>
  <si>
    <t>US2012150743</t>
  </si>
  <si>
    <t xml:space="preserve">Money management on-line courses </t>
  </si>
  <si>
    <t>US2007174163</t>
  </si>
  <si>
    <t xml:space="preserve">Chat conversation methods traversing a provisional scaffold of meanings </t>
  </si>
  <si>
    <t>US2007294229</t>
  </si>
  <si>
    <t xml:space="preserve">Intuitive computing methods and systems </t>
  </si>
  <si>
    <t>US8422994</t>
  </si>
  <si>
    <t xml:space="preserve">Identifier vocabulary data access method and system </t>
  </si>
  <si>
    <t>US2007260594</t>
  </si>
  <si>
    <t xml:space="preserve">Method of teaching reading </t>
  </si>
  <si>
    <t>US6869287</t>
  </si>
  <si>
    <t xml:space="preserve">Combi-sim card framework of electronic purse combining wireless transceiver of mobile device </t>
  </si>
  <si>
    <t>US7991434</t>
  </si>
  <si>
    <t xml:space="preserve">Automated financial scenario modeling and analysis tool having an intelligent graphical user interface </t>
  </si>
  <si>
    <t>US2009138307</t>
  </si>
  <si>
    <t xml:space="preserve">System and method for processing group gift cards using a temporary, limited scope social networking entity </t>
  </si>
  <si>
    <t>US2012150729</t>
  </si>
  <si>
    <t xml:space="preserve">Goal based educational system with support for dynamic characteristics tuning using a spread sheet object </t>
  </si>
  <si>
    <t>US6535861</t>
  </si>
  <si>
    <t xml:space="preserve">Computer based business model for a statistical method for the diagnosis and treatment of BPPV </t>
  </si>
  <si>
    <t>US6609523</t>
  </si>
  <si>
    <t xml:space="preserve">On-Line Virtual World Game </t>
  </si>
  <si>
    <t>US2012172131</t>
  </si>
  <si>
    <t xml:space="preserve">Method and apparatus for internet marketing and transactional development </t>
  </si>
  <si>
    <t>US2002082930</t>
  </si>
  <si>
    <t xml:space="preserve">Complexity management tool </t>
  </si>
  <si>
    <t>US2008126406</t>
  </si>
  <si>
    <t xml:space="preserve">Method, apparatus, and computer readable storage for training human searchers </t>
  </si>
  <si>
    <t>US2008021721</t>
  </si>
  <si>
    <t xml:space="preserve">Qualitative and quantitative modeling of enterprise risk management and risk registers </t>
  </si>
  <si>
    <t>US2014200953</t>
  </si>
  <si>
    <t xml:space="preserve">Apparatus and method for processing a multimedia commerce service </t>
  </si>
  <si>
    <t>US2014244488</t>
  </si>
  <si>
    <t xml:space="preserve">Human Artificial Intelligence Machine </t>
  </si>
  <si>
    <t>US2008256008</t>
  </si>
  <si>
    <t xml:space="preserve">System and method for processing group gift cards </t>
  </si>
  <si>
    <t>US2012150731</t>
  </si>
  <si>
    <t xml:space="preserve">Device, system, and method of generating a multimedia presentation </t>
  </si>
  <si>
    <t>US2012095817</t>
  </si>
  <si>
    <t xml:space="preserve">System and method for processing gift cards which hide some gift card data </t>
  </si>
  <si>
    <t>US2013166445</t>
  </si>
  <si>
    <t xml:space="preserve">Electronic device for providing map information </t>
  </si>
  <si>
    <t>US2016005229</t>
  </si>
  <si>
    <t xml:space="preserve">Goal based educational system with support for dynamic tailored feedback </t>
  </si>
  <si>
    <t>US7156665</t>
  </si>
  <si>
    <t xml:space="preserve">Medical drug formulation and reverse osmosis purification device </t>
  </si>
  <si>
    <t>US5312547</t>
  </si>
  <si>
    <t xml:space="preserve">Systems and Applications for Display Devices </t>
  </si>
  <si>
    <t>US2016018978</t>
  </si>
  <si>
    <t xml:space="preserve">Broadcast Network Platform System </t>
  </si>
  <si>
    <t>US2012254301</t>
  </si>
  <si>
    <t xml:space="preserve">Local vascular delivery of trichostatin A alone or in combination with sirolimus to prevent restenosis following vascular injury </t>
  </si>
  <si>
    <t>CN1669537</t>
  </si>
  <si>
    <t xml:space="preserve">Production and application of yarn and non strands of ribbon and sheet and nanofibers of the nanofiber </t>
  </si>
  <si>
    <t>JP2008523254</t>
  </si>
  <si>
    <t xml:space="preserve">System, method and article of manufacture for a simulation enabled retail management tutorial system </t>
  </si>
  <si>
    <t>US2002035478</t>
  </si>
  <si>
    <t xml:space="preserve">Image read device </t>
  </si>
  <si>
    <t>US5264948</t>
  </si>
  <si>
    <t>US2008103798</t>
  </si>
  <si>
    <t xml:space="preserve">Systems and methods using virtual reality or augmented reality environments for the measurement and/or improvement of human vestibulo-ocular performance </t>
  </si>
  <si>
    <t>US2016262608</t>
  </si>
  <si>
    <t xml:space="preserve">Methods and systems for modular self-contained floating marine parks </t>
  </si>
  <si>
    <t>US2007060404</t>
  </si>
  <si>
    <t xml:space="preserve">System and Method for Processing Interactive Multimedia Messages </t>
  </si>
  <si>
    <t>US2012259927</t>
  </si>
  <si>
    <t xml:space="preserve">Communications system and smart device apps supporting segmented order distributed distribution system </t>
  </si>
  <si>
    <t>US2015227890</t>
  </si>
  <si>
    <t xml:space="preserve">Information, directory, location and orientation system for retail stores and the like </t>
  </si>
  <si>
    <t>US2002099560</t>
  </si>
  <si>
    <t xml:space="preserve">Computer-Implemented System And Method For Managing On-Street Valet Parking </t>
  </si>
  <si>
    <t>US2012095790</t>
  </si>
  <si>
    <t xml:space="preserve">Air power generator tower </t>
  </si>
  <si>
    <t>US2010199668</t>
  </si>
  <si>
    <t xml:space="preserve">Self-management system and method </t>
  </si>
  <si>
    <t>US2006085217</t>
  </si>
  <si>
    <t>US2013158368</t>
  </si>
  <si>
    <t xml:space="preserve">Emergency management system </t>
  </si>
  <si>
    <t>US2007043585</t>
  </si>
  <si>
    <t xml:space="preserve">Educational system and method for creating learning sessions based on geo-location information </t>
  </si>
  <si>
    <t>US2013004929</t>
  </si>
  <si>
    <t>US2002194056</t>
  </si>
  <si>
    <t xml:space="preserve">Goal based system tailored to the characteristics of a particular user </t>
  </si>
  <si>
    <t>US7089222</t>
  </si>
  <si>
    <t xml:space="preserve">Portable proprioceptive peripatetic polylinear video player </t>
  </si>
  <si>
    <t>US2014002580</t>
  </si>
  <si>
    <t>WO9833362</t>
  </si>
  <si>
    <t xml:space="preserve">A system, method and article of manufacture for switched telephony communication </t>
  </si>
  <si>
    <t>WO9847298</t>
  </si>
  <si>
    <t xml:space="preserve">A communication system architecture </t>
  </si>
  <si>
    <t>WO9834391</t>
  </si>
  <si>
    <t xml:space="preserve">Reconfigurable vehicle instrument panels </t>
  </si>
  <si>
    <t>WO2004091956</t>
  </si>
  <si>
    <t xml:space="preserve">System and method for processing gift cards according to a communication context </t>
  </si>
  <si>
    <t>US2012150732</t>
  </si>
  <si>
    <t xml:space="preserve">Storage medium for storing a signal having successive images for subsequent playback and a method for forming such a signal for storage on such a storage medium </t>
  </si>
  <si>
    <t>US2010231706</t>
  </si>
  <si>
    <t xml:space="preserve">Nasal stimulation devices and methods </t>
  </si>
  <si>
    <t>US2014316310</t>
  </si>
  <si>
    <t xml:space="preserve">Method for automatic routing, navigation, protection and guidance for vehicle drivers </t>
  </si>
  <si>
    <t>WO9305492</t>
  </si>
  <si>
    <t xml:space="preserve">A system, method and article of manufacture for secure, stored value transactions over an open communication network utilizing an extensible, flexible architecture </t>
  </si>
  <si>
    <t>WO9805011</t>
  </si>
  <si>
    <t xml:space="preserve">Local advertising content on an interactive head-mounted eyepiece </t>
  </si>
  <si>
    <t>CN102906623</t>
  </si>
  <si>
    <t xml:space="preserve">Device and method for providing guide information, recording medium recording guide information providing program, guiding script recording medium, guiding script generating device, operation management device and method using guiding script, its program recording medium, device and method for adjusting time at time of movement using the guiding script, recording medium, device and method for providing guide information, and its program recording medium </t>
  </si>
  <si>
    <t>JP2000215211</t>
  </si>
  <si>
    <t xml:space="preserve">Goal based system utilizing a time based model </t>
  </si>
  <si>
    <t>US7054848</t>
  </si>
  <si>
    <t>US2014244429</t>
  </si>
  <si>
    <t xml:space="preserve">Systems and methods for managing mobile app data </t>
  </si>
  <si>
    <t>US2013318207</t>
  </si>
  <si>
    <t xml:space="preserve">Transmitter/receiver unit and receiver unit </t>
  </si>
  <si>
    <t>WO2012090947</t>
  </si>
  <si>
    <t xml:space="preserve">Adaptation of batteries transferred to electrically powered vehicles to range of vehicles - by utilising automatic battery handler that assembles group of traction batteries for shape of battery compartment of vehicle and automatically exchanging charged batteries for spent batteries </t>
  </si>
  <si>
    <t>FR2737694</t>
  </si>
  <si>
    <t xml:space="preserve">Simulation system for three-dimensional on-line virtual reality of environment combining with WebGis and method thereof </t>
  </si>
  <si>
    <t>CN101256590</t>
  </si>
  <si>
    <t xml:space="preserve">Hybrid drive device for motor vehicle such as tourism vehicle, has engine and electric motor that can be connected to drive connection by coupling so that motor is coupled with drive side of gearbox and/or with engine </t>
  </si>
  <si>
    <t>DE10243535</t>
  </si>
  <si>
    <t xml:space="preserve">Adaptive brain training computer system and method </t>
  </si>
  <si>
    <t>US2015351655</t>
  </si>
  <si>
    <t xml:space="preserve">Surface nanopatterning </t>
  </si>
  <si>
    <t>US2006068090</t>
  </si>
  <si>
    <t>US2008103799</t>
  </si>
  <si>
    <t xml:space="preserve">Method and system for optimizing communication about entertainment </t>
  </si>
  <si>
    <t>US2013096981</t>
  </si>
  <si>
    <t xml:space="preserve">Biological information acquisition and presentation kit, and pupillary diameter measurement kit </t>
  </si>
  <si>
    <t>US2007123794</t>
  </si>
  <si>
    <t xml:space="preserve">Retrieving location data via a coded surface </t>
  </si>
  <si>
    <t>US2007070390</t>
  </si>
  <si>
    <t xml:space="preserve">System enabling a salesperson to chat with a customer browsing the salesperson's web site </t>
  </si>
  <si>
    <t>WO9918514</t>
  </si>
  <si>
    <t xml:space="preserve">Core Gateway System And Method </t>
  </si>
  <si>
    <t>US2013179244</t>
  </si>
  <si>
    <t xml:space="preserve">System and method for processing gifts between different exchange mediums </t>
  </si>
  <si>
    <t>US2013144707</t>
  </si>
  <si>
    <t xml:space="preserve">Method and apparatus for presenting content </t>
  </si>
  <si>
    <t>US2011231767</t>
  </si>
  <si>
    <t xml:space="preserve">Smart Device Apps and Incentives For Encouraging The Creation and Sharing Electronic Lists To Imrpove Targeted Marketing While Preserving User Anonymity </t>
  </si>
  <si>
    <t>US2015228004</t>
  </si>
  <si>
    <t xml:space="preserve">Combined multifunction stereo ecological building </t>
  </si>
  <si>
    <t>CN1429961</t>
  </si>
  <si>
    <t xml:space="preserve">Splitboard bindings </t>
  </si>
  <si>
    <t>US8226109</t>
  </si>
  <si>
    <t xml:space="preserve">Methods and systems for assessing financial personality </t>
  </si>
  <si>
    <t>US2011251978</t>
  </si>
  <si>
    <t xml:space="preserve">Contour-reproducing apparatus </t>
  </si>
  <si>
    <t>US3032881</t>
  </si>
  <si>
    <t xml:space="preserve">Method, System, and Computer Program Product for Providing Cosmetic Application Instructions Using Arc Lines </t>
  </si>
  <si>
    <t>US2010142755</t>
  </si>
  <si>
    <t xml:space="preserve">Methods, concepts and technology for a virtual shopping system capable of assessing needs of a customer and recommending a product or service based on such assessed needs </t>
  </si>
  <si>
    <t>WO0073955</t>
  </si>
  <si>
    <t xml:space="preserve">Deposit management system that employs preregistered deposits </t>
  </si>
  <si>
    <t>US2014166745</t>
  </si>
  <si>
    <t xml:space="preserve">Method for providing a wealth management service </t>
  </si>
  <si>
    <t>US2008147567</t>
  </si>
  <si>
    <t xml:space="preserve">Arrangements for administrating and managing a construction project </t>
  </si>
  <si>
    <t>US2013132440</t>
  </si>
  <si>
    <t xml:space="preserve">Self-improvement system and method </t>
  </si>
  <si>
    <t>US2007196798</t>
  </si>
  <si>
    <t xml:space="preserve">Mobile systems and methods of supporting natural language human-machine interactions </t>
  </si>
  <si>
    <t>CN101292282</t>
  </si>
  <si>
    <t xml:space="preserve">System, server and program for managing amount of exercise </t>
  </si>
  <si>
    <t>JP2007115200</t>
  </si>
  <si>
    <t xml:space="preserve">Methods, concepts and technology for dynamic comparison of product features and customer profile </t>
  </si>
  <si>
    <t>WO0073958</t>
  </si>
  <si>
    <t xml:space="preserve">Closed-loop sensor of the solid-state object position detector </t>
  </si>
  <si>
    <t>JP2005522797</t>
  </si>
  <si>
    <t xml:space="preserve">Medical systems, devices and methods </t>
  </si>
  <si>
    <t>US2017173262</t>
  </si>
  <si>
    <t xml:space="preserve">Conductive polymer on a textured or plastic substrate </t>
  </si>
  <si>
    <t>WO2011163556</t>
  </si>
  <si>
    <t xml:space="preserve">A system, method and article of manufacture for a legacy wrapper in a communication services patterns environment </t>
  </si>
  <si>
    <t>WO0116724</t>
  </si>
  <si>
    <t xml:space="preserve">Performance alignment reaction tool of exercise using the performance alignment reaction tool </t>
  </si>
  <si>
    <t>US5314396</t>
  </si>
  <si>
    <t xml:space="preserve">Information distribution system, call-over processing system, physical distribution management system, information distributor, mobile terminal, information reader, information distribution method, information access method and information distribution program </t>
  </si>
  <si>
    <t>JP2003023666</t>
  </si>
  <si>
    <t>WO03089088</t>
  </si>
  <si>
    <t xml:space="preserve">Novel distributed grid super computer system and method </t>
  </si>
  <si>
    <t>CN101453398</t>
  </si>
  <si>
    <t xml:space="preserve">Self-sealing ring-joint gasket </t>
  </si>
  <si>
    <t>US2422009</t>
  </si>
  <si>
    <t xml:space="preserve">Intelligent communication routing </t>
  </si>
  <si>
    <t>US8831205</t>
  </si>
  <si>
    <t xml:space="preserve">Method of instruction </t>
  </si>
  <si>
    <t>US6669486</t>
  </si>
  <si>
    <t xml:space="preserve">Method and apparatus for providing self-help modules media-independent within a multimedia communication center customer interface </t>
  </si>
  <si>
    <t>JP4450515</t>
  </si>
  <si>
    <t xml:space="preserve">System, method and article of manufacture for a goal based system utilizing a table based architecture </t>
  </si>
  <si>
    <t>US6542880</t>
  </si>
  <si>
    <t xml:space="preserve">Electronic book having library catalog menu and searching features </t>
  </si>
  <si>
    <t>WO0045588</t>
  </si>
  <si>
    <t>WO2004012141</t>
  </si>
  <si>
    <t xml:space="preserve">Self-controlled tractor guidance system </t>
  </si>
  <si>
    <t>US3407895</t>
  </si>
  <si>
    <t xml:space="preserve">Insight and algorithmic clustering for automated synthesis </t>
  </si>
  <si>
    <t>US9336302</t>
  </si>
  <si>
    <t xml:space="preserve">Environmentally-neutral processing with condensed phase cryogenic fluids </t>
  </si>
  <si>
    <t>US2009205363</t>
  </si>
  <si>
    <t xml:space="preserve">Securitization of pre-paid conference and registration fees idea </t>
  </si>
  <si>
    <t>US2009234680</t>
  </si>
  <si>
    <t xml:space="preserve">Method and system for providing health information </t>
  </si>
  <si>
    <t>US2010114595</t>
  </si>
  <si>
    <t xml:space="preserve">Dynamic toolbar in a tutorial system </t>
  </si>
  <si>
    <t>US7065512</t>
  </si>
  <si>
    <t xml:space="preserve">Individual transportation of food servings </t>
  </si>
  <si>
    <t>DE102014106400</t>
  </si>
  <si>
    <t>US2015169336</t>
  </si>
  <si>
    <t xml:space="preserve">Device and method for linking materiality with network service </t>
  </si>
  <si>
    <t>JP2001273226</t>
  </si>
  <si>
    <t xml:space="preserve">Systems and methods for providing enhanced neural network genesis and recommendations </t>
  </si>
  <si>
    <t>US2014129371</t>
  </si>
  <si>
    <t>US2014268008</t>
  </si>
  <si>
    <t xml:space="preserve">Printing a map using a mobile device </t>
  </si>
  <si>
    <t>US2007064263</t>
  </si>
  <si>
    <t xml:space="preserve">Electronic textbook </t>
  </si>
  <si>
    <t>US2015072330</t>
  </si>
  <si>
    <t xml:space="preserve">Eco-systemic business model for a music entertainment company and the music industry </t>
  </si>
  <si>
    <t>US2010057517</t>
  </si>
  <si>
    <t xml:space="preserve">Genius adaptive design </t>
  </si>
  <si>
    <t>WO2007081519</t>
  </si>
  <si>
    <t xml:space="preserve">Artificial intelligence machine and artificial intelligence machine system </t>
  </si>
  <si>
    <t>JPH10207504</t>
  </si>
  <si>
    <t xml:space="preserve">Personal advice system and method </t>
  </si>
  <si>
    <t>WO0150387</t>
  </si>
  <si>
    <t xml:space="preserve">Movie studio-based network distribution system and method </t>
  </si>
  <si>
    <t>CN101395592</t>
  </si>
  <si>
    <t xml:space="preserve">Partner portal solution for financial sector </t>
  </si>
  <si>
    <t>US2012310692</t>
  </si>
  <si>
    <t xml:space="preserve">Generating augmented reality images using sensor and location data </t>
  </si>
  <si>
    <t>US2016071325</t>
  </si>
  <si>
    <t xml:space="preserve">Integrated Educational Stakeholder Evaluation and Educational Research System </t>
  </si>
  <si>
    <t>US2013226674</t>
  </si>
  <si>
    <t>US2014244447</t>
  </si>
  <si>
    <t xml:space="preserve">Splitboard Bindings </t>
  </si>
  <si>
    <t>US2012256395</t>
  </si>
  <si>
    <t xml:space="preserve">Real-time customer experience management systems and methods </t>
  </si>
  <si>
    <t>US2016335686</t>
  </si>
  <si>
    <t xml:space="preserve">Multi-attribute searching system and method for electronic commerce applications </t>
  </si>
  <si>
    <t>WO0045319</t>
  </si>
  <si>
    <t xml:space="preserve">Goal based flow of a control presentation system </t>
  </si>
  <si>
    <t>US7194444</t>
  </si>
  <si>
    <t xml:space="preserve">System and method for associating music with brain-state data </t>
  </si>
  <si>
    <t>US2015297109</t>
  </si>
  <si>
    <t xml:space="preserve">Smart media guides, beacon-based systems and formatted data collection devices </t>
  </si>
  <si>
    <t>US2014277654</t>
  </si>
  <si>
    <t xml:space="preserve">System and method of profitability analytics </t>
  </si>
  <si>
    <t>US2014172560</t>
  </si>
  <si>
    <t xml:space="preserve">Accessed result feeding back system in internet and readable storage medium recording program for feeding back accessed result </t>
  </si>
  <si>
    <t>JP2000207333</t>
  </si>
  <si>
    <t xml:space="preserve">System gaming </t>
  </si>
  <si>
    <t>CN101512511</t>
  </si>
  <si>
    <t xml:space="preserve">Friction ring-type transmission comprising two roller bodies which are arranged at a distance from each other about a gap </t>
  </si>
  <si>
    <t>WO2006012892</t>
  </si>
  <si>
    <t xml:space="preserve">Rotation based alignment of a group of wireless tags </t>
  </si>
  <si>
    <t>US2015362581</t>
  </si>
  <si>
    <t xml:space="preserve">Digital jukebox device with improved user interfaces, and associated methods </t>
  </si>
  <si>
    <t>US2015277849</t>
  </si>
  <si>
    <t xml:space="preserve">Interactive and personalized planning, monitoring and management system of the body weight and other physiological conditions, including intervention and reporting capabilities </t>
  </si>
  <si>
    <t>JP2007505412</t>
  </si>
  <si>
    <t xml:space="preserve">Accessible self-service kiosk with enhanced communication features </t>
  </si>
  <si>
    <t>US2014331189</t>
  </si>
  <si>
    <t xml:space="preserve">Simulation enabled feedback system </t>
  </si>
  <si>
    <t>US7065513</t>
  </si>
  <si>
    <t xml:space="preserve">Goal based system utilizing an activity table </t>
  </si>
  <si>
    <t>US6970858</t>
  </si>
  <si>
    <t xml:space="preserve">System and method for evaluating defined contribution plans </t>
  </si>
  <si>
    <t>US2011145166</t>
  </si>
  <si>
    <t xml:space="preserve">Service subscribing method, system, server </t>
  </si>
  <si>
    <t>CN101459908</t>
  </si>
  <si>
    <t xml:space="preserve">Sensing apparatus of the human physiological information and context information </t>
  </si>
  <si>
    <t>JP2005536260</t>
  </si>
  <si>
    <t xml:space="preserve">Multi-user display proxy server </t>
  </si>
  <si>
    <t>CN101553795</t>
  </si>
  <si>
    <t xml:space="preserve">Access oriented classifying device in internet and readable storage medium recording program for classifying access orientation </t>
  </si>
  <si>
    <t>JP2000207334</t>
  </si>
  <si>
    <t xml:space="preserve">Dry cleaning machine </t>
  </si>
  <si>
    <t>US3274807</t>
  </si>
  <si>
    <t>WO03090978</t>
  </si>
  <si>
    <t xml:space="preserve">Method and apparatus for adaptable network processing </t>
  </si>
  <si>
    <t>WO9731441</t>
  </si>
  <si>
    <t xml:space="preserve">Traction energy transmission type duct rotor wing fly lifter </t>
  </si>
  <si>
    <t>CN102756805</t>
  </si>
  <si>
    <t xml:space="preserve">Internet-based education support system and methods </t>
  </si>
  <si>
    <t>CN1371510</t>
  </si>
  <si>
    <t>WO2006116240</t>
  </si>
  <si>
    <t xml:space="preserve">An apparatus, system, and method for automated production of rule based near live sports event in the form of a video film for entertainment </t>
  </si>
  <si>
    <t>WO2011004381</t>
  </si>
  <si>
    <t xml:space="preserve">Method of producing water vapor permeable sheet material </t>
  </si>
  <si>
    <t>US3729536</t>
  </si>
  <si>
    <t xml:space="preserve">A system, method, and article of manufacture for providing commerce-related web application services </t>
  </si>
  <si>
    <t>WO0073957</t>
  </si>
  <si>
    <t xml:space="preserve">Electric public transit system </t>
  </si>
  <si>
    <t>JP2008520173</t>
  </si>
  <si>
    <t xml:space="preserve">Psychometric instruments and methods for mood analysis, psychoeducation, mood health promotion, mood health maintenance and mood disorder therapy </t>
  </si>
  <si>
    <t>US2006147884</t>
  </si>
  <si>
    <t xml:space="preserve">Coupling unit with friction clutch coupling - has pressure plate movably connected to counter pressure plate and has no clearance between shifter and controls </t>
  </si>
  <si>
    <t>DE4345215</t>
  </si>
  <si>
    <t xml:space="preserve">Vibratory delivery cassette, medicine delivering device, ptp delivering device, medicine storing device, and ptp delivering system </t>
  </si>
  <si>
    <t>CN101076312</t>
  </si>
  <si>
    <t xml:space="preserve">Marine flying lifesaving method and device </t>
  </si>
  <si>
    <t>CN102730189</t>
  </si>
  <si>
    <t xml:space="preserve">Method of diagnosing, treating and educating individuals with and/or about depression </t>
  </si>
  <si>
    <t>US2006150989</t>
  </si>
  <si>
    <t xml:space="preserve">The condensate glucose analyzer </t>
  </si>
  <si>
    <t>CN101505653</t>
  </si>
  <si>
    <t xml:space="preserve">Guided exploration of an exhibition environment </t>
  </si>
  <si>
    <t>US2016011733</t>
  </si>
  <si>
    <t xml:space="preserve">Mind-Body Learning System and Methods of Use </t>
  </si>
  <si>
    <t>US2010028841</t>
  </si>
  <si>
    <t xml:space="preserve">Saucer-shaped aircraft </t>
  </si>
  <si>
    <t>WO9527652</t>
  </si>
  <si>
    <t xml:space="preserve">Interaction with and display of photographic images in an image stack </t>
  </si>
  <si>
    <t>US2014079279</t>
  </si>
  <si>
    <t xml:space="preserve">Time dependent inventory asset management system for industries having perishable assets </t>
  </si>
  <si>
    <t>US2015242944</t>
  </si>
  <si>
    <t xml:space="preserve">Hydaulic transmission system </t>
  </si>
  <si>
    <t>CN1031270</t>
  </si>
  <si>
    <t xml:space="preserve">High-efficient low-consumption intelligent beam-pumping unit driven by low-speed large-torque abnormal-shape electric motor </t>
  </si>
  <si>
    <t>CN2600586</t>
  </si>
  <si>
    <t xml:space="preserve">Garment, cloth, bag, and towel with printed description related to product on inside of rear face </t>
  </si>
  <si>
    <t>JP2005042291</t>
  </si>
  <si>
    <t xml:space="preserve">Workpiece holding jig </t>
  </si>
  <si>
    <t>JP3153550</t>
  </si>
  <si>
    <t xml:space="preserve">Apparatus for damping rotational oscillations </t>
  </si>
  <si>
    <t>GB2193790</t>
  </si>
  <si>
    <t xml:space="preserve">Distributed software defined networking </t>
  </si>
  <si>
    <t>US9843624</t>
  </si>
  <si>
    <t xml:space="preserve">Knowledge bourse </t>
  </si>
  <si>
    <t>US2013173494</t>
  </si>
  <si>
    <t xml:space="preserve">Systems and methods for providing recommendations based on collaborative and/or content-based nodal interrelationships </t>
  </si>
  <si>
    <t>US2015220836</t>
  </si>
  <si>
    <t xml:space="preserve">Apparatus for automatically select and reproduce a recording medium </t>
  </si>
  <si>
    <t>FR2522182</t>
  </si>
  <si>
    <t xml:space="preserve">An apparatus and method for manufacturing a composite structure, head for applying a tape on a mold, and device and method to automatically track a work surface </t>
  </si>
  <si>
    <t>FR2507959</t>
  </si>
  <si>
    <t xml:space="preserve">Protective flood barrier system </t>
  </si>
  <si>
    <t>US8287209</t>
  </si>
  <si>
    <t xml:space="preserve">Tourism guiding and broadcasting information system </t>
  </si>
  <si>
    <t>CN1972155</t>
  </si>
  <si>
    <t xml:space="preserve">Elevator control means </t>
  </si>
  <si>
    <t>US2173289</t>
  </si>
  <si>
    <t xml:space="preserve">BT' Smart Machine (BTSM) </t>
  </si>
  <si>
    <t>US2008161968</t>
  </si>
  <si>
    <t xml:space="preserve">System and method for data relay using wireless lan between deferent telecommunication networks </t>
  </si>
  <si>
    <t>KR20090100000</t>
  </si>
  <si>
    <t>KR20020003394</t>
  </si>
  <si>
    <t xml:space="preserve">Intelligent scenic spot information service device integrating various functions </t>
  </si>
  <si>
    <t>CN203931447</t>
  </si>
  <si>
    <t xml:space="preserve">Electromotive be operated drum brake module </t>
  </si>
  <si>
    <t>DE102012201579</t>
  </si>
  <si>
    <t xml:space="preserve">Intelligent bag </t>
  </si>
  <si>
    <t>CN105430767</t>
  </si>
  <si>
    <t xml:space="preserve">Slurry and flood current overhead-hoisting rescue method and amphibious medical ambulance </t>
  </si>
  <si>
    <t>CN102756625</t>
  </si>
  <si>
    <t xml:space="preserve">Amphibious yacht </t>
  </si>
  <si>
    <t>US2012220176</t>
  </si>
  <si>
    <t xml:space="preserve">System and method for providing internet and mobile based social/geo/promo link promotional and coupon data sets for end user display of interactive location-based advertising, location-based deals and offers and location-based services, ad links, promotions, mobile coupons, promotions and sale of consumer, business, government, sports, or educational related products, goods, gambling, or services, integrated with 3d spatial geomapping, mobile mapping, company and local information for selected worldwide locations and social shopping and social networking </t>
  </si>
  <si>
    <t>WO2013039573</t>
  </si>
  <si>
    <t xml:space="preserve">Device used as a climbing aid </t>
  </si>
  <si>
    <t>WO2008083511</t>
  </si>
  <si>
    <t xml:space="preserve">Tizanidine for the treatment of post-traumatic stress disorder and nightmares </t>
  </si>
  <si>
    <t>US2010298305</t>
  </si>
  <si>
    <t xml:space="preserve">Electronic publication environment </t>
  </si>
  <si>
    <t>US2015254214</t>
  </si>
  <si>
    <t xml:space="preserve">Electronic self-help tourist guide system </t>
  </si>
  <si>
    <t>CN201378412</t>
  </si>
  <si>
    <t>US2014004761</t>
  </si>
  <si>
    <t xml:space="preserve">Method for a network-based tax model framework </t>
  </si>
  <si>
    <t>WO0182202</t>
  </si>
  <si>
    <t xml:space="preserve">Fluidic vehicle door pivot drive for e.g. city bus, has coupling mechanism that converts axial position movement of position piston into pivoting movement of driving element, and safety device that is in backup position </t>
  </si>
  <si>
    <t>DE102012103638</t>
  </si>
  <si>
    <t xml:space="preserve">Method for performing fly-lifting rescue in mountain ravine and off-road ambulance </t>
  </si>
  <si>
    <t>CN102756804</t>
  </si>
  <si>
    <t xml:space="preserve">Ultra-low speed big torsional moment special-shape motor dragging and tower type high-efficiency low-consumption intelligent pumping unit </t>
  </si>
  <si>
    <t>CN1840904</t>
  </si>
  <si>
    <t xml:space="preserve">High-efficient energy-saving lever oil pumping machine </t>
  </si>
  <si>
    <t>CN1088665</t>
  </si>
  <si>
    <t xml:space="preserve">Smart scalable storage switch architecture </t>
  </si>
  <si>
    <t>CN101356506</t>
  </si>
  <si>
    <t xml:space="preserve">Ship, naval vessel or submarine with system of outer inlaying counterweight iron devices and outer suspending counterweight iron devices </t>
  </si>
  <si>
    <t>CN202147830</t>
  </si>
  <si>
    <t xml:space="preserve">Thermal steam engine for an autonomous under water vehicle, without communication with the surface </t>
  </si>
  <si>
    <t>EP0143728</t>
  </si>
  <si>
    <t xml:space="preserve">Method and a machine for the production of hollow glassware articles </t>
  </si>
  <si>
    <t>CN1630620</t>
  </si>
  <si>
    <t xml:space="preserve">Method for structuring sightseeing tower from H type steel and method for manufacturing H type steel structure </t>
  </si>
  <si>
    <t>CN1727616</t>
  </si>
  <si>
    <t xml:space="preserve">Cloud service node architecture in self-service tourism system, and service collaborating and balancing module and method among service nodes in self-service tourism system </t>
  </si>
  <si>
    <t>CN102710785</t>
  </si>
  <si>
    <t xml:space="preserve">Gantry type support and automatic balance walking beam type oil extractor </t>
  </si>
  <si>
    <t>CN201367888</t>
  </si>
  <si>
    <t xml:space="preserve">friction clutch </t>
  </si>
  <si>
    <t>DE4322677</t>
  </si>
  <si>
    <t xml:space="preserve">Device for the spraying of a liquid, particularly of a liquid fuel in a burner </t>
  </si>
  <si>
    <t>EP0552089</t>
  </si>
  <si>
    <t xml:space="preserve">Patent BE730813A </t>
  </si>
  <si>
    <t>BE730813</t>
  </si>
  <si>
    <t xml:space="preserve">System, method and article of manufacture for providing tax services in a network-based tax architecture </t>
  </si>
  <si>
    <t>US2014180883</t>
  </si>
  <si>
    <t xml:space="preserve">Patent BE686968A </t>
  </si>
  <si>
    <t>BE686968</t>
  </si>
  <si>
    <t xml:space="preserve">Software-defined electric motor </t>
  </si>
  <si>
    <t>US2015171674</t>
  </si>
  <si>
    <t xml:space="preserve">Bulk material guide device for adhesive tape machine </t>
  </si>
  <si>
    <t>CN201458330</t>
  </si>
  <si>
    <t xml:space="preserve">High-speed high-torque full-hydraulic top drive drilling set </t>
  </si>
  <si>
    <t>CN204238847</t>
  </si>
  <si>
    <t xml:space="preserve">Dynamic balance intelligent adjusting device of novel beam-pumping unit </t>
  </si>
  <si>
    <t>CN203867528</t>
  </si>
  <si>
    <t xml:space="preserve">Parallel beam-cluster multi-well interacting self-balanced pupming unit </t>
  </si>
  <si>
    <t>CN2560752</t>
  </si>
  <si>
    <t xml:space="preserve">Pumping unit </t>
  </si>
  <si>
    <t>CN2168096</t>
  </si>
  <si>
    <t xml:space="preserve">Method and system for establishing a communication using privacy enhancing techniques </t>
  </si>
  <si>
    <t>CN1894923</t>
  </si>
  <si>
    <t xml:space="preserve">Leisure tourist scale </t>
  </si>
  <si>
    <t>CN201359528</t>
  </si>
  <si>
    <t xml:space="preserve">Balance beam-pumping unit </t>
  </si>
  <si>
    <t>CN203008871</t>
  </si>
  <si>
    <t xml:space="preserve">Patent BE708125A </t>
  </si>
  <si>
    <t>BE708125</t>
  </si>
  <si>
    <t xml:space="preserve">Wirelessly triggered smart media guides </t>
  </si>
  <si>
    <t>US2015104152</t>
  </si>
  <si>
    <t xml:space="preserve">Automatic sluice gate with buoyancy programmed control </t>
  </si>
  <si>
    <t>CN1229160</t>
  </si>
  <si>
    <t xml:space="preserve">Car friction clutch with pressure disc - has wear compensation and operation to provide constant force and moment transfer </t>
  </si>
  <si>
    <t>DE4244817</t>
  </si>
  <si>
    <t xml:space="preserve">Automatic well workover machine people </t>
  </si>
  <si>
    <t>CN205876235</t>
  </si>
  <si>
    <t xml:space="preserve">Half-beam pumping unit </t>
  </si>
  <si>
    <t>CN202690016</t>
  </si>
  <si>
    <t xml:space="preserve">Vertical multistage centrifugal pump </t>
  </si>
  <si>
    <t>CN204921379</t>
  </si>
  <si>
    <t xml:space="preserve">Double-stage lifting oil-water well snubbing operation device </t>
  </si>
  <si>
    <t>CN102678080</t>
  </si>
  <si>
    <t xml:space="preserve">An electronic device and method for reproducing the mass media content and related content </t>
  </si>
  <si>
    <t>DE602005002231</t>
  </si>
  <si>
    <t xml:space="preserve">Cognitive tour guide system </t>
  </si>
  <si>
    <t>US2017211940</t>
  </si>
  <si>
    <t xml:space="preserve">Two-dimensional floating force balance mechanism for precision mechanical instrument </t>
  </si>
  <si>
    <t>CN202393403</t>
  </si>
  <si>
    <t xml:space="preserve">Self-balancing type digital oil pumping machine </t>
  </si>
  <si>
    <t>CN203188980</t>
  </si>
  <si>
    <t xml:space="preserve">A fluid meter has turbine constant precision </t>
  </si>
  <si>
    <t>FR2458795</t>
  </si>
  <si>
    <t>CN101360016</t>
  </si>
  <si>
    <t xml:space="preserve">High-speed large-torque full-hydraulic top drive well-drilling device </t>
  </si>
  <si>
    <t>CN104389514</t>
  </si>
  <si>
    <t xml:space="preserve">Navigation system and structure for providing terminal user content </t>
  </si>
  <si>
    <t>CN101413802</t>
  </si>
  <si>
    <t xml:space="preserve">Self-supporting structure with automatic mounting and unfolding,and automatic dismounting and folding </t>
  </si>
  <si>
    <t>WO8201390</t>
  </si>
  <si>
    <t>DE4418026</t>
  </si>
  <si>
    <t xml:space="preserve">Guiding a quick clamping system </t>
  </si>
  <si>
    <t>DE202014104201</t>
  </si>
  <si>
    <t xml:space="preserve">Patent BE664473A </t>
  </si>
  <si>
    <t>BE664473</t>
  </si>
  <si>
    <t xml:space="preserve">Tourist car </t>
  </si>
  <si>
    <t>CN201921478</t>
  </si>
  <si>
    <t xml:space="preserve">System for self-adaptive balancing flexible strip cutter position adjustment </t>
  </si>
  <si>
    <t>CN204278113</t>
  </si>
  <si>
    <t xml:space="preserve">Intelligence luggage </t>
  </si>
  <si>
    <t>CN205389272</t>
  </si>
  <si>
    <t xml:space="preserve">Device for converting lumpy high-low water head potential energy difference into electric energy </t>
  </si>
  <si>
    <t>CN102182614</t>
  </si>
  <si>
    <t xml:space="preserve">Liquid meter turbine was correcting and automatic control </t>
  </si>
  <si>
    <t>FR2458796</t>
  </si>
  <si>
    <t xml:space="preserve">Towed moment-changing beam-balanced pumping unit </t>
  </si>
  <si>
    <t>CN1095453</t>
  </si>
  <si>
    <t xml:space="preserve">Cloud computing-based intelligent travel management system and method </t>
  </si>
  <si>
    <t>CN105447786</t>
  </si>
  <si>
    <t xml:space="preserve">Cloud computing based management method for smart travel management system </t>
  </si>
  <si>
    <t>CN105427208</t>
  </si>
  <si>
    <t xml:space="preserve">military vehicle </t>
  </si>
  <si>
    <t>DE102013101632</t>
  </si>
  <si>
    <t xml:space="preserve">The self balancing scooter with a steering mechanism using thigh </t>
  </si>
  <si>
    <t>KR101602197</t>
  </si>
  <si>
    <t xml:space="preserve">Self oil providing system having cash accept processing function and cash accept processing method </t>
  </si>
  <si>
    <t>KR100548987</t>
  </si>
  <si>
    <t xml:space="preserve">Guiding robot </t>
  </si>
  <si>
    <t>JP5510599</t>
  </si>
  <si>
    <t xml:space="preserve">Self lubricator having cash withdraw function and operation method thereof </t>
  </si>
  <si>
    <t>KR101845971</t>
  </si>
  <si>
    <t xml:space="preserve">Method of providing tourist information in accordance with the regional favorability </t>
  </si>
  <si>
    <t>KR101539418</t>
  </si>
  <si>
    <t xml:space="preserve">Sightseeing guide information apparatus for a portable self settlement </t>
  </si>
  <si>
    <t>KR100414027</t>
  </si>
  <si>
    <t xml:space="preserve">Pharmaceuical composition comprising anti-mirna antisense oligonucleotides </t>
  </si>
  <si>
    <t>KR101407707</t>
  </si>
  <si>
    <t xml:space="preserve">Armored vehicle with a hood </t>
  </si>
  <si>
    <t>DE102013101625</t>
  </si>
  <si>
    <t xml:space="preserve">Mechanism for lifting and lowering of inter-urban bus spare wheel </t>
  </si>
  <si>
    <t>RU2528459</t>
  </si>
  <si>
    <t xml:space="preserve">Water pollution species automatic guided tour machine </t>
  </si>
  <si>
    <t>CN207731155</t>
  </si>
  <si>
    <t xml:space="preserve">Convenient electrodynamic balance car of scenic spot guide to visitors </t>
  </si>
  <si>
    <t>CN207157387</t>
  </si>
  <si>
    <t xml:space="preserve">Military vehicle having a guide unit </t>
  </si>
  <si>
    <t>DE102013101630</t>
  </si>
  <si>
    <t xml:space="preserve">Living lookout tower. </t>
  </si>
  <si>
    <t>ES2292267</t>
  </si>
  <si>
    <t xml:space="preserve">Infinitymatrix and infinityscrew engine systems and methods following a torus pattern </t>
  </si>
  <si>
    <t>WO2016140896</t>
  </si>
  <si>
    <t xml:space="preserve">Tourism guide method and system </t>
  </si>
  <si>
    <t>CN108109081</t>
  </si>
  <si>
    <t xml:space="preserve">Method and equipment for equipotential self-balancing pumping unit in cluster wells </t>
  </si>
  <si>
    <t>CN1727635</t>
  </si>
  <si>
    <t xml:space="preserve">Beam -pumping unit chain drive automatic balancing arrangement </t>
  </si>
  <si>
    <t>CN205638386</t>
  </si>
  <si>
    <t xml:space="preserve">Automatic well repairing robot </t>
  </si>
  <si>
    <t>CN106121560</t>
  </si>
  <si>
    <t xml:space="preserve">A intelligence variable speed system of cruising for swimming </t>
  </si>
  <si>
    <t>CN207153012</t>
  </si>
  <si>
    <t xml:space="preserve">Attractions explain kinds of automatic systems and methods guide </t>
  </si>
  <si>
    <t>CN105142113</t>
  </si>
  <si>
    <t xml:space="preserve">Patent BE541186A </t>
  </si>
  <si>
    <t>BE541186</t>
  </si>
  <si>
    <t xml:space="preserve">Intelligence variable speed system of cruising containing range sensor </t>
  </si>
  <si>
    <t>CN207153013</t>
  </si>
  <si>
    <t xml:space="preserve">Kinds of solutions to systems and methods guides and tourists matching supply and demand information </t>
  </si>
  <si>
    <t>CN108492217</t>
  </si>
  <si>
    <t xml:space="preserve">Intelligent variable-speed cruising system including amplitude sensors </t>
  </si>
  <si>
    <t>CN107213601</t>
  </si>
  <si>
    <t xml:space="preserve">Immersive capture and review </t>
  </si>
  <si>
    <t>US2017353658</t>
  </si>
  <si>
    <t xml:space="preserve">Drug carrier and method for preparing same </t>
  </si>
  <si>
    <t>CN100548382</t>
  </si>
  <si>
    <t xml:space="preserve">Financial management system </t>
  </si>
  <si>
    <t>JP2014525062</t>
  </si>
  <si>
    <t xml:space="preserve">Vehicle having a weapon mount </t>
  </si>
  <si>
    <t>DE102013101638</t>
  </si>
  <si>
    <t xml:space="preserve">weapon station </t>
  </si>
  <si>
    <t>DE102013101635</t>
  </si>
  <si>
    <t xml:space="preserve">Soft, wearable microfluidic systems capable of capture, storage, and sensing of biofluids </t>
  </si>
  <si>
    <t>US2018064377</t>
  </si>
  <si>
    <t xml:space="preserve">Identify, extract, capture and methods of balancing professional and technical knowledge and equipment </t>
  </si>
  <si>
    <t>CN101137980</t>
  </si>
  <si>
    <t xml:space="preserve">Self-driven vessel capable of ultra-high speed driving and sinking prevention </t>
  </si>
  <si>
    <t>WO2015016635</t>
  </si>
  <si>
    <t xml:space="preserve">Intelligent drinking water integrating device and system </t>
  </si>
  <si>
    <t>CN104878802</t>
  </si>
  <si>
    <t xml:space="preserve">High-effect energy-saving rod oil suction machine </t>
  </si>
  <si>
    <t>CN2147374</t>
  </si>
  <si>
    <t xml:space="preserve">Hypervariable combination bicycle </t>
  </si>
  <si>
    <t>DE202012000425</t>
  </si>
  <si>
    <t xml:space="preserve">Species for swimming steerable speed cruise equipment </t>
  </si>
  <si>
    <t>CN207667068</t>
  </si>
  <si>
    <t xml:space="preserve">Compound net cage of which inner net cages can move up and down </t>
  </si>
  <si>
    <t>CN108157254</t>
  </si>
  <si>
    <t xml:space="preserve">Tower frame and balance beam combined linear motor oil pumping machine </t>
  </si>
  <si>
    <t>CN201273176</t>
  </si>
  <si>
    <t xml:space="preserve">Natural air circulating device for sightseeing submarine and submarine for sightseeing </t>
  </si>
  <si>
    <t>CN200945929</t>
  </si>
  <si>
    <t xml:space="preserve">Sliding sleeve type no-cable turnable lift sub </t>
  </si>
  <si>
    <t>CN106121556</t>
  </si>
  <si>
    <t xml:space="preserve">One kind of beam pumping unit intelligent balancing adjustment means </t>
  </si>
  <si>
    <t>CN103883289</t>
  </si>
  <si>
    <t xml:space="preserve">New exhaust valve and intake system </t>
  </si>
  <si>
    <t>WO0201053</t>
  </si>
  <si>
    <t xml:space="preserve">Systems, Methods And Devices Supporting Interactive Personal And Professional Guidance </t>
  </si>
  <si>
    <t>US2014258183</t>
  </si>
  <si>
    <t xml:space="preserve">Intelligent touring guide and visiting guide system and method based on map scaling ratio classification displaying </t>
  </si>
  <si>
    <t>CN106803402</t>
  </si>
  <si>
    <t xml:space="preserve">Internet of things based separate alarm and overall control module and ultra-sensing management system </t>
  </si>
  <si>
    <t>CN105357252</t>
  </si>
  <si>
    <t xml:space="preserve">supply and insertion of a weft thread system in a loom </t>
  </si>
  <si>
    <t>FR2478144</t>
  </si>
  <si>
    <t xml:space="preserve">A radiation emitting element and a method of providing it </t>
  </si>
  <si>
    <t>KR20110137768</t>
  </si>
  <si>
    <t xml:space="preserve">New movable up and down within the cage double cage </t>
  </si>
  <si>
    <t>CN207589857</t>
  </si>
  <si>
    <t xml:space="preserve">Intelligent variable speed cruising system for swimming </t>
  </si>
  <si>
    <t>CN107174800</t>
  </si>
  <si>
    <t xml:space="preserve">Team friction clutch of a system Balancing </t>
  </si>
  <si>
    <t>FR2763109</t>
  </si>
  <si>
    <t xml:space="preserve">Anesthetic inhalation narcosis administering and anesthetic and oxygen content measuring device for e.g. civil transport aircraft, has outlet nozzles for conditioned air, oxygen and anesthetics and cold air nozzles for crew members </t>
  </si>
  <si>
    <t>FR2881551</t>
  </si>
  <si>
    <t xml:space="preserve">Patrol robot that hires a car </t>
  </si>
  <si>
    <t>CN207106696</t>
  </si>
  <si>
    <t xml:space="preserve">Sakairyoku machine </t>
  </si>
  <si>
    <t>JP2007502099</t>
  </si>
  <si>
    <t xml:space="preserve">Double -side grinding machine </t>
  </si>
  <si>
    <t>CN206717634</t>
  </si>
  <si>
    <t xml:space="preserve">'Menneimasi pendulum arm', accurate linear driver unit and clutch </t>
  </si>
  <si>
    <t>CN1306189</t>
  </si>
  <si>
    <t xml:space="preserve">Positive drive arrangement is led to telescopic tourist bus flexibility at random </t>
  </si>
  <si>
    <t>CN205858214</t>
  </si>
  <si>
    <t xml:space="preserve">A mechanical equipment of cruising that changes speed for swimming </t>
  </si>
  <si>
    <t>CN207157461</t>
  </si>
  <si>
    <t xml:space="preserve">Automatic tube stacking arraying and placing integrated hydraulic supporting leg </t>
  </si>
  <si>
    <t>CN106121559</t>
  </si>
  <si>
    <t xml:space="preserve">Multifunctional chain conveying hydraulic supporting leg </t>
  </si>
  <si>
    <t>CN106121558</t>
  </si>
  <si>
    <t xml:space="preserve">Patent BE642807A </t>
  </si>
  <si>
    <t>BE642807</t>
  </si>
  <si>
    <t xml:space="preserve">A natural air circulation device for a sightseeing submarine and a sightseeing submarine </t>
  </si>
  <si>
    <t>WO2007065295</t>
  </si>
  <si>
    <t xml:space="preserve">Procedure for releasing a suspension medium load or weight compensation of a lift from a braking position </t>
  </si>
  <si>
    <t>ES2416064</t>
  </si>
  <si>
    <t xml:space="preserve">Equipotential self-balanced oil pump for clustertype well </t>
  </si>
  <si>
    <t>CN2791243</t>
  </si>
  <si>
    <t xml:space="preserve">Patrolling car rental robot </t>
  </si>
  <si>
    <t>CN107082095</t>
  </si>
  <si>
    <t xml:space="preserve">Sliding sleeve formula does not have cable can turn to elevator </t>
  </si>
  <si>
    <t>CN205876227</t>
  </si>
  <si>
    <t xml:space="preserve">Automatic integrative hydraulic leg is put to sign indicating number bank of tubes </t>
  </si>
  <si>
    <t>CN205858219</t>
  </si>
  <si>
    <t xml:space="preserve">Multi -functional chain type conveying hydraulic leg </t>
  </si>
  <si>
    <t>CN205858218</t>
  </si>
  <si>
    <t xml:space="preserve">Life environment automating method and system </t>
  </si>
  <si>
    <t>WO02086781</t>
  </si>
  <si>
    <t xml:space="preserve">Split rotation type self-balancing segway </t>
  </si>
  <si>
    <t>CN203958471</t>
  </si>
  <si>
    <t xml:space="preserve">Self-balancing two-wheeled electric vehicles and chassis assembly </t>
  </si>
  <si>
    <t>CN104071275</t>
  </si>
  <si>
    <t xml:space="preserve">Electronically self-balanced wheelchair </t>
  </si>
  <si>
    <t>EP2995540</t>
  </si>
  <si>
    <t xml:space="preserve">Two-wheel self-balance vehicle in single shaft driving </t>
  </si>
  <si>
    <t>CN103600796</t>
  </si>
  <si>
    <t xml:space="preserve">Self-balancing electric double-wheel bicycle and assembled bicycle frame thereof </t>
  </si>
  <si>
    <t>CN203996652</t>
  </si>
  <si>
    <t xml:space="preserve">Vehicle safety warning muscle tension or hybrid bikes, scooters, segway (self-balancing personal transportation) and the like </t>
  </si>
  <si>
    <t>ES1167034</t>
  </si>
  <si>
    <t xml:space="preserve">Self-balancing passenger transport </t>
  </si>
  <si>
    <t>DE202014103134</t>
  </si>
  <si>
    <t xml:space="preserve">Cross -country thinking car of two -wheeled self -balancing </t>
  </si>
  <si>
    <t>CN206437134</t>
  </si>
  <si>
    <t xml:space="preserve">Uni-wheel personal mobility vehicle with self-balancing function </t>
  </si>
  <si>
    <t>US2014251708</t>
  </si>
  <si>
    <t xml:space="preserve">Self-balancing human transporter vehicle having a built-in photovoltaic module </t>
  </si>
  <si>
    <t>WO2011051372</t>
  </si>
  <si>
    <t xml:space="preserve">Self-balancing electric monocycle and anti-collision protrusions thereof </t>
  </si>
  <si>
    <t>CN203996606</t>
  </si>
  <si>
    <t xml:space="preserve">Self-balancing type electric bicycle </t>
  </si>
  <si>
    <t>CN102514663</t>
  </si>
  <si>
    <t xml:space="preserve">Variable-structure self-balancing two-wheeled vehicle </t>
  </si>
  <si>
    <t>CN102582738</t>
  </si>
  <si>
    <t xml:space="preserve">Electric wheel chair with self balancing function </t>
  </si>
  <si>
    <t>CN200957141</t>
  </si>
  <si>
    <t xml:space="preserve">Dual-wheel self-balancing vehicle adjusted by spherical top </t>
  </si>
  <si>
    <t>CN106882300</t>
  </si>
  <si>
    <t xml:space="preserve">Stability attachment for a two-wheeled, self-balancing, personal transportation vehicle </t>
  </si>
  <si>
    <t>US2017144718</t>
  </si>
  <si>
    <t xml:space="preserve">Simplified two wheeled hubless self-balancing personal transport vehicle </t>
  </si>
  <si>
    <t>EP2720933</t>
  </si>
  <si>
    <t xml:space="preserve">Electric motor car of tricycle self -balancing </t>
  </si>
  <si>
    <t>CN205686540</t>
  </si>
  <si>
    <t xml:space="preserve">Driving control method and device of electric self-balancing vehicle </t>
  </si>
  <si>
    <t>CN104503671</t>
  </si>
  <si>
    <t xml:space="preserve">Self-balanced electrical driving wheel chair with wheels for guarding against up face aback </t>
  </si>
  <si>
    <t>CN101091680</t>
  </si>
  <si>
    <t xml:space="preserve">Personal transporter i.e. self-balancing personal transportation device, has parking stand with stand arm that is pivoted around pivot axis at transporter, where pivot axis is oriented transverse to driving direction of transporter </t>
  </si>
  <si>
    <t>DE102008029388</t>
  </si>
  <si>
    <t xml:space="preserve">Self-stabilized vehicle having two wheels including intelligent battery management system </t>
  </si>
  <si>
    <t>KR101533258</t>
  </si>
  <si>
    <t xml:space="preserve">Safety device of electric self-balancing vehicle </t>
  </si>
  <si>
    <t>CN106945768</t>
  </si>
  <si>
    <t xml:space="preserve">Motor external type self-balancing two-wheel electric vehicle </t>
  </si>
  <si>
    <t>CN204197152</t>
  </si>
  <si>
    <t xml:space="preserve">Segway adopting transverse foot-control steering </t>
  </si>
  <si>
    <t>CN105035231</t>
  </si>
  <si>
    <t xml:space="preserve">Segway Type Water Ledger Board Maintaining Autonomous Balance </t>
  </si>
  <si>
    <t>KR101816136</t>
  </si>
  <si>
    <t xml:space="preserve">Self-stabilized vehicle having two wheels </t>
  </si>
  <si>
    <t>KR20140134095</t>
  </si>
  <si>
    <t xml:space="preserve">Safe two-wheeled self-balancing vehicle </t>
  </si>
  <si>
    <t>CN105539658</t>
  </si>
  <si>
    <t>KR20140147618</t>
  </si>
  <si>
    <t xml:space="preserve">Self -Balancing vehicle </t>
  </si>
  <si>
    <t>CN204659913</t>
  </si>
  <si>
    <t xml:space="preserve">Dual -purpose shoes of riding instead of walk of self -balancing based on inverted pendulum control system </t>
  </si>
  <si>
    <t>CN205158137</t>
  </si>
  <si>
    <t xml:space="preserve">Central wheel structure auto-balancing device </t>
  </si>
  <si>
    <t>US2018215434</t>
  </si>
  <si>
    <t xml:space="preserve">Self-balancing two-wheel car </t>
  </si>
  <si>
    <t>CN204527457</t>
  </si>
  <si>
    <t xml:space="preserve">Removal carrier that oneself is balanced </t>
  </si>
  <si>
    <t>CN205769822</t>
  </si>
  <si>
    <t xml:space="preserve">Self-balancing wheelchair </t>
  </si>
  <si>
    <t>EP3178732</t>
  </si>
  <si>
    <t xml:space="preserve">Self-balancing walking dual-purpose shoes based on inverted pendulum control system </t>
  </si>
  <si>
    <t>CN105223963</t>
  </si>
  <si>
    <t xml:space="preserve">Foldable self-balancing vehicle provided with seat and two wheels </t>
  </si>
  <si>
    <t>CN105564563</t>
  </si>
  <si>
    <t xml:space="preserve">Self Balancing Electric Uni-Motor-Cycle Using Sensor Fusion </t>
  </si>
  <si>
    <t>KR101532487</t>
  </si>
  <si>
    <t xml:space="preserve">Assembly for controlling moving direction of self-balancing two-wheel electric vehicle </t>
  </si>
  <si>
    <t>CN204077954</t>
  </si>
  <si>
    <t>DE202014010564</t>
  </si>
  <si>
    <t xml:space="preserve">Method and device for managing a self-balancing vehicle </t>
  </si>
  <si>
    <t>US2016378106</t>
  </si>
  <si>
    <t xml:space="preserve">Electronic wheel barrow of self -balancing based on gyroscope stabilizer </t>
  </si>
  <si>
    <t>CN205098368</t>
  </si>
  <si>
    <t xml:space="preserve">Self-balancing electric monocycle based on gyroscope stabilizer </t>
  </si>
  <si>
    <t>CN105292344</t>
  </si>
  <si>
    <t xml:space="preserve">Double-wheel self-balancing electrocar operation starting and stopping assembly </t>
  </si>
  <si>
    <t>CN204056178</t>
  </si>
  <si>
    <t xml:space="preserve">Apparatus and method for control of a dynamically self-balancing vehicle </t>
  </si>
  <si>
    <t>WO2010053740</t>
  </si>
  <si>
    <t xml:space="preserve">Handle for self-balancing electric vehicle </t>
  </si>
  <si>
    <t>CN204077958</t>
  </si>
  <si>
    <t xml:space="preserve">Two-wheeled self-balancing electric vehicle wheel and vehicle body fixing connection structure </t>
  </si>
  <si>
    <t>CN204110257</t>
  </si>
  <si>
    <t xml:space="preserve">Pedal component arrangement structure of electric self-balance vehicle with handlebar and seat </t>
  </si>
  <si>
    <t>CN204368370</t>
  </si>
  <si>
    <t xml:space="preserve">Electric self-balancing vehicle capable of being folded into box </t>
  </si>
  <si>
    <t>CN202847921</t>
  </si>
  <si>
    <t xml:space="preserve">Vehicle with golf improvements </t>
  </si>
  <si>
    <t>US8424628</t>
  </si>
  <si>
    <t xml:space="preserve">Dual-wheel self-balancing patrol vehicle with keel framework </t>
  </si>
  <si>
    <t>CN103144715</t>
  </si>
  <si>
    <t xml:space="preserve">Electric self-balancing two-wheeled vehicle </t>
  </si>
  <si>
    <t>CN104494749</t>
  </si>
  <si>
    <t xml:space="preserve">Folding mechanism of self balance electric bicycle folding handlebar </t>
  </si>
  <si>
    <t>CN204077959</t>
  </si>
  <si>
    <t xml:space="preserve">Self-balancing scooter differential control apparatus </t>
  </si>
  <si>
    <t>US2018029662</t>
  </si>
  <si>
    <t xml:space="preserve">Electronic self-balancing two-wheel car </t>
  </si>
  <si>
    <t>CN204527462</t>
  </si>
  <si>
    <t xml:space="preserve">The outer ring of motorcycle </t>
  </si>
  <si>
    <t>KR20140093022</t>
  </si>
  <si>
    <t xml:space="preserve">Self-balanced two-wheel electric vehicle with external motors </t>
  </si>
  <si>
    <t>CN105438356</t>
  </si>
  <si>
    <t xml:space="preserve">Two-wheel self-balancing vehicle </t>
  </si>
  <si>
    <t>CN104494750</t>
  </si>
  <si>
    <t xml:space="preserve">Power-driven self-balance car capable of being folded into box body </t>
  </si>
  <si>
    <t>CN103661723</t>
  </si>
  <si>
    <t xml:space="preserve">Two -wheeled thinking car </t>
  </si>
  <si>
    <t>CN204688302</t>
  </si>
  <si>
    <t xml:space="preserve">Self-balancing two-wheeled electric vehicle steering control method and self-balancing two-wheeled electric vehicles </t>
  </si>
  <si>
    <t>CN105480114</t>
  </si>
  <si>
    <t xml:space="preserve">Electric balance segway vehicle </t>
  </si>
  <si>
    <t>CN105523115</t>
  </si>
  <si>
    <t xml:space="preserve">Two-wheel driving intelligent self-balancing battery-operated motorcycle and operation control method thereof </t>
  </si>
  <si>
    <t>CN105857475</t>
  </si>
  <si>
    <t xml:space="preserve">Self-balancing double-wheeled electrical scooter </t>
  </si>
  <si>
    <t>WO2016041485</t>
  </si>
  <si>
    <t xml:space="preserve">Wheeled running gear of many mode </t>
  </si>
  <si>
    <t>CN205059869</t>
  </si>
  <si>
    <t xml:space="preserve">Double-wheel sitting type Segway </t>
  </si>
  <si>
    <t>CN204184519</t>
  </si>
  <si>
    <t xml:space="preserve">Auto-balancing vehicle with independent wheel control </t>
  </si>
  <si>
    <t>US2018257512</t>
  </si>
  <si>
    <t xml:space="preserve">Double-wheeled self-balance vehicle </t>
  </si>
  <si>
    <t>CN106005153</t>
  </si>
  <si>
    <t xml:space="preserve">Transverse two-wheel sealed electric bicycle with independent self-balance function </t>
  </si>
  <si>
    <t>CN203111397</t>
  </si>
  <si>
    <t>US2017233024</t>
  </si>
  <si>
    <t xml:space="preserve">Independent self-balance device of transverse two-wheeled electric bicycle </t>
  </si>
  <si>
    <t>CN103407530</t>
  </si>
  <si>
    <t xml:space="preserve">Controlling a passenger transport vehicle with omnidirectional camera system </t>
  </si>
  <si>
    <t>DE102016119729</t>
  </si>
  <si>
    <t xml:space="preserve">Electronic two-wheel car of self-balancing </t>
  </si>
  <si>
    <t>CN204527460</t>
  </si>
  <si>
    <t>US2017253287</t>
  </si>
  <si>
    <t xml:space="preserve">Self -balancing two wheeler </t>
  </si>
  <si>
    <t>CN206351741</t>
  </si>
  <si>
    <t xml:space="preserve">Transverse closed-type motor </t>
  </si>
  <si>
    <t>CN102009720</t>
  </si>
  <si>
    <t xml:space="preserve">wheelchair </t>
  </si>
  <si>
    <t>DE202015105515</t>
  </si>
  <si>
    <t xml:space="preserve">A self-balancing two-wheeled electric vehicles </t>
  </si>
  <si>
    <t>CN104527878</t>
  </si>
  <si>
    <t xml:space="preserve">Self-balancing vehicle suspension device </t>
  </si>
  <si>
    <t>CN207773343</t>
  </si>
  <si>
    <t xml:space="preserve">Multi-working-mode wheel type walking device </t>
  </si>
  <si>
    <t>CN105197155</t>
  </si>
  <si>
    <t xml:space="preserve">Double-gear-lever sitting type Segway </t>
  </si>
  <si>
    <t>CN204184520</t>
  </si>
  <si>
    <t>CN105857466</t>
  </si>
  <si>
    <t xml:space="preserve">Dual-wheel driving intelligent automatic balancing electric motorcycle </t>
  </si>
  <si>
    <t>CN204415624</t>
  </si>
  <si>
    <t xml:space="preserve">Driving system for self-balancing electric bicycle </t>
  </si>
  <si>
    <t>CN106080942</t>
  </si>
  <si>
    <t xml:space="preserve">Double round self -balancing car that horizontal foot control turned to </t>
  </si>
  <si>
    <t>CN205168752</t>
  </si>
  <si>
    <t xml:space="preserve">Self -balance vehicle </t>
  </si>
  <si>
    <t>CN205632808</t>
  </si>
  <si>
    <t xml:space="preserve">A DC brushless motor circuit for self -balancing electric bicycle </t>
  </si>
  <si>
    <t>CN206060599</t>
  </si>
  <si>
    <t xml:space="preserve">Self -balance electric vehicle </t>
  </si>
  <si>
    <t>CN205554443</t>
  </si>
  <si>
    <t xml:space="preserve">Self-balancing electrombile </t>
  </si>
  <si>
    <t>CN204210654</t>
  </si>
  <si>
    <t xml:space="preserve">Mechatronic system for assisting an individual in obtaining a standing position </t>
  </si>
  <si>
    <t>WO2016083901</t>
  </si>
  <si>
    <t xml:space="preserve">Smart electric vehicle </t>
  </si>
  <si>
    <t>CN104554560</t>
  </si>
  <si>
    <t xml:space="preserve">A change braking circuit for self -balancing electric bicycle </t>
  </si>
  <si>
    <t>CN206141739</t>
  </si>
  <si>
    <t xml:space="preserve">Self-illumination balancing unicycle </t>
  </si>
  <si>
    <t>CN105329347</t>
  </si>
  <si>
    <t xml:space="preserve">Systems and methods for detecting vehicle movements </t>
  </si>
  <si>
    <t>US2018286236</t>
  </si>
  <si>
    <t xml:space="preserve">Powered prosthetic hip joint </t>
  </si>
  <si>
    <t>US2013261766</t>
  </si>
  <si>
    <t xml:space="preserve">Intelligent somatosensory fully-balanced electric motorcycle </t>
  </si>
  <si>
    <t>CN103612696</t>
  </si>
  <si>
    <t xml:space="preserve">Method of movement and transport facility for method implementation (versions) </t>
  </si>
  <si>
    <t>RU2600557</t>
  </si>
  <si>
    <t xml:space="preserve">Solar energy automatic balance car of riding instead of walk </t>
  </si>
  <si>
    <t>CN204736975</t>
  </si>
  <si>
    <t xml:space="preserve">Multi-wheel intelligent body-sensing all-balanced electric vehicle </t>
  </si>
  <si>
    <t>CN203638016</t>
  </si>
  <si>
    <t xml:space="preserve">Motor vehicle and control system </t>
  </si>
  <si>
    <t>CN105984541</t>
  </si>
  <si>
    <t xml:space="preserve">Intelligent electric vehicle </t>
  </si>
  <si>
    <t>CN204210656</t>
  </si>
  <si>
    <t xml:space="preserve">Intelligent somatosensory full-balanced electric car </t>
  </si>
  <si>
    <t>CN203681760</t>
  </si>
  <si>
    <t xml:space="preserve">Intelligent body feeling full balance electric vehicle </t>
  </si>
  <si>
    <t>CN203638017</t>
  </si>
  <si>
    <t xml:space="preserve">Transportation vehicles with stability enhancement using CG modification </t>
  </si>
  <si>
    <t>US5975225</t>
  </si>
  <si>
    <t>US6571892</t>
  </si>
  <si>
    <t xml:space="preserve">Control loop for transportation vehicles </t>
  </si>
  <si>
    <t>US5791425</t>
  </si>
  <si>
    <t xml:space="preserve">Fault tolerant architecture for a personal vehicle </t>
  </si>
  <si>
    <t>US6223104</t>
  </si>
  <si>
    <t xml:space="preserve">Transportation vehicles and methods </t>
  </si>
  <si>
    <t>US5971091</t>
  </si>
  <si>
    <t xml:space="preserve">System and method for home energy monitor and control </t>
  </si>
  <si>
    <t>US8255090</t>
  </si>
  <si>
    <t xml:space="preserve">Wearable dual self-balancing apparatus unicycle </t>
  </si>
  <si>
    <t>CN105539663</t>
  </si>
  <si>
    <t xml:space="preserve">Automatic Balancing Variable Configuration Articulated Tracked Transporter </t>
  </si>
  <si>
    <t>US2017183023</t>
  </si>
  <si>
    <t xml:space="preserve">Flexible electrodynamic balance car </t>
  </si>
  <si>
    <t>CN206734513</t>
  </si>
  <si>
    <t xml:space="preserve">Balance car chassis device </t>
  </si>
  <si>
    <t>CN207060272</t>
  </si>
  <si>
    <t xml:space="preserve">Two-wheeled electric vehicle operated and controlled by feet </t>
  </si>
  <si>
    <t>CN102616310</t>
  </si>
  <si>
    <t xml:space="preserve">Balancing vehicle with passive pivotable support </t>
  </si>
  <si>
    <t>US6561294</t>
  </si>
  <si>
    <t xml:space="preserve">Balance vehicle chassis device </t>
  </si>
  <si>
    <t>CN107336774</t>
  </si>
  <si>
    <t>CN204415625</t>
  </si>
  <si>
    <t xml:space="preserve">Support mounted between two wheels of intelligent electric bicycle </t>
  </si>
  <si>
    <t>CN204323603</t>
  </si>
  <si>
    <t>CN104386182</t>
  </si>
  <si>
    <t xml:space="preserve">Dynamic current limiting </t>
  </si>
  <si>
    <t>US6992452</t>
  </si>
  <si>
    <t xml:space="preserve">From illumination formula single wheel balance car </t>
  </si>
  <si>
    <t>CN205239725</t>
  </si>
  <si>
    <t xml:space="preserve">Enhanced control of a transporter </t>
  </si>
  <si>
    <t>US7740099</t>
  </si>
  <si>
    <t xml:space="preserve">Method and device for safe driving </t>
  </si>
  <si>
    <t>RU2657108</t>
  </si>
  <si>
    <t xml:space="preserve">Control of a personal transporter based on user position </t>
  </si>
  <si>
    <t>US7275607</t>
  </si>
  <si>
    <t xml:space="preserve">Riderless stabilization of a balancing transporter </t>
  </si>
  <si>
    <t>US6779621</t>
  </si>
  <si>
    <t xml:space="preserve">Self -cooled single wheel balance car </t>
  </si>
  <si>
    <t>CN205239781</t>
  </si>
  <si>
    <t xml:space="preserve">Double-pole waterproof two-wheeled balance vehicle </t>
  </si>
  <si>
    <t>CN203601512</t>
  </si>
  <si>
    <t xml:space="preserve">Connecting structure between wheel and motor shaft of wheel hub motor of self-balancing double-wheel electric bicycle </t>
  </si>
  <si>
    <t>CN204077975</t>
  </si>
  <si>
    <t xml:space="preserve">Novel two-wheeled self-balancing electric vehicle system controller designing method </t>
  </si>
  <si>
    <t>CN104181817</t>
  </si>
  <si>
    <t xml:space="preserve">Self -balancing and dual -purpose electric motor car of riding </t>
  </si>
  <si>
    <t>CN205273726</t>
  </si>
  <si>
    <t xml:space="preserve">Self-balancing overwater propeller </t>
  </si>
  <si>
    <t>CN106882342</t>
  </si>
  <si>
    <t xml:space="preserve">Multifunction scooter </t>
  </si>
  <si>
    <t>ES1200435</t>
  </si>
  <si>
    <t xml:space="preserve">Mobile phone remote control car balance automatically follow self-balancing electric vehicle control system </t>
  </si>
  <si>
    <t>CN207657960</t>
  </si>
  <si>
    <t xml:space="preserve">Electric unicycle </t>
  </si>
  <si>
    <t>CN102275621</t>
  </si>
  <si>
    <t xml:space="preserve">Direction control method for self-balancing vehicle and self-balancing vehicle using same </t>
  </si>
  <si>
    <t>CN107097896</t>
  </si>
  <si>
    <t xml:space="preserve">Portable streamline shaped intelligent vehicle </t>
  </si>
  <si>
    <t>CN101565073</t>
  </si>
  <si>
    <t xml:space="preserve">Self-protected single-wheel balance vehicle </t>
  </si>
  <si>
    <t>CN105329385</t>
  </si>
  <si>
    <t xml:space="preserve">Self-cooling balancing unicycle </t>
  </si>
  <si>
    <t>CN105329376</t>
  </si>
  <si>
    <t xml:space="preserve">Plantar wheel drive self-balancing powered exoskeleton for patient with spinal cord injury </t>
  </si>
  <si>
    <t>CN107174488</t>
  </si>
  <si>
    <t xml:space="preserve">Smart car balance </t>
  </si>
  <si>
    <t>CN106945767</t>
  </si>
  <si>
    <t xml:space="preserve">Electricity Providing Privately Provisioned Subscription-Based Survival Supply Unit Method And Apparatus </t>
  </si>
  <si>
    <t>US2007219430</t>
  </si>
  <si>
    <t xml:space="preserve">Novel inverted pendulum self-balancing locomotive </t>
  </si>
  <si>
    <t>CN105752246</t>
  </si>
  <si>
    <t xml:space="preserve">System and method for stair climbing in a cluster-wheel vehicle </t>
  </si>
  <si>
    <t>US6311794</t>
  </si>
  <si>
    <t xml:space="preserve">Increasing vehicle security </t>
  </si>
  <si>
    <t>US8725330</t>
  </si>
  <si>
    <t xml:space="preserve">Handlebar for a powered wheelchair </t>
  </si>
  <si>
    <t>EP2606869</t>
  </si>
  <si>
    <t xml:space="preserve">Kind of self-balancing and dual-use electric car ride </t>
  </si>
  <si>
    <t>CN105365965</t>
  </si>
  <si>
    <t xml:space="preserve">System and method for media display </t>
  </si>
  <si>
    <t>US7784206</t>
  </si>
  <si>
    <t xml:space="preserve">A balanced drive circuit of step motor for self -balancing electric bicycle </t>
  </si>
  <si>
    <t>CN205961005</t>
  </si>
  <si>
    <t xml:space="preserve">Automatic balance car control system </t>
  </si>
  <si>
    <t>CN107985487</t>
  </si>
  <si>
    <t xml:space="preserve">Self-balance moving carrier </t>
  </si>
  <si>
    <t>CN203652017</t>
  </si>
  <si>
    <t xml:space="preserve">System and method for control scheduling </t>
  </si>
  <si>
    <t>US7130702</t>
  </si>
  <si>
    <t xml:space="preserve">Wireless power delivery during payment </t>
  </si>
  <si>
    <t>US2012150670</t>
  </si>
  <si>
    <t xml:space="preserve">Method and apparatus for providing mobile inter-mesh communication points in a multi-level wireless mesh network </t>
  </si>
  <si>
    <t>US2005074019</t>
  </si>
  <si>
    <t xml:space="preserve">Shared vehicle management system </t>
  </si>
  <si>
    <t>US2010228405</t>
  </si>
  <si>
    <t xml:space="preserve">Energy transfer systems and methods for mobile vehicles </t>
  </si>
  <si>
    <t>US2011184842</t>
  </si>
  <si>
    <t xml:space="preserve">System and method for powering or charging multiple receivers wirelessly with a power transmitter </t>
  </si>
  <si>
    <t>US2014191568</t>
  </si>
  <si>
    <t xml:space="preserve">Interactive Surface and Display System </t>
  </si>
  <si>
    <t>US2008191864</t>
  </si>
  <si>
    <t xml:space="preserve">Metered Delivery of Wireless Power </t>
  </si>
  <si>
    <t>US2010174629</t>
  </si>
  <si>
    <t xml:space="preserve">Fully Secure Item-Level Tagging </t>
  </si>
  <si>
    <t>US2010289627</t>
  </si>
  <si>
    <t xml:space="preserve">System and method for measuring balance and track motion in mammals </t>
  </si>
  <si>
    <t>US2011208444</t>
  </si>
  <si>
    <t xml:space="preserve">Systems and methods for wireless power transfer </t>
  </si>
  <si>
    <t>US2013300204</t>
  </si>
  <si>
    <t xml:space="preserve">Identification of malware detection signature candidate code </t>
  </si>
  <si>
    <t>US2014130158</t>
  </si>
  <si>
    <t xml:space="preserve">Novel self-balancing unicycle </t>
  </si>
  <si>
    <t>CN104986266</t>
  </si>
  <si>
    <t xml:space="preserve">Electric self-balancing scooter </t>
  </si>
  <si>
    <t>CN104843120</t>
  </si>
  <si>
    <t xml:space="preserve">Self preservation protects formula single wheel balance car </t>
  </si>
  <si>
    <t>CN205239796</t>
  </si>
  <si>
    <t xml:space="preserve">Orthotic brace </t>
  </si>
  <si>
    <t>US2007010772</t>
  </si>
  <si>
    <t xml:space="preserve">System and method for powering or charging receivers or devices having small surface areas or volumes </t>
  </si>
  <si>
    <t>US2014306654</t>
  </si>
  <si>
    <t xml:space="preserve">Storage rack for human transporter </t>
  </si>
  <si>
    <t>US2004164114</t>
  </si>
  <si>
    <t xml:space="preserve">Intelligent multi-functional four-wheel-drive balance car </t>
  </si>
  <si>
    <t>CN106882302</t>
  </si>
  <si>
    <t xml:space="preserve">Multi -functional four wheel drive balance car of intelligence </t>
  </si>
  <si>
    <t>CN205256541</t>
  </si>
  <si>
    <t xml:space="preserve">Mobile extraction-assist robot </t>
  </si>
  <si>
    <t>US2008265821</t>
  </si>
  <si>
    <t xml:space="preserve">Starting self-balance control method and starting self-balance control system for electric balance swing vehicle </t>
  </si>
  <si>
    <t>CN106240703</t>
  </si>
  <si>
    <t xml:space="preserve">Double parallel wheel electric vehicle </t>
  </si>
  <si>
    <t>CN203714093</t>
  </si>
  <si>
    <t xml:space="preserve">Rapid attitude detection method of electric self-balancing vehicle </t>
  </si>
  <si>
    <t>CN106873612</t>
  </si>
  <si>
    <t xml:space="preserve">Hybrid control device </t>
  </si>
  <si>
    <t>US7765029</t>
  </si>
  <si>
    <t xml:space="preserve">Auto-balancing vehicle with power based situational operating limits </t>
  </si>
  <si>
    <t>US2018208076</t>
  </si>
  <si>
    <t xml:space="preserve">Riding mechanism, and segway vehicle including same </t>
  </si>
  <si>
    <t>WO2017210854</t>
  </si>
  <si>
    <t xml:space="preserve">Dynamic discount card tied to price curves &amp; group discounts </t>
  </si>
  <si>
    <t>US2011004515</t>
  </si>
  <si>
    <t xml:space="preserve">Electrodynamic balance swing car self -balance control system that starts shooting </t>
  </si>
  <si>
    <t>CN206087066</t>
  </si>
  <si>
    <t xml:space="preserve">Electric self-balancing scooter, foot board assembly and foot board system </t>
  </si>
  <si>
    <t>WO2017092102</t>
  </si>
  <si>
    <t>WO2017161532</t>
  </si>
  <si>
    <t xml:space="preserve">Pedal-connecting mechanism and electric self-balancing scooter adopting same </t>
  </si>
  <si>
    <t>WO2017133184</t>
  </si>
  <si>
    <t xml:space="preserve">Electric balanced segway </t>
  </si>
  <si>
    <t>CN106564547</t>
  </si>
  <si>
    <t xml:space="preserve">Motorised scooter </t>
  </si>
  <si>
    <t>WO2017217936</t>
  </si>
  <si>
    <t xml:space="preserve">Control method and electronic equipment </t>
  </si>
  <si>
    <t>CN105404202</t>
  </si>
  <si>
    <t xml:space="preserve">Fixture for batch installation of bolts of self-balancing electric scooter </t>
  </si>
  <si>
    <t>CN104440708</t>
  </si>
  <si>
    <t xml:space="preserve">Two-wheel electric self-balancing scooter graded drive signal generation method </t>
  </si>
  <si>
    <t>CN106741410</t>
  </si>
  <si>
    <t xml:space="preserve">Storage type self-balancing scooter </t>
  </si>
  <si>
    <t>CN105329378</t>
  </si>
  <si>
    <t xml:space="preserve">Light Electric Vehicle Ride Share System and Method </t>
  </si>
  <si>
    <t>US2016311334</t>
  </si>
  <si>
    <t xml:space="preserve">Deformable electric balance vehicle </t>
  </si>
  <si>
    <t>CN108032948</t>
  </si>
  <si>
    <t xml:space="preserve">System for wireless energy distribution in a vehicle </t>
  </si>
  <si>
    <t>US2016221441</t>
  </si>
  <si>
    <t>US2010237645</t>
  </si>
  <si>
    <t xml:space="preserve">Object detection and analysis via unmanned aerial vehicle </t>
  </si>
  <si>
    <t>US2017053169</t>
  </si>
  <si>
    <t xml:space="preserve">Counter-balance apparatus and method for providing a stabilizing force </t>
  </si>
  <si>
    <t>US2010263167</t>
  </si>
  <si>
    <t xml:space="preserve">Steering device used for vehicle steering and capable of achieving automatic reset function </t>
  </si>
  <si>
    <t>CN204368386</t>
  </si>
  <si>
    <t xml:space="preserve">Bestriding type electric vehicle support connecting structure </t>
  </si>
  <si>
    <t>CN204368371</t>
  </si>
  <si>
    <t xml:space="preserve">Longitudinally and laterally self-balanced electric unicycle </t>
  </si>
  <si>
    <t>US2016339328</t>
  </si>
  <si>
    <t xml:space="preserve">Revertable managed execution image instrumentation </t>
  </si>
  <si>
    <t>US8732674</t>
  </si>
  <si>
    <t xml:space="preserve">Standing mobility and/or transfer device </t>
  </si>
  <si>
    <t>US2012255118</t>
  </si>
  <si>
    <t xml:space="preserve">Golh: the golf hybrid sport of golfrisbee </t>
  </si>
  <si>
    <t>US7101293</t>
  </si>
  <si>
    <t xml:space="preserve">Porous air bearings for tape transports and method of fabrication thereof </t>
  </si>
  <si>
    <t>US6722608</t>
  </si>
  <si>
    <t xml:space="preserve">Two-wheeled battery-powered vehicle </t>
  </si>
  <si>
    <t>US9156516</t>
  </si>
  <si>
    <t xml:space="preserve">Three-wheel type riding movable carriage </t>
  </si>
  <si>
    <t>JP2006256401</t>
  </si>
  <si>
    <t xml:space="preserve">Self-charging electrical car </t>
  </si>
  <si>
    <t>US2011001322</t>
  </si>
  <si>
    <t xml:space="preserve">Surveying system </t>
  </si>
  <si>
    <t>US2017091923</t>
  </si>
  <si>
    <t xml:space="preserve">Non-coaxial left-right wheeled driving vehicle structure </t>
  </si>
  <si>
    <t>CN101780816</t>
  </si>
  <si>
    <t xml:space="preserve">Zeus v. </t>
  </si>
  <si>
    <t>CA2810815</t>
  </si>
  <si>
    <t>CN206456477</t>
  </si>
  <si>
    <t xml:space="preserve">Limiting self-resetting steering device of rocker of balance car </t>
  </si>
  <si>
    <t>CN204110280</t>
  </si>
  <si>
    <t xml:space="preserve">Intelligent guiding electric balance car and guiding system thereof </t>
  </si>
  <si>
    <t>CN204323601</t>
  </si>
  <si>
    <t xml:space="preserve">Environment control system </t>
  </si>
  <si>
    <t>US2017108236</t>
  </si>
  <si>
    <t xml:space="preserve">Energy efficient banner towing system &amp; method </t>
  </si>
  <si>
    <t>US2011316298</t>
  </si>
  <si>
    <t xml:space="preserve">System for location in environment and identification tag </t>
  </si>
  <si>
    <t>US9489813</t>
  </si>
  <si>
    <t xml:space="preserve">People &amp; Cargo Transit Systems &amp; Vehicles </t>
  </si>
  <si>
    <t>US2009320713</t>
  </si>
  <si>
    <t xml:space="preserve">Redrawing Recent Curve Sections For Real-Time Smoothing </t>
  </si>
  <si>
    <t>US2014240322</t>
  </si>
  <si>
    <t xml:space="preserve">Vehicle with adjustable axle system for actively maintaining stability </t>
  </si>
  <si>
    <t>US2006254841</t>
  </si>
  <si>
    <t xml:space="preserve">Two single wheels of wearable are from balancing unit </t>
  </si>
  <si>
    <t>CN205345211</t>
  </si>
  <si>
    <t xml:space="preserve">Cleaner and start standing up for yourself Control </t>
  </si>
  <si>
    <t>KR100876695</t>
  </si>
  <si>
    <t xml:space="preserve">Bicycle-robot with controlling driving, steering and balancing </t>
  </si>
  <si>
    <t>KR101222849</t>
  </si>
  <si>
    <t xml:space="preserve">Wireless lighting devices and grid-shifting applications </t>
  </si>
  <si>
    <t>CN103119819</t>
  </si>
  <si>
    <t xml:space="preserve">Discovery and use of navigational relationships in tabular data </t>
  </si>
  <si>
    <t>US2014136511</t>
  </si>
  <si>
    <t xml:space="preserve">Inflated tubular solar concentrators </t>
  </si>
  <si>
    <t>WO2013074790</t>
  </si>
  <si>
    <t xml:space="preserve">Electronic tether system and method with rate of change detection and vehicle braking features </t>
  </si>
  <si>
    <t>US8253572</t>
  </si>
  <si>
    <t xml:space="preserve">Steering system for three-wheel ride-on lawncare apparatus </t>
  </si>
  <si>
    <t>US2011278088</t>
  </si>
  <si>
    <t xml:space="preserve">Vacuum cleaner having abilities for automatic moving and attitude control </t>
  </si>
  <si>
    <t>KR100756717</t>
  </si>
  <si>
    <t xml:space="preserve">Reciprocating Rocking Device </t>
  </si>
  <si>
    <t>US2012216347</t>
  </si>
  <si>
    <t xml:space="preserve">Motorized wheel with suspension </t>
  </si>
  <si>
    <t>US2016068016</t>
  </si>
  <si>
    <t xml:space="preserve">Tilting propulsion device safety mechanism </t>
  </si>
  <si>
    <t>US9656713</t>
  </si>
  <si>
    <t xml:space="preserve">Synchronous sampling of PWM waveforms </t>
  </si>
  <si>
    <t>US8072180</t>
  </si>
  <si>
    <t xml:space="preserve">Tracking foldable cart </t>
  </si>
  <si>
    <t>US2013103245</t>
  </si>
  <si>
    <t>WO2004075804</t>
  </si>
  <si>
    <t xml:space="preserve">Multi-state variable-structure intelligent balance vehicle </t>
  </si>
  <si>
    <t>CN106005156</t>
  </si>
  <si>
    <t>EP3116772</t>
  </si>
  <si>
    <t xml:space="preserve">Holding device in balance for an auto-balance and auto-balance carrier conveyor comprising such a device. </t>
  </si>
  <si>
    <t>FR3035636</t>
  </si>
  <si>
    <t>CN108341005</t>
  </si>
  <si>
    <t xml:space="preserve">Motorized platforms </t>
  </si>
  <si>
    <t>US2017341690</t>
  </si>
  <si>
    <t xml:space="preserve">In -wheel motor and electrodynamic balance car with high accuracy velocity feedback </t>
  </si>
  <si>
    <t>CN204633534</t>
  </si>
  <si>
    <t xml:space="preserve">Device and system for propelling a passenger </t>
  </si>
  <si>
    <t>CN106573165</t>
  </si>
  <si>
    <t xml:space="preserve">Quick auto-lock foot rest and balance car of balance car </t>
  </si>
  <si>
    <t>CN204548287</t>
  </si>
  <si>
    <t xml:space="preserve">Segway based on cross bracket shock absorption </t>
  </si>
  <si>
    <t>CN107902011</t>
  </si>
  <si>
    <t xml:space="preserve">Load-bearing rotary table direction controlling type scooter </t>
  </si>
  <si>
    <t>CN101229818</t>
  </si>
  <si>
    <t xml:space="preserve">Inverted two-wheel traveling robot </t>
  </si>
  <si>
    <t>JP2006123014</t>
  </si>
  <si>
    <t xml:space="preserve">Systems and methods for parking vehicles </t>
  </si>
  <si>
    <t>US9135580</t>
  </si>
  <si>
    <t xml:space="preserve">Motorised transport vehicle for pedestrians </t>
  </si>
  <si>
    <t>WO2007060336</t>
  </si>
  <si>
    <t xml:space="preserve">Self-propelled golf vehicle </t>
  </si>
  <si>
    <t>US9469322</t>
  </si>
  <si>
    <t xml:space="preserve">Intelligent balance recreational vehicle </t>
  </si>
  <si>
    <t>CN102815358</t>
  </si>
  <si>
    <t xml:space="preserve">Electric balance two-wheeled vehicle </t>
  </si>
  <si>
    <t>CN105539672</t>
  </si>
  <si>
    <t xml:space="preserve">Personal electric vehicle mount </t>
  </si>
  <si>
    <t>US9994142</t>
  </si>
  <si>
    <t xml:space="preserve">Electric power wheelchair </t>
  </si>
  <si>
    <t>CN2680557</t>
  </si>
  <si>
    <t xml:space="preserve">Inflatable Electric and Hybrid Vehicle System </t>
  </si>
  <si>
    <t>US2009043438</t>
  </si>
  <si>
    <t xml:space="preserve">Apparatus And Method for Material Distribution </t>
  </si>
  <si>
    <t>US2012291319</t>
  </si>
  <si>
    <t xml:space="preserve">Travel safety control </t>
  </si>
  <si>
    <t>US9399398</t>
  </si>
  <si>
    <t xml:space="preserve">Transporter motor alarm </t>
  </si>
  <si>
    <t>US7592900</t>
  </si>
  <si>
    <t xml:space="preserve">Take balance car of touch -control loudspeaker </t>
  </si>
  <si>
    <t>CN205087068</t>
  </si>
  <si>
    <t xml:space="preserve">Travel Safety Control </t>
  </si>
  <si>
    <t>US2017136875</t>
  </si>
  <si>
    <t>US9550418</t>
  </si>
  <si>
    <t xml:space="preserve">Automatic safety protection method for two-wheeled balance car </t>
  </si>
  <si>
    <t>CN104943786</t>
  </si>
  <si>
    <t xml:space="preserve">Two -wheeled electrodynamic balance car </t>
  </si>
  <si>
    <t>CN206171646</t>
  </si>
  <si>
    <t xml:space="preserve">Two-wheel electric balance bicycle </t>
  </si>
  <si>
    <t>CN106364610</t>
  </si>
  <si>
    <t xml:space="preserve">Advertisement support device for two-wheeled balance car </t>
  </si>
  <si>
    <t>CN204166864</t>
  </si>
  <si>
    <t xml:space="preserve">Wheeled personal transportation device </t>
  </si>
  <si>
    <t>US2018127012</t>
  </si>
  <si>
    <t>US2018127038</t>
  </si>
  <si>
    <t>US2018127013</t>
  </si>
  <si>
    <t xml:space="preserve">Autonomous following dolly and system thereof </t>
  </si>
  <si>
    <t>CN104991557</t>
  </si>
  <si>
    <t xml:space="preserve">Double-wheel balance bike with frame type structure </t>
  </si>
  <si>
    <t>CN203698533</t>
  </si>
  <si>
    <t xml:space="preserve">Automatic drive cleaner </t>
  </si>
  <si>
    <t>CN101554302</t>
  </si>
  <si>
    <t xml:space="preserve">Balance car </t>
  </si>
  <si>
    <t>CN105460130</t>
  </si>
  <si>
    <t xml:space="preserve">Electrodynamic balance car </t>
  </si>
  <si>
    <t>CN205044873</t>
  </si>
  <si>
    <t xml:space="preserve">One-wheel balance car with warning function </t>
  </si>
  <si>
    <t>CN204077882</t>
  </si>
  <si>
    <t xml:space="preserve">Wearable Electronic Devices and Mobile Transactions and/or Actions </t>
  </si>
  <si>
    <t>US2016063474</t>
  </si>
  <si>
    <t xml:space="preserve">Scooter and driving control system </t>
  </si>
  <si>
    <t>CN106672140</t>
  </si>
  <si>
    <t xml:space="preserve">Modular electric vehicle has base modules, which are movable over electric drive, energy storage and electronic control unit in free manner, where one base module is formed in form of passenger module </t>
  </si>
  <si>
    <t>DE102011056561</t>
  </si>
  <si>
    <t xml:space="preserve">Magnetic connectors for physical connection and data and power exchange between devices </t>
  </si>
  <si>
    <t>US2017149171</t>
  </si>
  <si>
    <t xml:space="preserve">Web-Based Automated Product Demonstration </t>
  </si>
  <si>
    <t>US2015310488</t>
  </si>
  <si>
    <t xml:space="preserve">Golh, handisk &amp; basedisk system of sky-ballet golfrisbee for course golh, snow golh, night golh, park golh, disk golh </t>
  </si>
  <si>
    <t>US2003171170</t>
  </si>
  <si>
    <t xml:space="preserve">Intelligent balanced recreational vehicle </t>
  </si>
  <si>
    <t>CN202765191</t>
  </si>
  <si>
    <t xml:space="preserve">Motorized vehicle </t>
  </si>
  <si>
    <t>RU99438</t>
  </si>
  <si>
    <t xml:space="preserve">Electric two-wheel balancing scooter </t>
  </si>
  <si>
    <t>JP6086636</t>
  </si>
  <si>
    <t xml:space="preserve">Modular electric vehicle </t>
  </si>
  <si>
    <t>DE202011052336</t>
  </si>
  <si>
    <t xml:space="preserve">Building system for cascading flows of matter and energy </t>
  </si>
  <si>
    <t>US2015053366</t>
  </si>
  <si>
    <t xml:space="preserve">Center-of-gravity control vehicle with dual-motor backup drive system </t>
  </si>
  <si>
    <t>CN201863985</t>
  </si>
  <si>
    <t>CN205469471</t>
  </si>
  <si>
    <t xml:space="preserve">Two-wheel cycle </t>
  </si>
  <si>
    <t>CN2545073</t>
  </si>
  <si>
    <t xml:space="preserve">Suspended-type electric vehicle device moving upstairs and downstairs along a staircase </t>
  </si>
  <si>
    <t>CN202729525</t>
  </si>
  <si>
    <t xml:space="preserve">Take single wheel balance car of auxiliary wheel </t>
  </si>
  <si>
    <t>CN204821899</t>
  </si>
  <si>
    <t>CN205345231</t>
  </si>
  <si>
    <t xml:space="preserve">Electronic dull and stereotyped swing car </t>
  </si>
  <si>
    <t>CN205632809</t>
  </si>
  <si>
    <t xml:space="preserve">Remote-travelling cinecamera device </t>
  </si>
  <si>
    <t>JP2006174396</t>
  </si>
  <si>
    <t xml:space="preserve">Qxcomm technology's balance car removes structure based on mecanum wheel </t>
  </si>
  <si>
    <t>CN205113555</t>
  </si>
  <si>
    <t xml:space="preserve">A two-wheeled vehicle provided with a Human body guidance unit </t>
  </si>
  <si>
    <t>KR101626975</t>
  </si>
  <si>
    <t xml:space="preserve">Automatic double round thinking car of following </t>
  </si>
  <si>
    <t>CN204925791</t>
  </si>
  <si>
    <t xml:space="preserve">Quick folding joint of balance car </t>
  </si>
  <si>
    <t>CN204548347</t>
  </si>
  <si>
    <t xml:space="preserve">A key triggers formula heel brace mechanism and balance car </t>
  </si>
  <si>
    <t>CN204846115</t>
  </si>
  <si>
    <t xml:space="preserve">Double-wheel balance vehicle </t>
  </si>
  <si>
    <t>CN204110244</t>
  </si>
  <si>
    <t xml:space="preserve">Networked vehicle control systems to facilitate situational awareness of vehicles </t>
  </si>
  <si>
    <t>US10026309</t>
  </si>
  <si>
    <t xml:space="preserve">Children's money light double round balance car </t>
  </si>
  <si>
    <t>CN205239800</t>
  </si>
  <si>
    <t xml:space="preserve">Intelligent electric balance car of bolt rotary shaft structure </t>
  </si>
  <si>
    <t>CN105539659</t>
  </si>
  <si>
    <t xml:space="preserve">Active matrix cleaner </t>
  </si>
  <si>
    <t>KR100876693</t>
  </si>
  <si>
    <t>CN205273742</t>
  </si>
  <si>
    <t>KR100876696</t>
  </si>
  <si>
    <t>KR100876697</t>
  </si>
  <si>
    <t>KR100876698</t>
  </si>
  <si>
    <t xml:space="preserve">Can realize supplementary running gear of two single wheels of lateral movement </t>
  </si>
  <si>
    <t>CN206327483</t>
  </si>
  <si>
    <t xml:space="preserve">Double-wheel balance vehicle control system </t>
  </si>
  <si>
    <t>CN106335584</t>
  </si>
  <si>
    <t xml:space="preserve">Transport facility </t>
  </si>
  <si>
    <t>RU2542840</t>
  </si>
  <si>
    <t xml:space="preserve">Brace for the stand-on type electric motorcycle </t>
  </si>
  <si>
    <t>JP6159931</t>
  </si>
  <si>
    <t xml:space="preserve">Electrodynamic balance car and footboard system thereof </t>
  </si>
  <si>
    <t>CN205345210</t>
  </si>
  <si>
    <t xml:space="preserve">Personal Mobility Device </t>
  </si>
  <si>
    <t>US2018162478</t>
  </si>
  <si>
    <t xml:space="preserve">Portable electric transporter </t>
  </si>
  <si>
    <t>CN202379030</t>
  </si>
  <si>
    <t xml:space="preserve">Electrodynamic balance car helping hand structure </t>
  </si>
  <si>
    <t>CN205499170</t>
  </si>
  <si>
    <t xml:space="preserve">Parking fixing device for two-wheel electric balance vehicle </t>
  </si>
  <si>
    <t>CN204124060</t>
  </si>
  <si>
    <t xml:space="preserve">Take in -wheel motor of encoder </t>
  </si>
  <si>
    <t>CN206412855</t>
  </si>
  <si>
    <t xml:space="preserve">Multifunctional transporting system with multiple drivable transporting units </t>
  </si>
  <si>
    <t>WO2012095302</t>
  </si>
  <si>
    <t xml:space="preserve">Vehicle including a hinged chair with a stand assist mechanism </t>
  </si>
  <si>
    <t>WO2016001451</t>
  </si>
  <si>
    <t xml:space="preserve">A pair of battery recharge management of the </t>
  </si>
  <si>
    <t>JP2013509850</t>
  </si>
  <si>
    <t xml:space="preserve">personal transport vehicle adapted </t>
  </si>
  <si>
    <t>ES1142388</t>
  </si>
  <si>
    <t xml:space="preserve">Species with navigation wheel drive self-propelled vehicles to stand </t>
  </si>
  <si>
    <t>CN108482550</t>
  </si>
  <si>
    <t xml:space="preserve">Electric balance car and operation control system and method thereof </t>
  </si>
  <si>
    <t>CN106515944</t>
  </si>
  <si>
    <t xml:space="preserve">Electric flat twist vehicle </t>
  </si>
  <si>
    <t>CN105151213</t>
  </si>
  <si>
    <t xml:space="preserve">Double-independent wheel auxiliary walking device capable of realizing lateral movement </t>
  </si>
  <si>
    <t>CN106741403</t>
  </si>
  <si>
    <t xml:space="preserve">Safe driving device for human body induction type electric vehicle </t>
  </si>
  <si>
    <t>CN107792268</t>
  </si>
  <si>
    <t xml:space="preserve">Dynamically balancing vehicle </t>
  </si>
  <si>
    <t>DE102015217342</t>
  </si>
  <si>
    <t xml:space="preserve">Foot Operated Navigation and Interaction for Virtual Reality Experiences </t>
  </si>
  <si>
    <t>US2017160793</t>
  </si>
  <si>
    <t xml:space="preserve">Driving mode detection device and detection method for dynamic balance car </t>
  </si>
  <si>
    <t>WO2015196319</t>
  </si>
  <si>
    <t>CN206087089</t>
  </si>
  <si>
    <t xml:space="preserve">Bearing turntable direction controlling type vehicle for riding instead of walk </t>
  </si>
  <si>
    <t>CN201161674</t>
  </si>
  <si>
    <t xml:space="preserve">Electronic intelligent balance car of dustproof construction </t>
  </si>
  <si>
    <t>CN205381338</t>
  </si>
  <si>
    <t xml:space="preserve">Convenient electrodynamic balance car of turning </t>
  </si>
  <si>
    <t>CN205292926</t>
  </si>
  <si>
    <t xml:space="preserve">Electronic intelligent balance car of bolt pivot structure </t>
  </si>
  <si>
    <t>CN205273727</t>
  </si>
  <si>
    <t xml:space="preserve">Mobility Assistance Device </t>
  </si>
  <si>
    <t>US2017231856</t>
  </si>
  <si>
    <t xml:space="preserve">Omnidirectional movement balance car </t>
  </si>
  <si>
    <t>CN205203232</t>
  </si>
  <si>
    <t xml:space="preserve">Novel intelligence balance car </t>
  </si>
  <si>
    <t>CN205469478</t>
  </si>
  <si>
    <t xml:space="preserve">Proximal Customer Transaction Incented By Donation of Auto-Boarded Merchant </t>
  </si>
  <si>
    <t>US2013275296</t>
  </si>
  <si>
    <t xml:space="preserve">Electrodynamic balance car with driving writing function </t>
  </si>
  <si>
    <t>CN205336392</t>
  </si>
  <si>
    <t xml:space="preserve">Car is felt to man -machine interactive body </t>
  </si>
  <si>
    <t>CN206187203</t>
  </si>
  <si>
    <t xml:space="preserve">Adaptive horn honking which can learn the effectiveness of a honking action </t>
  </si>
  <si>
    <t>US9919560</t>
  </si>
  <si>
    <t xml:space="preserve">Two Wheel In-Line Robots </t>
  </si>
  <si>
    <t>US2018024558</t>
  </si>
  <si>
    <t xml:space="preserve">System for charging electric vehicles and method for controlling thereof. </t>
  </si>
  <si>
    <t>NL2015058</t>
  </si>
  <si>
    <t xml:space="preserve">One person standing style paddle train with handle </t>
  </si>
  <si>
    <t>KR101651790</t>
  </si>
  <si>
    <t xml:space="preserve">Battery Experiment Apparatus </t>
  </si>
  <si>
    <t>KR101840619</t>
  </si>
  <si>
    <t xml:space="preserve">Weight shift the balance automobile </t>
  </si>
  <si>
    <t>JP5577487</t>
  </si>
  <si>
    <t xml:space="preserve">A standing-up type ride robot directed by recognizing passenger's posture </t>
  </si>
  <si>
    <t>KR101105667</t>
  </si>
  <si>
    <t xml:space="preserve">Balanced children article of intelligence </t>
  </si>
  <si>
    <t>CN206734369</t>
  </si>
  <si>
    <t xml:space="preserve">"Kit adaptable seat for handicapped to a personal transport vehicle". </t>
  </si>
  <si>
    <t>ES1075809</t>
  </si>
  <si>
    <t xml:space="preserve">Man-machine interaction Segway </t>
  </si>
  <si>
    <t>CN106741408</t>
  </si>
  <si>
    <t xml:space="preserve">electric unicycle direction </t>
  </si>
  <si>
    <t>ES1182510</t>
  </si>
  <si>
    <t xml:space="preserve">Ultrasonic collision warning system and method for a vehicle </t>
  </si>
  <si>
    <t>WO0245998</t>
  </si>
  <si>
    <t xml:space="preserve">Combined chain wheel equipment </t>
  </si>
  <si>
    <t>CN105644699</t>
  </si>
  <si>
    <t xml:space="preserve">Automatic-following smart balance car </t>
  </si>
  <si>
    <t>CN106303956</t>
  </si>
  <si>
    <t>CN206615254</t>
  </si>
  <si>
    <t xml:space="preserve">Individual electric vehicle </t>
  </si>
  <si>
    <t>WO2014053713</t>
  </si>
  <si>
    <t xml:space="preserve">Learning assistance apparatus for electric-powered unicycle vehicle and method for using apparatus </t>
  </si>
  <si>
    <t>WO2016187838</t>
  </si>
  <si>
    <t xml:space="preserve">Transportation apparatus for use with electric-powered unicycle vehicle </t>
  </si>
  <si>
    <t>WO2016187834</t>
  </si>
  <si>
    <t xml:space="preserve">Light two-wheel balance vehicle for children </t>
  </si>
  <si>
    <t>CN105416468</t>
  </si>
  <si>
    <t xml:space="preserve">Automatic wrench movement double round scooter of control </t>
  </si>
  <si>
    <t>CN206214723</t>
  </si>
  <si>
    <t xml:space="preserve">Intelligent ride-on device based on internet of things </t>
  </si>
  <si>
    <t>CN106741399</t>
  </si>
  <si>
    <t xml:space="preserve">Intelligent balancing scooter and assembling method thereof </t>
  </si>
  <si>
    <t>CN107298148</t>
  </si>
  <si>
    <t xml:space="preserve">Permanent magnet driven motor for balance vehicle </t>
  </si>
  <si>
    <t>CN106549546</t>
  </si>
  <si>
    <t xml:space="preserve">Gravity center adjusting method for balance car </t>
  </si>
  <si>
    <t>CN107472419</t>
  </si>
  <si>
    <t xml:space="preserve">Electric vehicles and their balance reset method </t>
  </si>
  <si>
    <t>CN105667661</t>
  </si>
  <si>
    <t xml:space="preserve">Waterproof electric artificial intelligent balance car </t>
  </si>
  <si>
    <t>CN206466087</t>
  </si>
  <si>
    <t xml:space="preserve">Multi-car by the force balance </t>
  </si>
  <si>
    <t>CN108583760</t>
  </si>
  <si>
    <t>CN205524773</t>
  </si>
  <si>
    <t xml:space="preserve">Electrodynamic balance car and power module thereof </t>
  </si>
  <si>
    <t>CN205345263</t>
  </si>
  <si>
    <t xml:space="preserve">Take waterproof dustproof intelligent balance car </t>
  </si>
  <si>
    <t>CN205365895</t>
  </si>
  <si>
    <t xml:space="preserve">Transport dolly and transport device </t>
  </si>
  <si>
    <t>JP2017081376</t>
  </si>
  <si>
    <t>CN206528563</t>
  </si>
  <si>
    <t>CN206590036</t>
  </si>
  <si>
    <t xml:space="preserve">Main frame sheet -metal construction's electronic intelligent balance car </t>
  </si>
  <si>
    <t>CN205440668</t>
  </si>
  <si>
    <t xml:space="preserve">Electrodynamic balance car of procedure of easily upgrading </t>
  </si>
  <si>
    <t>CN205707039</t>
  </si>
  <si>
    <t>CN206644917</t>
  </si>
  <si>
    <t xml:space="preserve">Automatic parking method and apparatus for balance vehicle in narrow space </t>
  </si>
  <si>
    <t>WO2018039909</t>
  </si>
  <si>
    <t xml:space="preserve">Self-propelled vehicle that can be driven while seated or standing </t>
  </si>
  <si>
    <t>WO2014016174</t>
  </si>
  <si>
    <t xml:space="preserve">Balancing vehicle obstacle avoidance method and device </t>
  </si>
  <si>
    <t>WO2018006302</t>
  </si>
  <si>
    <t xml:space="preserve">Intelligent balancing recreation vehicle with pitching protection device </t>
  </si>
  <si>
    <t>CN203172789</t>
  </si>
  <si>
    <t>CN206644916</t>
  </si>
  <si>
    <t xml:space="preserve">Car is felt to two -wheeled body </t>
  </si>
  <si>
    <t>CN206766222</t>
  </si>
  <si>
    <t xml:space="preserve">Following working mode used for multiple electric balance vehicles </t>
  </si>
  <si>
    <t>CN105691512</t>
  </si>
  <si>
    <t>CN206528566</t>
  </si>
  <si>
    <t>CN206528564</t>
  </si>
  <si>
    <t xml:space="preserve">Autonomous mobile foot passenger device, for transport of pedestrians on sidewalks, has a platform on which the passenger stands and is able to control his movement solely using foot activated controls </t>
  </si>
  <si>
    <t>FR2895359</t>
  </si>
  <si>
    <t xml:space="preserve">Operation control system of electrodynamic balance car and adopt electrodynamic balance car of this system </t>
  </si>
  <si>
    <t>CN207000687</t>
  </si>
  <si>
    <t xml:space="preserve">Balanced car Joystick </t>
  </si>
  <si>
    <t>CN108407950</t>
  </si>
  <si>
    <t xml:space="preserve">Conveyance while seated using a hoverboard </t>
  </si>
  <si>
    <t>US2017203811</t>
  </si>
  <si>
    <t xml:space="preserve">Docking station for motorised vehicles </t>
  </si>
  <si>
    <t>WO2017217929</t>
  </si>
  <si>
    <t xml:space="preserve">Electric balance vehicle controller </t>
  </si>
  <si>
    <t>CN106371443</t>
  </si>
  <si>
    <t xml:space="preserve">Method and device for automatically parking balancing vehicle </t>
  </si>
  <si>
    <t>WO2018039908</t>
  </si>
  <si>
    <t>CN206374883</t>
  </si>
  <si>
    <t>CN206528565</t>
  </si>
  <si>
    <t xml:space="preserve">Electric balancing bike </t>
  </si>
  <si>
    <t>CN205801356</t>
  </si>
  <si>
    <t>CN206374884</t>
  </si>
  <si>
    <t xml:space="preserve">Double round electrodynamic balance car antidetonation battery </t>
  </si>
  <si>
    <t>CN207052656</t>
  </si>
  <si>
    <t xml:space="preserve">Man-machine interaction somatosensory vehicle </t>
  </si>
  <si>
    <t>CN106828726</t>
  </si>
  <si>
    <t>CN205854360</t>
  </si>
  <si>
    <t xml:space="preserve">Electrodynamic balance car circuit with circuit board communication function </t>
  </si>
  <si>
    <t>CN205880557</t>
  </si>
  <si>
    <t xml:space="preserve">Electrodynamic balance car wheel with pattern layer </t>
  </si>
  <si>
    <t>CN205498482</t>
  </si>
  <si>
    <t xml:space="preserve">Human-machine interaction motion sensing vehicle </t>
  </si>
  <si>
    <t>CN106828727</t>
  </si>
  <si>
    <t xml:space="preserve">A multi -functional bluetooth board for electrodynamic balance car </t>
  </si>
  <si>
    <t>CN205632802</t>
  </si>
  <si>
    <t xml:space="preserve">Battery safety enclosure </t>
  </si>
  <si>
    <t>US2018127048</t>
  </si>
  <si>
    <t xml:space="preserve">Kinds of intelligent folding mini car balance </t>
  </si>
  <si>
    <t>CN207683694</t>
  </si>
  <si>
    <t>CN205345232</t>
  </si>
  <si>
    <t xml:space="preserve">Pedal device </t>
  </si>
  <si>
    <t>CN107416097</t>
  </si>
  <si>
    <t>CN106627896</t>
  </si>
  <si>
    <t xml:space="preserve">Self-propelled vehicle at least three wheels </t>
  </si>
  <si>
    <t>ES2390175</t>
  </si>
  <si>
    <t xml:space="preserve">Devices enabling the disabled to stand, walk and activate one's body </t>
  </si>
  <si>
    <t>US2018177665</t>
  </si>
  <si>
    <t xml:space="preserve">Human-computer interaction motion sensing vehicle </t>
  </si>
  <si>
    <t>CN107200089</t>
  </si>
  <si>
    <t>CN106828729</t>
  </si>
  <si>
    <t xml:space="preserve">Longitudinal two-wheel closed electric bicycle adopting gyroscope type flywheel energy storage battery </t>
  </si>
  <si>
    <t>CN105711710</t>
  </si>
  <si>
    <t>CN207496851</t>
  </si>
  <si>
    <t xml:space="preserve">Segway equipped with wheel-leg assembly </t>
  </si>
  <si>
    <t>KR20180074871</t>
  </si>
  <si>
    <t>CN106828725</t>
  </si>
  <si>
    <t xml:space="preserve">Balancing vehicle </t>
  </si>
  <si>
    <t>WO2017127979</t>
  </si>
  <si>
    <t xml:space="preserve">Man-machine interaction somatosensory car </t>
  </si>
  <si>
    <t>CN107215418</t>
  </si>
  <si>
    <t xml:space="preserve">Novel single-wheel electric motor car </t>
  </si>
  <si>
    <t>CN106882306</t>
  </si>
  <si>
    <t>KR20140099667</t>
  </si>
  <si>
    <t xml:space="preserve">Electrodynamic balance car in -wheel motor with PVC color printing subsides </t>
  </si>
  <si>
    <t>CN205247787</t>
  </si>
  <si>
    <t xml:space="preserve">Electric monocycle with assistant function and driving method using assistant function </t>
  </si>
  <si>
    <t>WO2017028302</t>
  </si>
  <si>
    <t>CN206644918</t>
  </si>
  <si>
    <t xml:space="preserve">An apparatus for controlling a secondary battery cells for an environmentally friendly vehicle the next generation. </t>
  </si>
  <si>
    <t>DE102015106370</t>
  </si>
  <si>
    <t xml:space="preserve">Balancing transportation means </t>
  </si>
  <si>
    <t>WO2017210855</t>
  </si>
  <si>
    <t xml:space="preserve">Quick folding joint of more firm balance car </t>
  </si>
  <si>
    <t>CN204548349</t>
  </si>
  <si>
    <t xml:space="preserve">Forced induction subassembly of electrodynamic balance car </t>
  </si>
  <si>
    <t>CN205916247</t>
  </si>
  <si>
    <t xml:space="preserve">Proximal customer transaction incented by donation of auto-boarded merchant </t>
  </si>
  <si>
    <t>WO2013138739</t>
  </si>
  <si>
    <t xml:space="preserve">Portable balance car </t>
  </si>
  <si>
    <t>CN207045554</t>
  </si>
  <si>
    <t xml:space="preserve">Forced induction electric skate board </t>
  </si>
  <si>
    <t>CN205964949</t>
  </si>
  <si>
    <t xml:space="preserve">Car is felt to double round body </t>
  </si>
  <si>
    <t>CN206766224</t>
  </si>
  <si>
    <t xml:space="preserve">Web-based automated product demonstration </t>
  </si>
  <si>
    <t>WO2015187813</t>
  </si>
  <si>
    <t>CN206766223</t>
  </si>
  <si>
    <t xml:space="preserve">Resetting means of electrodynamic balance car </t>
  </si>
  <si>
    <t>CN205469579</t>
  </si>
  <si>
    <t xml:space="preserve">Balancing unicycle car with seat </t>
  </si>
  <si>
    <t>CN105329373</t>
  </si>
  <si>
    <t xml:space="preserve">Circuit board identity identification system of electrodynamic balance car </t>
  </si>
  <si>
    <t>CN205499169</t>
  </si>
  <si>
    <t xml:space="preserve">Attitude control based electric vehicle with parallelled wheel self-controlling the distance of them according to the speed </t>
  </si>
  <si>
    <t>KR20130108779</t>
  </si>
  <si>
    <t xml:space="preserve">Electronic gesture car </t>
  </si>
  <si>
    <t>CN207000688</t>
  </si>
  <si>
    <t xml:space="preserve">Out-of-band framework libraries within applications </t>
  </si>
  <si>
    <t>KR20160002888</t>
  </si>
  <si>
    <t xml:space="preserve">Electrodynamic balance car control pole socket </t>
  </si>
  <si>
    <t>CN206087094</t>
  </si>
  <si>
    <t xml:space="preserve">Gear Drive Two-Wheel Scooter </t>
  </si>
  <si>
    <t>US2018127047</t>
  </si>
  <si>
    <t xml:space="preserve">System and method for automatically entering and leaving ride apparatus </t>
  </si>
  <si>
    <t>WO2018075645</t>
  </si>
  <si>
    <t xml:space="preserve">Balance car management method and device </t>
  </si>
  <si>
    <t>CN106249892</t>
  </si>
  <si>
    <t xml:space="preserve">A key trigger mechanism and foot brace car balance </t>
  </si>
  <si>
    <t>CN104973166</t>
  </si>
  <si>
    <t xml:space="preserve">Foldable pedal mechanism of electrodynamic balance car </t>
  </si>
  <si>
    <t>CN205524656</t>
  </si>
  <si>
    <t xml:space="preserve">Intelligent tourist service system </t>
  </si>
  <si>
    <t>CN106339960</t>
  </si>
  <si>
    <t xml:space="preserve">Self-balance type sightseeing scooter </t>
  </si>
  <si>
    <t>CN204399433</t>
  </si>
  <si>
    <t xml:space="preserve">Smart electronic label employing electronic ink </t>
  </si>
  <si>
    <t>US6753830</t>
  </si>
  <si>
    <t>US6924781</t>
  </si>
  <si>
    <t xml:space="preserve">Apparatus and method for bioelectric stimulation, healing acceleration, pain relief, or pathogen devitalization </t>
  </si>
  <si>
    <t>US7117034</t>
  </si>
  <si>
    <t xml:space="preserve">Vehicle diagnostic or prognostic message transmission systems and methods </t>
  </si>
  <si>
    <t>US8036788</t>
  </si>
  <si>
    <t xml:space="preserve">Travel system and methods utilizing multi-application passport cards </t>
  </si>
  <si>
    <t>US6386451</t>
  </si>
  <si>
    <t xml:space="preserve">Situation information system </t>
  </si>
  <si>
    <t>US6091956</t>
  </si>
  <si>
    <t xml:space="preserve">Multi-tiered authentication methods for facilitating communications amongst smart home devices and cloud-based servers </t>
  </si>
  <si>
    <t>US8539567</t>
  </si>
  <si>
    <t>US8385971</t>
  </si>
  <si>
    <t xml:space="preserve">Relationship management in an E-commerce application framework </t>
  </si>
  <si>
    <t>US6697824</t>
  </si>
  <si>
    <t xml:space="preserve">Vehicular information and monitoring system and methods </t>
  </si>
  <si>
    <t>US7082359</t>
  </si>
  <si>
    <t xml:space="preserve">Extensible software-based architecture for communication and cooperation within and between communities of distributed agents and distributed objects </t>
  </si>
  <si>
    <t>US6859931</t>
  </si>
  <si>
    <t xml:space="preserve">Geographical position/image digital recording and display system </t>
  </si>
  <si>
    <t>US6282362</t>
  </si>
  <si>
    <t xml:space="preserve">Remote-auditing of computer generated outcomes, authenticated billing and access control, and software metering system using cryptographic and other protocols </t>
  </si>
  <si>
    <t>US5970143</t>
  </si>
  <si>
    <t xml:space="preserve">Electronic providerâ€”patient interface system </t>
  </si>
  <si>
    <t>US6757898</t>
  </si>
  <si>
    <t xml:space="preserve">Using a community of distributed electronic agents to support a highly mobile, ambient computing environment </t>
  </si>
  <si>
    <t>US7036128</t>
  </si>
  <si>
    <t xml:space="preserve">Image photographing system, image processing system, and image providing system connecting them, as well as photographing camera, image editing apparatus, image order sheet for each object and method of ordering images for each object </t>
  </si>
  <si>
    <t>US6628899</t>
  </si>
  <si>
    <t xml:space="preserve">Surveillance and weapon system </t>
  </si>
  <si>
    <t>US4112818</t>
  </si>
  <si>
    <t xml:space="preserve">Apparatus and methods for accessing information relating to radio television programs </t>
  </si>
  <si>
    <t>US5949492</t>
  </si>
  <si>
    <t xml:space="preserve">Suggestive selling in a customer self-ordering system </t>
  </si>
  <si>
    <t>US5353219</t>
  </si>
  <si>
    <t xml:space="preserve">Customer self-ordering system using information displayed on a screen </t>
  </si>
  <si>
    <t>US5235509</t>
  </si>
  <si>
    <t xml:space="preserve">Scavenger energy converter system its new applications and its control systems </t>
  </si>
  <si>
    <t>US6327994</t>
  </si>
  <si>
    <t xml:space="preserve">Exchanging identifiers between wireless communication to determine further information to be exchanged or further services to be provided </t>
  </si>
  <si>
    <t>US8385896</t>
  </si>
  <si>
    <t xml:space="preserve">High-precision cognitive performance test battery suitable for internet and non-internet use </t>
  </si>
  <si>
    <t>US6712615</t>
  </si>
  <si>
    <t xml:space="preserve">Contextual responses based on automated learning techniques </t>
  </si>
  <si>
    <t>US6842877</t>
  </si>
  <si>
    <t xml:space="preserve">Referral recognition system for an incentive award program </t>
  </si>
  <si>
    <t>US5537314</t>
  </si>
  <si>
    <t xml:space="preserve">Contextual mobile content placement on a mobile communication facility </t>
  </si>
  <si>
    <t>US7548915</t>
  </si>
  <si>
    <t xml:space="preserve">Digital information infrastructure and method for security designated data and with granular data stores </t>
  </si>
  <si>
    <t>US8468244</t>
  </si>
  <si>
    <t xml:space="preserve">Electronic game system </t>
  </si>
  <si>
    <t>US6884172</t>
  </si>
  <si>
    <t xml:space="preserve">Thematic response to a computer user's context, such as by a wearable personal computer </t>
  </si>
  <si>
    <t>US7055101</t>
  </si>
  <si>
    <t>US7076737</t>
  </si>
  <si>
    <t xml:space="preserve">Mobile content spidering and compatibility determination </t>
  </si>
  <si>
    <t>US8229914</t>
  </si>
  <si>
    <t xml:space="preserve">Vehicle part control system including electronic sensors </t>
  </si>
  <si>
    <t>US6823244</t>
  </si>
  <si>
    <t xml:space="preserve">Management of multiple advertising inventories using a monetization platform </t>
  </si>
  <si>
    <t>US8302030</t>
  </si>
  <si>
    <t xml:space="preserve">Exclusivity bidding for mobile sponsored content </t>
  </si>
  <si>
    <t>US8027879</t>
  </si>
  <si>
    <t xml:space="preserve">Self-balancing electric vehicle with warning signal lamps </t>
  </si>
  <si>
    <t>CN202608979</t>
  </si>
  <si>
    <t>USRE38600</t>
  </si>
  <si>
    <t xml:space="preserve">Mobile dynamic advertisement creation and placement </t>
  </si>
  <si>
    <t>US8195133</t>
  </si>
  <si>
    <t xml:space="preserve">Highly scalable architecture for application network appliances </t>
  </si>
  <si>
    <t>US7921686</t>
  </si>
  <si>
    <t xml:space="preserve">Public/private dual card system and method </t>
  </si>
  <si>
    <t>US7172112</t>
  </si>
  <si>
    <t xml:space="preserve">System and method of transaction settlement using trade credit </t>
  </si>
  <si>
    <t>US7340433</t>
  </si>
  <si>
    <t>US7107539</t>
  </si>
  <si>
    <t>US7137069</t>
  </si>
  <si>
    <t>US8194986</t>
  </si>
  <si>
    <t xml:space="preserve">Remote purchasing system, method and program </t>
  </si>
  <si>
    <t>US7496527</t>
  </si>
  <si>
    <t>US4644845</t>
  </si>
  <si>
    <t xml:space="preserve">User programmable smart card interface system for an image album </t>
  </si>
  <si>
    <t>US6874683</t>
  </si>
  <si>
    <t xml:space="preserve">Electronic labeling systems and methods and electronic card systems and methods </t>
  </si>
  <si>
    <t>US6036101</t>
  </si>
  <si>
    <t xml:space="preserve">Methods and apparatus for awarding prizes based on authentication of computer generated outcomes using coupons </t>
  </si>
  <si>
    <t>US7362862</t>
  </si>
  <si>
    <t xml:space="preserve">System and method for collecting and using player information </t>
  </si>
  <si>
    <t>US8187101</t>
  </si>
  <si>
    <t>US8156128</t>
  </si>
  <si>
    <t xml:space="preserve">Electronic pulse generator and oscillator </t>
  </si>
  <si>
    <t>US7236060</t>
  </si>
  <si>
    <t xml:space="preserve">Vehicular electronic system with crash sensors and occupant protection systems </t>
  </si>
  <si>
    <t>US7580782</t>
  </si>
  <si>
    <t xml:space="preserve">Contextual targeting of content using a monetization platform </t>
  </si>
  <si>
    <t>US8364540</t>
  </si>
  <si>
    <t xml:space="preserve">Postal, freight, and logistics industry high performance capability assessment </t>
  </si>
  <si>
    <t>US8078485</t>
  </si>
  <si>
    <t xml:space="preserve">Electronic commerce transactions within a marketing system that may contain a membership buying opportunity </t>
  </si>
  <si>
    <t>US7778884</t>
  </si>
  <si>
    <t xml:space="preserve">Categorization of a mobile user profile based on browse behavior </t>
  </si>
  <si>
    <t>US8131271</t>
  </si>
  <si>
    <t xml:space="preserve">System for obtaining vehicular information </t>
  </si>
  <si>
    <t>US7555370</t>
  </si>
  <si>
    <t xml:space="preserve">Memory for an electronic token </t>
  </si>
  <si>
    <t>US5619066</t>
  </si>
  <si>
    <t xml:space="preserve">Sensor-based mobile search, related methods and systems </t>
  </si>
  <si>
    <t>US8175617</t>
  </si>
  <si>
    <t xml:space="preserve">Mode-locked laser using non-linear self-focusing element </t>
  </si>
  <si>
    <t>US5163059</t>
  </si>
  <si>
    <t xml:space="preserve">Circuit breaker including forced contact parting mechanism capable of self-retaining under short circuit condition </t>
  </si>
  <si>
    <t>US5252933</t>
  </si>
  <si>
    <t xml:space="preserve">Electronic system and method coupling live event ticketing and interactive entries with the sale, distribution and transmission of event recordings, mastering system and intelligent terminal designs </t>
  </si>
  <si>
    <t>US7603321</t>
  </si>
  <si>
    <t xml:space="preserve">Route-based activity planner </t>
  </si>
  <si>
    <t>US8793065</t>
  </si>
  <si>
    <t xml:space="preserve">Self-balancing electric vehicle with seat </t>
  </si>
  <si>
    <t>CN202608978</t>
  </si>
  <si>
    <t xml:space="preserve">Location based mobile shopping affinity program </t>
  </si>
  <si>
    <t>US8666376</t>
  </si>
  <si>
    <t xml:space="preserve">Multi-party electronic transactions </t>
  </si>
  <si>
    <t>US7536336</t>
  </si>
  <si>
    <t>US5079772</t>
  </si>
  <si>
    <t xml:space="preserve">Network and method for implementing network platform services for a computing device </t>
  </si>
  <si>
    <t>US6976066</t>
  </si>
  <si>
    <t xml:space="preserve">Self-powered tire monitoring system </t>
  </si>
  <si>
    <t>US7603894</t>
  </si>
  <si>
    <t>US2002167500</t>
  </si>
  <si>
    <t xml:space="preserve">Method and apparatus for electronic payment by a client in a self-service store </t>
  </si>
  <si>
    <t>US5637846</t>
  </si>
  <si>
    <t xml:space="preserve">Mobile search service instant activation </t>
  </si>
  <si>
    <t>US8819659</t>
  </si>
  <si>
    <t xml:space="preserve">Risk management contracts and method and apparatus for trading same </t>
  </si>
  <si>
    <t>US7693778</t>
  </si>
  <si>
    <t xml:space="preserve">Markup language for interactive geographic information system </t>
  </si>
  <si>
    <t>US7643673</t>
  </si>
  <si>
    <t>US2006259589</t>
  </si>
  <si>
    <t xml:space="preserve">Method and system for utilizing development components </t>
  </si>
  <si>
    <t>US8095911</t>
  </si>
  <si>
    <t xml:space="preserve">Hot in-place asphalt recycling machine </t>
  </si>
  <si>
    <t>US7077601</t>
  </si>
  <si>
    <t xml:space="preserve">Modular structures facilitating field-customized floor controllers </t>
  </si>
  <si>
    <t>US7608776</t>
  </si>
  <si>
    <t xml:space="preserve">Methods and systems for threat assessment, safety management, and monitoring of individuals and groups </t>
  </si>
  <si>
    <t>US8630820</t>
  </si>
  <si>
    <t xml:space="preserve">Creation of a mobile search suggestion dictionary </t>
  </si>
  <si>
    <t>US2007192318</t>
  </si>
  <si>
    <t xml:space="preserve">Mobile search substring query completion </t>
  </si>
  <si>
    <t>US2007061317</t>
  </si>
  <si>
    <t xml:space="preserve">Implicit searching for mobile content </t>
  </si>
  <si>
    <t>US2007061242</t>
  </si>
  <si>
    <t xml:space="preserve">Predictive text completion for a mobile communication facility </t>
  </si>
  <si>
    <t>US2007060114</t>
  </si>
  <si>
    <t xml:space="preserve">Mobile pay-per-call campaign creation </t>
  </si>
  <si>
    <t>US2007061198</t>
  </si>
  <si>
    <t>US2007073718</t>
  </si>
  <si>
    <t xml:space="preserve">Mobile campaign creation </t>
  </si>
  <si>
    <t>US2007061246</t>
  </si>
  <si>
    <t xml:space="preserve">Location based presentation of mobile content </t>
  </si>
  <si>
    <t>US2007061245</t>
  </si>
  <si>
    <t>US2007288427</t>
  </si>
  <si>
    <t xml:space="preserve">Mobile comparison shopping </t>
  </si>
  <si>
    <t>US2007192294</t>
  </si>
  <si>
    <t xml:space="preserve">Increasing mobile interactivity </t>
  </si>
  <si>
    <t>US2007061244</t>
  </si>
  <si>
    <t xml:space="preserve">Physical navigation of a mobile search application </t>
  </si>
  <si>
    <t>US2007073719</t>
  </si>
  <si>
    <t xml:space="preserve">Mobile search result clustering </t>
  </si>
  <si>
    <t>US2007061303</t>
  </si>
  <si>
    <t xml:space="preserve">Authorized mobile content search results </t>
  </si>
  <si>
    <t>US2008009268</t>
  </si>
  <si>
    <t xml:space="preserve">Mobile search services related to direct identifiers </t>
  </si>
  <si>
    <t>US2007239724</t>
  </si>
  <si>
    <t>US2007073717</t>
  </si>
  <si>
    <t xml:space="preserve">Mobile search service discovery </t>
  </si>
  <si>
    <t>US2007198485</t>
  </si>
  <si>
    <t xml:space="preserve">Communications network </t>
  </si>
  <si>
    <t>US2008318547</t>
  </si>
  <si>
    <t xml:space="preserve">Combined algorithmic and editorial-reviewed mobile content search results </t>
  </si>
  <si>
    <t>US2007168354</t>
  </si>
  <si>
    <t xml:space="preserve">Mobile payment facilitation </t>
  </si>
  <si>
    <t>US2007100651</t>
  </si>
  <si>
    <t xml:space="preserve">Mobile website analyzer </t>
  </si>
  <si>
    <t>US2007100653</t>
  </si>
  <si>
    <t xml:space="preserve">Using a mobile communication facility for offline ad searching </t>
  </si>
  <si>
    <t>US2008215429</t>
  </si>
  <si>
    <t xml:space="preserve">On-off handset search box </t>
  </si>
  <si>
    <t>US2007118533</t>
  </si>
  <si>
    <t xml:space="preserve">Realtime surveying within mobile sponsored content </t>
  </si>
  <si>
    <t>US2008214162</t>
  </si>
  <si>
    <t xml:space="preserve">Behavior-based mobile content placement on a mobile communication facility </t>
  </si>
  <si>
    <t>US2008242279</t>
  </si>
  <si>
    <t xml:space="preserve">Using mobile application data within a monetization platform </t>
  </si>
  <si>
    <t>US2009234861</t>
  </si>
  <si>
    <t xml:space="preserve">Methods and apparatus for formulation, initial public or private offering, and secondary market trading of risk management contracts </t>
  </si>
  <si>
    <t>US2002069155</t>
  </si>
  <si>
    <t xml:space="preserve">Client libraries for mobile content </t>
  </si>
  <si>
    <t>US2007100806</t>
  </si>
  <si>
    <t xml:space="preserve">Gaming system having sponsored awards </t>
  </si>
  <si>
    <t>US2007077981</t>
  </si>
  <si>
    <t xml:space="preserve">Action functionality for mobile content search results </t>
  </si>
  <si>
    <t>US2007100650</t>
  </si>
  <si>
    <t xml:space="preserve">Syndication of a behavioral profile associated with an availability condition using a monetization platform </t>
  </si>
  <si>
    <t>US2009222329</t>
  </si>
  <si>
    <t xml:space="preserve">Microstimulator having self-contained power source </t>
  </si>
  <si>
    <t>US2004059392</t>
  </si>
  <si>
    <t xml:space="preserve">Interactive mobile advertisement banners </t>
  </si>
  <si>
    <t>US2008215428</t>
  </si>
  <si>
    <t xml:space="preserve">Aggregation and enrichment of behavioral profile data using a monetization platform </t>
  </si>
  <si>
    <t>US2009240568</t>
  </si>
  <si>
    <t xml:space="preserve">System, method, computer program products, standards, SOA infrastructure, search algorithm and a business method thereof for AI enabled information communication and computation (ICC) framework (NetAlter) operated by NetAlter Operating System (NOS) in terms of NetAlter Service Browser (NSB) to device alternative to internet and enterprise &amp; social communication framework engrossing universally distributed grid supercomputing and peer to peer framework </t>
  </si>
  <si>
    <t>US2006165040</t>
  </si>
  <si>
    <t xml:space="preserve">Methods and apparatus for software provisioning of a network device </t>
  </si>
  <si>
    <t>US2008134165</t>
  </si>
  <si>
    <t xml:space="preserve">Unified real-time microprocessor computer </t>
  </si>
  <si>
    <t>US2002091991</t>
  </si>
  <si>
    <t xml:space="preserve">Aggregation of behavioral profile data using a monetization platform </t>
  </si>
  <si>
    <t>US2009234711</t>
  </si>
  <si>
    <t xml:space="preserve">Embedding a nonsponsored mobile content within a sponsored mobile content </t>
  </si>
  <si>
    <t>US2008270220</t>
  </si>
  <si>
    <t xml:space="preserve">Method and system for gaming and e-materials distribution </t>
  </si>
  <si>
    <t>US2006046838</t>
  </si>
  <si>
    <t xml:space="preserve">Methods and systems for replaying a player's experience in a casino environment </t>
  </si>
  <si>
    <t>US2008274798</t>
  </si>
  <si>
    <t xml:space="preserve">Client content management and distribution system </t>
  </si>
  <si>
    <t>US2001010046</t>
  </si>
  <si>
    <t xml:space="preserve">Behavior tracking and user profiling system </t>
  </si>
  <si>
    <t>US2001056405</t>
  </si>
  <si>
    <t xml:space="preserve">Mobile communication facility usage and social network creation </t>
  </si>
  <si>
    <t>US2008215623</t>
  </si>
  <si>
    <t xml:space="preserve">Mobile content cross-inventory yield optimization </t>
  </si>
  <si>
    <t>US2007100805</t>
  </si>
  <si>
    <t xml:space="preserve">Gaming advertisement systems and methods </t>
  </si>
  <si>
    <t>US2006063587</t>
  </si>
  <si>
    <t xml:space="preserve">Method and apparatus for marketing and communicating in the wine/spirits industry </t>
  </si>
  <si>
    <t>US2002123957</t>
  </si>
  <si>
    <t xml:space="preserve">Revenue models associated with syndication of a behavioral profile using a monetization platform </t>
  </si>
  <si>
    <t>US2009240586</t>
  </si>
  <si>
    <t xml:space="preserve">Methods and systems of mobile dynamic content presentation </t>
  </si>
  <si>
    <t>US2008214152</t>
  </si>
  <si>
    <t xml:space="preserve">Mobile User Profile Creation based on User Browse Behaviors </t>
  </si>
  <si>
    <t>US2008214153</t>
  </si>
  <si>
    <t xml:space="preserve">Locally driven advertising system </t>
  </si>
  <si>
    <t>US2002002488</t>
  </si>
  <si>
    <t xml:space="preserve">System and method for capturing and storing casino information in a relational database system </t>
  </si>
  <si>
    <t>US2009172035</t>
  </si>
  <si>
    <t xml:space="preserve">Electronic messaging system and method thereof </t>
  </si>
  <si>
    <t>US2003009385</t>
  </si>
  <si>
    <t xml:space="preserve">Self-service platform for selling advertising </t>
  </si>
  <si>
    <t>US2005027594</t>
  </si>
  <si>
    <t xml:space="preserve">Multimedia player and browser system </t>
  </si>
  <si>
    <t>US2004068536</t>
  </si>
  <si>
    <t xml:space="preserve">User services and information management system and method </t>
  </si>
  <si>
    <t>US2002055872</t>
  </si>
  <si>
    <t xml:space="preserve">System, method and computer program product for enhancing commercial value of electrical power produced from a renewable energy power production facility </t>
  </si>
  <si>
    <t>US2002087234</t>
  </si>
  <si>
    <t xml:space="preserve">Method and apparatus for authenticating data relating to usage of a gaming device </t>
  </si>
  <si>
    <t>US2009312093</t>
  </si>
  <si>
    <t>US2004122730</t>
  </si>
  <si>
    <t xml:space="preserve">Idle screen advertising </t>
  </si>
  <si>
    <t>US2008214150</t>
  </si>
  <si>
    <t xml:space="preserve">Mobile device system and method providing 3d geo-target location-based mobile commerce searching/purchases, discounts/coupons products, goods, and services, and social networking </t>
  </si>
  <si>
    <t>US2013073377</t>
  </si>
  <si>
    <t>US2007106892</t>
  </si>
  <si>
    <t xml:space="preserve">Integrating subscription content into mobile search results </t>
  </si>
  <si>
    <t>US2008214155</t>
  </si>
  <si>
    <t xml:space="preserve">Methods and systems for mobile coupon tracking </t>
  </si>
  <si>
    <t>US2009234745</t>
  </si>
  <si>
    <t xml:space="preserve">Syndication of a behavioral profile using a monetization platform </t>
  </si>
  <si>
    <t>US2009240569</t>
  </si>
  <si>
    <t xml:space="preserve">Combining mobile and transcoded content in a mobile search result </t>
  </si>
  <si>
    <t>US2009029687</t>
  </si>
  <si>
    <t xml:space="preserve">Similarity based location mapping of mobile comm facility users </t>
  </si>
  <si>
    <t>US2008214204</t>
  </si>
  <si>
    <t xml:space="preserve">Using Mobile Communication Facility Device Data Within a Monetization Platform </t>
  </si>
  <si>
    <t>US2010076994</t>
  </si>
  <si>
    <t xml:space="preserve">Using wireless carrier data to influence mobile search results </t>
  </si>
  <si>
    <t>US2008214149</t>
  </si>
  <si>
    <t xml:space="preserve">System, method and applications for knowledge commerce </t>
  </si>
  <si>
    <t>US2002087496</t>
  </si>
  <si>
    <t xml:space="preserve">Methods and systems for requesting the aid of security volunteers using a security network </t>
  </si>
  <si>
    <t>US2014118140</t>
  </si>
  <si>
    <t xml:space="preserve">Targeting mobile sponsored content within a social network </t>
  </si>
  <si>
    <t>US2008214148</t>
  </si>
  <si>
    <t xml:space="preserve">Mobile pay per call </t>
  </si>
  <si>
    <t>US2007100652</t>
  </si>
  <si>
    <t xml:space="preserve">Systems and methods for obtaining, storing, processing and utilizing immunologic information of individuals and populations </t>
  </si>
  <si>
    <t>US2006218010</t>
  </si>
  <si>
    <t xml:space="preserve">Software platform for developing, delivering and managing data-voice applications operating on an internet protocol (IP) phone </t>
  </si>
  <si>
    <t>US2006050686</t>
  </si>
  <si>
    <t xml:space="preserve">Vehicle component control methods and systems </t>
  </si>
  <si>
    <t>US2012296567</t>
  </si>
  <si>
    <t xml:space="preserve">Virtually tracking un-carded or anonymous patron session data </t>
  </si>
  <si>
    <t>US2008188308</t>
  </si>
  <si>
    <t xml:space="preserve">Network-Based Contests Having Multiple Participating Sponsors </t>
  </si>
  <si>
    <t>US2010099471</t>
  </si>
  <si>
    <t xml:space="preserve">Micro-target for broadband content </t>
  </si>
  <si>
    <t>US2002004744</t>
  </si>
  <si>
    <t xml:space="preserve">Methods and systems of mobile query classification </t>
  </si>
  <si>
    <t>US2008215557</t>
  </si>
  <si>
    <t xml:space="preserve">Communication in Context of Content </t>
  </si>
  <si>
    <t>US2011055309</t>
  </si>
  <si>
    <t xml:space="preserve">Healthcare wallet payment processing apparatuses, methods and systems </t>
  </si>
  <si>
    <t>US2012239417</t>
  </si>
  <si>
    <t xml:space="preserve">Methods and systems for mobile coupon placement </t>
  </si>
  <si>
    <t>US2008214151</t>
  </si>
  <si>
    <t xml:space="preserve">Continuous upgrading of computers in a load balanced environment </t>
  </si>
  <si>
    <t>US2011276695</t>
  </si>
  <si>
    <t xml:space="preserve">Electronically controlled golf swing analyzing/training mat system with ball striking-related feedback </t>
  </si>
  <si>
    <t>US2007298896</t>
  </si>
  <si>
    <t>US2002103745</t>
  </si>
  <si>
    <t xml:space="preserve">Systems and methods for assessing equipment operator fatigue and using fatigue-risk-informed safety-performance-based systems and methods to replace or supplement prescriptive work-rest regulations </t>
  </si>
  <si>
    <t>US2006200008</t>
  </si>
  <si>
    <t xml:space="preserve">Vehicle Diagnostic or Prognostic Message Transmission Systems and Methods </t>
  </si>
  <si>
    <t>US2008161989</t>
  </si>
  <si>
    <t xml:space="preserve">Electronic reservation referral system and method </t>
  </si>
  <si>
    <t>US2002069093</t>
  </si>
  <si>
    <t xml:space="preserve">Hosting and broadcasting virtual events using streaming interactive video </t>
  </si>
  <si>
    <t>US2009118017</t>
  </si>
  <si>
    <t xml:space="preserve">Associating mobile and non mobile web content </t>
  </si>
  <si>
    <t>US2008214154</t>
  </si>
  <si>
    <t xml:space="preserve">Charging station with protective door </t>
  </si>
  <si>
    <t>US2011140656</t>
  </si>
  <si>
    <t xml:space="preserve">System and method for automated process of deal structuring </t>
  </si>
  <si>
    <t>US2006155639</t>
  </si>
  <si>
    <t xml:space="preserve">System and method for propagating endorsements </t>
  </si>
  <si>
    <t>US2009271289</t>
  </si>
  <si>
    <t xml:space="preserve">Orientation based control of mobile device </t>
  </si>
  <si>
    <t>US2010069115</t>
  </si>
  <si>
    <t xml:space="preserve">Method and system for computer-aided telecommunication and financial transactions </t>
  </si>
  <si>
    <t>US2004169722</t>
  </si>
  <si>
    <t xml:space="preserve">Offer Reporting Apparatus and Method </t>
  </si>
  <si>
    <t>US2010057586</t>
  </si>
  <si>
    <t xml:space="preserve">Self-service electronic toll collection unit and system </t>
  </si>
  <si>
    <t>US2005010478</t>
  </si>
  <si>
    <t xml:space="preserve">Automated signal measurement in a satellite communication system </t>
  </si>
  <si>
    <t>US2003050015</t>
  </si>
  <si>
    <t xml:space="preserve">System and Method for Facilitating Secure Self Payment Transactions of Retail Goods </t>
  </si>
  <si>
    <t>US2013256403</t>
  </si>
  <si>
    <t xml:space="preserve">Home health point-of-care and administration system </t>
  </si>
  <si>
    <t>US2010198608</t>
  </si>
  <si>
    <t xml:space="preserve">Apparatus and method for locating, tracking, controlling and recognizing tagged objects using active RFID technology. </t>
  </si>
  <si>
    <t>US2012242481</t>
  </si>
  <si>
    <t xml:space="preserve">Distributed electronic commerce system, method and apparatus </t>
  </si>
  <si>
    <t>US2010063892</t>
  </si>
  <si>
    <t xml:space="preserve">Integrated medical software system with clinical decision support </t>
  </si>
  <si>
    <t>US2011301982</t>
  </si>
  <si>
    <t xml:space="preserve">Electronic System and Apparatuses Coupling Ticketing on Mobile Devices with Event Sponsorship and Interaction </t>
  </si>
  <si>
    <t>US2007156443</t>
  </si>
  <si>
    <t xml:space="preserve">Vehicle Component Control Methods and Systems </t>
  </si>
  <si>
    <t>US2008147271</t>
  </si>
  <si>
    <t xml:space="preserve">Local portal </t>
  </si>
  <si>
    <t>US2001042016</t>
  </si>
  <si>
    <t xml:space="preserve">Self Propelled Electric Vehicle Recharging Trailer </t>
  </si>
  <si>
    <t>US2010065344</t>
  </si>
  <si>
    <t xml:space="preserve">Photon therapy method and apparatus </t>
  </si>
  <si>
    <t>US2005085875</t>
  </si>
  <si>
    <t xml:space="preserve">Electronic commodities and automated ticket manager </t>
  </si>
  <si>
    <t>US2004049412</t>
  </si>
  <si>
    <t xml:space="preserve">Method for user session transitioning among streaming interactive video servers </t>
  </si>
  <si>
    <t>US2009124387</t>
  </si>
  <si>
    <t xml:space="preserve">Auctioning Provider Prices </t>
  </si>
  <si>
    <t>US2009089084</t>
  </si>
  <si>
    <t xml:space="preserve">System and method for remote-hosted video effects </t>
  </si>
  <si>
    <t>US2011126255</t>
  </si>
  <si>
    <t xml:space="preserve">Categorization of a mobile user profile based on browse and viewing behavior </t>
  </si>
  <si>
    <t>US2012089996</t>
  </si>
  <si>
    <t xml:space="preserve">Method and system for monetizing content </t>
  </si>
  <si>
    <t>US2009265257</t>
  </si>
  <si>
    <t xml:space="preserve">Automated management and publication of electronic content from mobile nodes </t>
  </si>
  <si>
    <t>US2009204885</t>
  </si>
  <si>
    <t xml:space="preserve">Assessment and Rehabilitation of Cognitive and Motor Functions Using Virtual Reality </t>
  </si>
  <si>
    <t>US2012108909</t>
  </si>
  <si>
    <t xml:space="preserve">System and method for controlling movement of vehicles </t>
  </si>
  <si>
    <t>US2012277940</t>
  </si>
  <si>
    <t xml:space="preserve">System and Method for Accelerated Machine Switching </t>
  </si>
  <si>
    <t>US2010167809</t>
  </si>
  <si>
    <t xml:space="preserve">System for reporting recorded video preceding system failures </t>
  </si>
  <si>
    <t>US2009118018</t>
  </si>
  <si>
    <t xml:space="preserve">Embedding Sponsored Content In Mobile Applications </t>
  </si>
  <si>
    <t>US2010287048</t>
  </si>
  <si>
    <t xml:space="preserve">Pooling data for consumer credit or debit cards </t>
  </si>
  <si>
    <t>US2008033857</t>
  </si>
  <si>
    <t xml:space="preserve">System and method for generating real-time health care alerts </t>
  </si>
  <si>
    <t>US2009216558</t>
  </si>
  <si>
    <t xml:space="preserve">Plurality of picture appearance choices from a color photographic recording material intended for scanning </t>
  </si>
  <si>
    <t>US2005174591</t>
  </si>
  <si>
    <t xml:space="preserve">Method and apparatus for managing features on a gaming device </t>
  </si>
  <si>
    <t>US2004024666</t>
  </si>
  <si>
    <t xml:space="preserve">Vehicle Component Control Methods and Systems Based on Vehicle Stability </t>
  </si>
  <si>
    <t>US2008046149</t>
  </si>
  <si>
    <t xml:space="preserve">System for streaming databases serving real-time applications used through streaming interactive video </t>
  </si>
  <si>
    <t>US2009118019</t>
  </si>
  <si>
    <t>US2008040005</t>
  </si>
  <si>
    <t xml:space="preserve">On board vehicle installation supervisor </t>
  </si>
  <si>
    <t>US2013198737</t>
  </si>
  <si>
    <t>US2011122063</t>
  </si>
  <si>
    <t xml:space="preserve">Electronic game utilizing photographs </t>
  </si>
  <si>
    <t>US2008293488</t>
  </si>
  <si>
    <t xml:space="preserve">System and method for spend pattern analysis and applications thereof </t>
  </si>
  <si>
    <t>US2012053987</t>
  </si>
  <si>
    <t>US2001053247</t>
  </si>
  <si>
    <t xml:space="preserve">System and method for compressing streaming interactive video </t>
  </si>
  <si>
    <t>US2009119736</t>
  </si>
  <si>
    <t xml:space="preserve">Systems and methods using a dynamic database to provide aesthetic improvement procedures </t>
  </si>
  <si>
    <t>US2007255589</t>
  </si>
  <si>
    <t>US2013055097</t>
  </si>
  <si>
    <t>US2013053005</t>
  </si>
  <si>
    <t xml:space="preserve">System for collaborative conferencing using streaming interactive video </t>
  </si>
  <si>
    <t>US2009119737</t>
  </si>
  <si>
    <t xml:space="preserve">System and method for providing socially enabled rewards through a user financial instrument </t>
  </si>
  <si>
    <t>US2012004968</t>
  </si>
  <si>
    <t xml:space="preserve">User-distributed shared vehicle system </t>
  </si>
  <si>
    <t>US2010280700</t>
  </si>
  <si>
    <t xml:space="preserve">System and method for providing messages </t>
  </si>
  <si>
    <t>US2011213657</t>
  </si>
  <si>
    <t xml:space="preserve">Method and system for implementing remote independent culinary preparation service </t>
  </si>
  <si>
    <t>US2002026363</t>
  </si>
  <si>
    <t xml:space="preserve">Camera having verification display with reverse white balanced viewer adaptation compensation and method </t>
  </si>
  <si>
    <t>US2002080245</t>
  </si>
  <si>
    <t xml:space="preserve">System and method for providing combination of online coupons, products or services with advertisements, geospatial mapping, related company or local information, and social networking </t>
  </si>
  <si>
    <t>US2013073376</t>
  </si>
  <si>
    <t xml:space="preserve">System and method for managing account receivables </t>
  </si>
  <si>
    <t>US2006041487</t>
  </si>
  <si>
    <t xml:space="preserve">Flexible determination of gaming and services </t>
  </si>
  <si>
    <t>US2010062838</t>
  </si>
  <si>
    <t xml:space="preserve">Electronic Commerce System, Method and Apparatus </t>
  </si>
  <si>
    <t>US2009125387</t>
  </si>
  <si>
    <t xml:space="preserve">Universal trip valve operators and trip actuating seismic vibration sensors and transducers therefor </t>
  </si>
  <si>
    <t>US5048552</t>
  </si>
  <si>
    <t xml:space="preserve">System for combining a plurality of views of real-time streaming interactive video </t>
  </si>
  <si>
    <t>US8661496</t>
  </si>
  <si>
    <t>US5097471</t>
  </si>
  <si>
    <t xml:space="preserve">Synthetically expedient water-dispersible IR dyes </t>
  </si>
  <si>
    <t>US7122076</t>
  </si>
  <si>
    <t xml:space="preserve">Presentation of Sponsored Content Based on Device Characteristics </t>
  </si>
  <si>
    <t>US2010121705</t>
  </si>
  <si>
    <t xml:space="preserve">Method for multicasting views of real-time streaming interactive video </t>
  </si>
  <si>
    <t>US2009119729</t>
  </si>
  <si>
    <t xml:space="preserve">Interactive Digital Content Sharing Among Users </t>
  </si>
  <si>
    <t>US2014258405</t>
  </si>
  <si>
    <t xml:space="preserve">Telephony </t>
  </si>
  <si>
    <t>US2009213844</t>
  </si>
  <si>
    <t xml:space="preserve">System and method for matching a savings opportunity using third party data </t>
  </si>
  <si>
    <t>US2012010933</t>
  </si>
  <si>
    <t xml:space="preserve">System and method for platform-driven savings opportunity matching </t>
  </si>
  <si>
    <t>US2012004975</t>
  </si>
  <si>
    <t xml:space="preserve">System and method for providing a savings opportunity matched to a spend pattern in association with a financial account </t>
  </si>
  <si>
    <t>US2012004970</t>
  </si>
  <si>
    <t xml:space="preserve">System and method for providing a geo-enhanced savings opportunity in association with a financial account </t>
  </si>
  <si>
    <t>US2012004969</t>
  </si>
  <si>
    <t xml:space="preserve">E learning platform for preparation for standardized achievement tests </t>
  </si>
  <si>
    <t>US2007269788</t>
  </si>
  <si>
    <t xml:space="preserve">System and method for financial institution- and merchant-driven savings opportunity matching </t>
  </si>
  <si>
    <t>US2012004964</t>
  </si>
  <si>
    <t xml:space="preserve">Web-based, hosted, self-service outbound contact center utilizing speaker-independent interactive voice response and including enhanced IP telephony </t>
  </si>
  <si>
    <t>US2011182283</t>
  </si>
  <si>
    <t>US2010076818</t>
  </si>
  <si>
    <t xml:space="preserve">Integrated medical software system with embedded transcription functionality </t>
  </si>
  <si>
    <t>US2011202370</t>
  </si>
  <si>
    <t>US2009043907</t>
  </si>
  <si>
    <t xml:space="preserve">Presentation of Interactive Mobile Sponsor Content </t>
  </si>
  <si>
    <t>US2010312572</t>
  </si>
  <si>
    <t xml:space="preserve">System and method for providing a future reward through a user financial instrument </t>
  </si>
  <si>
    <t>US2012004967</t>
  </si>
  <si>
    <t xml:space="preserve">Sharing data among proximate mobile devices with short-range wireless signals </t>
  </si>
  <si>
    <t>US2014274031</t>
  </si>
  <si>
    <t xml:space="preserve">System and method for matching a savings opportunity using census data </t>
  </si>
  <si>
    <t>US2012010932</t>
  </si>
  <si>
    <t xml:space="preserve">Special effects control for portable musical instrument </t>
  </si>
  <si>
    <t>US5007324</t>
  </si>
  <si>
    <t xml:space="preserve">System for Targeting Advertising Content to a Plurality of Mobile Communication Facilities </t>
  </si>
  <si>
    <t>US2013080447</t>
  </si>
  <si>
    <t xml:space="preserve">System and method for providing a facility for conditional purchases </t>
  </si>
  <si>
    <t>US2012010936</t>
  </si>
  <si>
    <t xml:space="preserve">Route detection in a trip-oriented message data communications system </t>
  </si>
  <si>
    <t>US2016003637</t>
  </si>
  <si>
    <t>US2012041819</t>
  </si>
  <si>
    <t xml:space="preserve">Control system and method for remotely isolating powered units in a vehicle system </t>
  </si>
  <si>
    <t>US2014094998</t>
  </si>
  <si>
    <t xml:space="preserve">Systems and methods for computerized interactive training </t>
  </si>
  <si>
    <t>US2006172275</t>
  </si>
  <si>
    <t xml:space="preserve">System and method for providing rewards through a user financial instrument </t>
  </si>
  <si>
    <t>US2012004966</t>
  </si>
  <si>
    <t xml:space="preserve">System and method for user-driven savings opportunity matching </t>
  </si>
  <si>
    <t>US2012004965</t>
  </si>
  <si>
    <t xml:space="preserve">Home Health Point-of-Care and Administration System </t>
  </si>
  <si>
    <t>US2011010087</t>
  </si>
  <si>
    <t xml:space="preserve">System and method for roaming in data -and communication- networks </t>
  </si>
  <si>
    <t>US2005174974</t>
  </si>
  <si>
    <t xml:space="preserve">Interactive container of development components and solutions </t>
  </si>
  <si>
    <t>US2007234290</t>
  </si>
  <si>
    <t xml:space="preserve">Secure Payment Terminal </t>
  </si>
  <si>
    <t>US2012290420</t>
  </si>
  <si>
    <t xml:space="preserve">Methods and apparatus for intelligent selection of goods and services in telephonic and electronic commerce </t>
  </si>
  <si>
    <t>US8306908</t>
  </si>
  <si>
    <t xml:space="preserve">Method and system for managing development components </t>
  </si>
  <si>
    <t>US2007233681</t>
  </si>
  <si>
    <t xml:space="preserve">Systems and Methods for Allocating a Consumer Access Right to a Live Event </t>
  </si>
  <si>
    <t>US2007143185</t>
  </si>
  <si>
    <t xml:space="preserve">System for targeting advertising content to a plurality of mobile communication facilities </t>
  </si>
  <si>
    <t>US2011313853</t>
  </si>
  <si>
    <t xml:space="preserve">Two-wheeled vehicle </t>
  </si>
  <si>
    <t>US2008169134</t>
  </si>
  <si>
    <t xml:space="preserve">System and method for providing electronic information relating to printed advertisements </t>
  </si>
  <si>
    <t>US2006143083</t>
  </si>
  <si>
    <t xml:space="preserve">Streaming interactive video integrated with recorded video segments </t>
  </si>
  <si>
    <t>US2009125967</t>
  </si>
  <si>
    <t xml:space="preserve">Duplicated processing in vehicles </t>
  </si>
  <si>
    <t>US2013204493</t>
  </si>
  <si>
    <t xml:space="preserve">Method and system for countering terrorism and monitoring visitors from abroad </t>
  </si>
  <si>
    <t>US2002069084</t>
  </si>
  <si>
    <t>US2012010966</t>
  </si>
  <si>
    <t xml:space="preserve">Online transaction related to vacation rental property </t>
  </si>
  <si>
    <t>US2007156429</t>
  </si>
  <si>
    <t xml:space="preserve">Method of combining linear content and interactive content compressed together as streaming interactive video </t>
  </si>
  <si>
    <t>US2009125961</t>
  </si>
  <si>
    <t xml:space="preserve">Method and system for electronically delivering defined financial services for large mobile passenger conveyances </t>
  </si>
  <si>
    <t>WO9918533</t>
  </si>
  <si>
    <t xml:space="preserve">Systems and methods for providing a user incentive program using smart card technology </t>
  </si>
  <si>
    <t>US8489452</t>
  </si>
  <si>
    <t xml:space="preserve">Method and system for electronic route planning and virtual queue handling </t>
  </si>
  <si>
    <t>US2003010822</t>
  </si>
  <si>
    <t xml:space="preserve">Method and system for providing web based interactive lessons </t>
  </si>
  <si>
    <t>US2007026958</t>
  </si>
  <si>
    <t xml:space="preserve">Temporary Decoder Apparatus and Method </t>
  </si>
  <si>
    <t>US2010166058</t>
  </si>
  <si>
    <t>US2009228544</t>
  </si>
  <si>
    <t>US2013254035</t>
  </si>
  <si>
    <t xml:space="preserve">Multiple-path wormhole interconnect </t>
  </si>
  <si>
    <t>US6754207</t>
  </si>
  <si>
    <t xml:space="preserve">Method and apparatus for topology and path verification in networks </t>
  </si>
  <si>
    <t>US2015249587</t>
  </si>
  <si>
    <t xml:space="preserve">System for configuration and management of live sound system </t>
  </si>
  <si>
    <t>US2012047435</t>
  </si>
  <si>
    <t xml:space="preserve">Apparatus and method for providing harmonized recommendations based on an integrated user profile </t>
  </si>
  <si>
    <t>US8732101</t>
  </si>
  <si>
    <t xml:space="preserve">Camera array including camera modules </t>
  </si>
  <si>
    <t>US2015348580</t>
  </si>
  <si>
    <t xml:space="preserve">System for combining recorded application state with application streaming interactive video output </t>
  </si>
  <si>
    <t>US2009125968</t>
  </si>
  <si>
    <t xml:space="preserve">System and method for encoding video using a selected tile and tile rotation pattern </t>
  </si>
  <si>
    <t>US2010166056</t>
  </si>
  <si>
    <t xml:space="preserve">Interactive interface for electronic devices </t>
  </si>
  <si>
    <t>US2008005418</t>
  </si>
  <si>
    <t xml:space="preserve">Dynamic programmable intelligent search memory </t>
  </si>
  <si>
    <t>US2011119440</t>
  </si>
  <si>
    <t>US2012010973</t>
  </si>
  <si>
    <t xml:space="preserve">Real time electronic commerce telecommunication system and method </t>
  </si>
  <si>
    <t>US2011145087</t>
  </si>
  <si>
    <t xml:space="preserve">User programmable smart card interface system </t>
  </si>
  <si>
    <t>US2004050933</t>
  </si>
  <si>
    <t xml:space="preserve">Programmable molecular device </t>
  </si>
  <si>
    <t>US2003058697</t>
  </si>
  <si>
    <t xml:space="preserve">System for retrieving mobile communication facility user data from a plurality of providers </t>
  </si>
  <si>
    <t>US2012173358</t>
  </si>
  <si>
    <t>US2012010985</t>
  </si>
  <si>
    <t xml:space="preserve">Method and System combining a Social Network Service with an Alternative Trading System and Electronic Communication Network to produce entertainment media </t>
  </si>
  <si>
    <t>US2010250424</t>
  </si>
  <si>
    <t xml:space="preserve">Systems and methods for providing hierarchy of support services via desktop and centralized service </t>
  </si>
  <si>
    <t>US2013103973</t>
  </si>
  <si>
    <t>US2012010989</t>
  </si>
  <si>
    <t xml:space="preserve">Utilization of accumulated customer transaction data in electronic commerce </t>
  </si>
  <si>
    <t>US2005071252</t>
  </si>
  <si>
    <t xml:space="preserve">Automatic fare charging device </t>
  </si>
  <si>
    <t>US3609300</t>
  </si>
  <si>
    <t xml:space="preserve">Method and system for identifying reusable development components </t>
  </si>
  <si>
    <t>US2007250405</t>
  </si>
  <si>
    <t>WO2008052205</t>
  </si>
  <si>
    <t xml:space="preserve">Deployment criteria for unmanned aerial vehicles to improve cellular phone communications </t>
  </si>
  <si>
    <t>WO2016012889</t>
  </si>
  <si>
    <t xml:space="preserve">System for recursive recombination of streaming interactive video </t>
  </si>
  <si>
    <t>US2009119738</t>
  </si>
  <si>
    <t xml:space="preserve">User Programmable smart card interface system having an arbitrary mapping </t>
  </si>
  <si>
    <t>US2001054647</t>
  </si>
  <si>
    <t xml:space="preserve">Remote-auditing of computer generated outcomes using cryptographic and other protocols </t>
  </si>
  <si>
    <t>WO9719537</t>
  </si>
  <si>
    <t xml:space="preserve">Brake control system for balanced braking of a towed vehicle </t>
  </si>
  <si>
    <t>US6280004</t>
  </si>
  <si>
    <t xml:space="preserve">Systems and methods for a holistic well-being assessment </t>
  </si>
  <si>
    <t>US2008109257</t>
  </si>
  <si>
    <t xml:space="preserve">System and method for providing a mobile wallet shopping companion application </t>
  </si>
  <si>
    <t>US2014207680</t>
  </si>
  <si>
    <t xml:space="preserve">Monitoring state-of-health of processing modules in vehicles </t>
  </si>
  <si>
    <t>US2013282238</t>
  </si>
  <si>
    <t xml:space="preserve">System and method for propagating interactive online advertisements </t>
  </si>
  <si>
    <t>US2012116897</t>
  </si>
  <si>
    <t xml:space="preserve">Electronic reward generation </t>
  </si>
  <si>
    <t>US2011178861</t>
  </si>
  <si>
    <t>WO0016189</t>
  </si>
  <si>
    <t xml:space="preserve">Systems and methods for location-based marketing for attraction access </t>
  </si>
  <si>
    <t>US2012323691</t>
  </si>
  <si>
    <t>WO02063602</t>
  </si>
  <si>
    <t xml:space="preserve">Streaming interactive video client apparatus </t>
  </si>
  <si>
    <t>WO2009073830</t>
  </si>
  <si>
    <t xml:space="preserve">System and methods for providing spatially segmented recommendations </t>
  </si>
  <si>
    <t>US2014279196</t>
  </si>
  <si>
    <t xml:space="preserve">Truly electric car </t>
  </si>
  <si>
    <t>US2011017529</t>
  </si>
  <si>
    <t xml:space="preserve">Virtual scenario generator </t>
  </si>
  <si>
    <t>US2008103794</t>
  </si>
  <si>
    <t>US2010049603</t>
  </si>
  <si>
    <t xml:space="preserve">Functional inks based on layered materials and printed layered materials </t>
  </si>
  <si>
    <t>WO2014064432</t>
  </si>
  <si>
    <t xml:space="preserve">Portable self-contained amplifier and loudspeaker apparatus </t>
  </si>
  <si>
    <t>US4237341</t>
  </si>
  <si>
    <t xml:space="preserve">Remote-control self-navigation water quality sampling and analyzing device </t>
  </si>
  <si>
    <t>CN101592649</t>
  </si>
  <si>
    <t xml:space="preserve">Automated film processing kiosk system </t>
  </si>
  <si>
    <t>US2005047777</t>
  </si>
  <si>
    <t xml:space="preserve">Method for recording live performances as two or more tracks </t>
  </si>
  <si>
    <t>US2003236581</t>
  </si>
  <si>
    <t xml:space="preserve">Electronic coupon device </t>
  </si>
  <si>
    <t>US2009018908</t>
  </si>
  <si>
    <t xml:space="preserve">Method and system for financing and producing entertainment media </t>
  </si>
  <si>
    <t>US2012226595</t>
  </si>
  <si>
    <t xml:space="preserve">Multiple suction cup stored-value card for securing an electronic device on a surface </t>
  </si>
  <si>
    <t>US2013341412</t>
  </si>
  <si>
    <t xml:space="preserve">Airborne electromagnetic prospecting apparatus having </t>
  </si>
  <si>
    <t>US3123766</t>
  </si>
  <si>
    <t xml:space="preserve">Tile-based system and method for compressing video </t>
  </si>
  <si>
    <t>WO2009073828</t>
  </si>
  <si>
    <t>US7840277</t>
  </si>
  <si>
    <t xml:space="preserve">Apparatus and methods for accessing information relating to radio and television programs </t>
  </si>
  <si>
    <t>WO9616491</t>
  </si>
  <si>
    <t xml:space="preserve">Aqueous redox flow batteries featuring improved cell design characteristics </t>
  </si>
  <si>
    <t>US2014138576</t>
  </si>
  <si>
    <t xml:space="preserve">Rfid tag and system and method for securing rfid tag </t>
  </si>
  <si>
    <t>US2014229387</t>
  </si>
  <si>
    <t xml:space="preserve">System and method for managing campaign effectiveness by a merchant </t>
  </si>
  <si>
    <t>US2013325587</t>
  </si>
  <si>
    <t>US2012066057</t>
  </si>
  <si>
    <t xml:space="preserve">System for acceleration of web page delivery </t>
  </si>
  <si>
    <t>US2009119731</t>
  </si>
  <si>
    <t xml:space="preserve">Method and devices for stabilizing electric grid power </t>
  </si>
  <si>
    <t>US2010177450</t>
  </si>
  <si>
    <t xml:space="preserve">Method of controlling motor vehicle clutch involves adjusting clutch take up point dependent on operating temperature </t>
  </si>
  <si>
    <t>DE10236540</t>
  </si>
  <si>
    <t>WO0109782</t>
  </si>
  <si>
    <t xml:space="preserve">Intelligent computer system </t>
  </si>
  <si>
    <t>WO0070481</t>
  </si>
  <si>
    <t>US7865420</t>
  </si>
  <si>
    <t xml:space="preserve">System and method for intelligently allocating client requests to server centers </t>
  </si>
  <si>
    <t>WO2009073832</t>
  </si>
  <si>
    <t xml:space="preserve">Lift-type folding door window in mutually non-interfered electronic and manual modes </t>
  </si>
  <si>
    <t>CN102052039</t>
  </si>
  <si>
    <t xml:space="preserve">Method and an apparatus for indirect measurement of fluid in a container and communication thereof </t>
  </si>
  <si>
    <t>US2014372045</t>
  </si>
  <si>
    <t xml:space="preserve">Systems and methods utilizing highly dynamic wireless ad-hoc networks </t>
  </si>
  <si>
    <t>US2014196025</t>
  </si>
  <si>
    <t xml:space="preserve">Virtual multicast routing for a cluster having state synchronization </t>
  </si>
  <si>
    <t>US7729350</t>
  </si>
  <si>
    <t xml:space="preserve">System and method for compressing video based on detected data rate of a communication channel </t>
  </si>
  <si>
    <t>WO2009073824</t>
  </si>
  <si>
    <t xml:space="preserve">Broadcast network platform system </t>
  </si>
  <si>
    <t>US2011099584</t>
  </si>
  <si>
    <t xml:space="preserve">System and method for protecting certain types of multimedia data transmitted over a communication channel </t>
  </si>
  <si>
    <t>WO2009076178</t>
  </si>
  <si>
    <t xml:space="preserve">Network method system and apparatus for recording and maintaining records </t>
  </si>
  <si>
    <t>US2002091756</t>
  </si>
  <si>
    <t xml:space="preserve">Video compression system and method for reducing the effects of packet loss over a communication channel </t>
  </si>
  <si>
    <t>WO2009073831</t>
  </si>
  <si>
    <t xml:space="preserve">Electronically tuned self-starting polarization shaping mode locked fiber laser </t>
  </si>
  <si>
    <t>US2006182153</t>
  </si>
  <si>
    <t xml:space="preserve">System and method for compressing video based on detected intraframe motion </t>
  </si>
  <si>
    <t>WO2009073827</t>
  </si>
  <si>
    <t xml:space="preserve">Video compression system and method for compensating for bandwidth limitations of a communication channel </t>
  </si>
  <si>
    <t>WO2009073833</t>
  </si>
  <si>
    <t xml:space="preserve">System and method for compressing video by allocating bits to image tiles based on detected intraframe motion or scene complexity </t>
  </si>
  <si>
    <t>WO2009073823</t>
  </si>
  <si>
    <t xml:space="preserve">System and method for storing program code and data within an application hosting center </t>
  </si>
  <si>
    <t>WO2009073826</t>
  </si>
  <si>
    <t xml:space="preserve">Pumping unit balance adjusting apparatus and pumping unit balance structure adjusting method </t>
  </si>
  <si>
    <t>CN101105119</t>
  </si>
  <si>
    <t xml:space="preserve">Systems and methods for balancing a business margin against a target customer value to fulfill a request to purchase a plurality of items </t>
  </si>
  <si>
    <t>WO2012141985</t>
  </si>
  <si>
    <t xml:space="preserve">Autonomous, self leveling, self correcting anti-motion sickness chair, bed and table </t>
  </si>
  <si>
    <t>US7490572</t>
  </si>
  <si>
    <t xml:space="preserve">Mobile Campaign Creation </t>
  </si>
  <si>
    <t>US2011145076</t>
  </si>
  <si>
    <t xml:space="preserve">Self-balancing hybrid circuit </t>
  </si>
  <si>
    <t>US3875350</t>
  </si>
  <si>
    <t xml:space="preserve">System and method for compressing video by adjusting tile size based on detected intraframe motion or scene complexity </t>
  </si>
  <si>
    <t>WO2009073825</t>
  </si>
  <si>
    <t xml:space="preserve">Automated Speech Recognition Proxy System for Natural Language Understanding </t>
  </si>
  <si>
    <t>US2014288932</t>
  </si>
  <si>
    <t xml:space="preserve">Methods of synthesizing three-dimensional heteroatom-doped carbon nanotube macro materials and compositions thereof </t>
  </si>
  <si>
    <t>US2012238021</t>
  </si>
  <si>
    <t>US2015220835</t>
  </si>
  <si>
    <t xml:space="preserve">Light Emitting Device and Electronic Equipment Using the Same </t>
  </si>
  <si>
    <t>US2011298396</t>
  </si>
  <si>
    <t xml:space="preserve">Method and apparatus for recording live performances </t>
  </si>
  <si>
    <t>US2003235316</t>
  </si>
  <si>
    <t xml:space="preserve">Device for business payment, identification and/or management </t>
  </si>
  <si>
    <t>RU2060540</t>
  </si>
  <si>
    <t xml:space="preserve">Apparatus for detecting discontinuity of ground conductor and leak detector having function of detecting discontinuity of ground conductor </t>
  </si>
  <si>
    <t>EP0787996</t>
  </si>
  <si>
    <t xml:space="preserve">System and method for patient care plan management </t>
  </si>
  <si>
    <t>US2013179178</t>
  </si>
  <si>
    <t xml:space="preserve">System and method of classifying financial transactions by usage patterns of a user </t>
  </si>
  <si>
    <t>US2013325681</t>
  </si>
  <si>
    <t xml:space="preserve">Predictive data management in a networked computing environment </t>
  </si>
  <si>
    <t>US2014089449</t>
  </si>
  <si>
    <t xml:space="preserve">Apparatus, media and method for capturing and processing spherical images </t>
  </si>
  <si>
    <t>WO0062542</t>
  </si>
  <si>
    <t xml:space="preserve">Method and system for correlating self-reporting virtual asset data with external events to generate an external event identification database </t>
  </si>
  <si>
    <t>US2016036835</t>
  </si>
  <si>
    <t xml:space="preserve">Automatic balance </t>
  </si>
  <si>
    <t>CN2364441</t>
  </si>
  <si>
    <t xml:space="preserve">A semiconductor element for electric power and a method of manufacturing the same </t>
  </si>
  <si>
    <t>KR20070032627</t>
  </si>
  <si>
    <t>WO0154476</t>
  </si>
  <si>
    <t xml:space="preserve">Distributed Electronic Commerce System, Method and Apparatus </t>
  </si>
  <si>
    <t>US2014025573</t>
  </si>
  <si>
    <t xml:space="preserve">Plant-level comprehensive supervision platform </t>
  </si>
  <si>
    <t>CN105187771</t>
  </si>
  <si>
    <t xml:space="preserve">Member-oriented hybrid cloud operating system architecture and communication method thereof </t>
  </si>
  <si>
    <t>US2015067135</t>
  </si>
  <si>
    <t xml:space="preserve">Cradle to grave design and management of systems </t>
  </si>
  <si>
    <t>US2013338970</t>
  </si>
  <si>
    <t xml:space="preserve">Method and apparatus for web-based application service model for security management </t>
  </si>
  <si>
    <t>CN1457587</t>
  </si>
  <si>
    <t xml:space="preserve">Methods and systems for wearable computing device </t>
  </si>
  <si>
    <t>US2016019423</t>
  </si>
  <si>
    <t xml:space="preserve">Camera array removing lens distortion </t>
  </si>
  <si>
    <t>US2016191815</t>
  </si>
  <si>
    <t>US2010117426</t>
  </si>
  <si>
    <t xml:space="preserve">Self-balancing electric vehicle with strain-based controls </t>
  </si>
  <si>
    <t>US2017106931</t>
  </si>
  <si>
    <t xml:space="preserve">Self-balance loading temporary anchoring device between main beam and platform </t>
  </si>
  <si>
    <t>CN201187039</t>
  </si>
  <si>
    <t xml:space="preserve">Self-balancing platform system </t>
  </si>
  <si>
    <t>CN102162231</t>
  </si>
  <si>
    <t xml:space="preserve">Self-balancing adjustment simple platform on complex ground </t>
  </si>
  <si>
    <t>CN202746888</t>
  </si>
  <si>
    <t xml:space="preserve">Fixed type freight transport hydraulic lifting platform self-balancing layer control system </t>
  </si>
  <si>
    <t>CN202829168</t>
  </si>
  <si>
    <t xml:space="preserve">Special self-balancing horizontal loading testing device for buckling-restrained energy-dissipation braces </t>
  </si>
  <si>
    <t>CN201993278</t>
  </si>
  <si>
    <t xml:space="preserve">"Hubless" self-balancing human transporter </t>
  </si>
  <si>
    <t>CN103608254</t>
  </si>
  <si>
    <t xml:space="preserve">Self-balancing precise vibration-isolating optical platform </t>
  </si>
  <si>
    <t>CN203658644</t>
  </si>
  <si>
    <t xml:space="preserve">Self-balancing load anchor device between girder section and bearing platform </t>
  </si>
  <si>
    <t>CN201406635</t>
  </si>
  <si>
    <t xml:space="preserve">Light self-balancing assembly car platform bridge </t>
  </si>
  <si>
    <t>CN201351262</t>
  </si>
  <si>
    <t xml:space="preserve">Self balanced elevating platform legs - has balance levers and torsion bars connecting gear units via hydraulic drive </t>
  </si>
  <si>
    <t>FR2473028</t>
  </si>
  <si>
    <t xml:space="preserve">Self balanced energy saving excavator </t>
  </si>
  <si>
    <t>CN2355001</t>
  </si>
  <si>
    <t xml:space="preserve">Self-balancing device for adjusting vertical height of rice canopy fisheye camera </t>
  </si>
  <si>
    <t>CN202614685</t>
  </si>
  <si>
    <t xml:space="preserve">Air cushion type self-balancing precision optical platform </t>
  </si>
  <si>
    <t>CN204276024</t>
  </si>
  <si>
    <t xml:space="preserve">Portable two-wheeled self-balancing personal transport vehicle </t>
  </si>
  <si>
    <t>US2017088212</t>
  </si>
  <si>
    <t xml:space="preserve">Fore-aft self-balancing transportation device with low and centered foot platform </t>
  </si>
  <si>
    <t>US9937973</t>
  </si>
  <si>
    <t xml:space="preserve">two-wheel self-balanced mobile platform having steering unit </t>
  </si>
  <si>
    <t>KR101004328</t>
  </si>
  <si>
    <t xml:space="preserve">Accessory for a self-balancing board </t>
  </si>
  <si>
    <t>US2017240240</t>
  </si>
  <si>
    <t xml:space="preserve">Self-balancing board having a suspension interface </t>
  </si>
  <si>
    <t>US9707470</t>
  </si>
  <si>
    <t xml:space="preserve">Self balancing airborne observational apparatus </t>
  </si>
  <si>
    <t>US2015239557</t>
  </si>
  <si>
    <t xml:space="preserve">System for controlling motion balance of dual-wheel auto balancing electric vehicle </t>
  </si>
  <si>
    <t>CN101691127</t>
  </si>
  <si>
    <t xml:space="preserve">Synergistic lift device for double gantry frame self balance oil cylinder winch </t>
  </si>
  <si>
    <t>CN2579868</t>
  </si>
  <si>
    <t xml:space="preserve">Self-balance space scanning support </t>
  </si>
  <si>
    <t>CN102080760</t>
  </si>
  <si>
    <t xml:space="preserve">Bridge arch rib self-balancing construction mounting structure </t>
  </si>
  <si>
    <t>CN201730055</t>
  </si>
  <si>
    <t xml:space="preserve">Self-balancing wave-resistant ship </t>
  </si>
  <si>
    <t>CN104554647</t>
  </si>
  <si>
    <t xml:space="preserve">Self-balancing mechanism of macrotype radio astronomy telescope source-feed locating platform </t>
  </si>
  <si>
    <t>CN100570374</t>
  </si>
  <si>
    <t xml:space="preserve">Double-cylinder floating self-balance clamping revolving platform </t>
  </si>
  <si>
    <t>CN204373897</t>
  </si>
  <si>
    <t xml:space="preserve">Kind of electric multifunction self-balancing lifting orchard picking work platform </t>
  </si>
  <si>
    <t>CN207659040</t>
  </si>
  <si>
    <t xml:space="preserve">Self-balancing and anti-silting seabed base </t>
  </si>
  <si>
    <t>CN202337351</t>
  </si>
  <si>
    <t xml:space="preserve">Steering unit and two-wheel self-balanced mobile platform having the same </t>
  </si>
  <si>
    <t>KR20100012067</t>
  </si>
  <si>
    <t xml:space="preserve">Y-shape interactive self-balance electro-mechanical integrated intelligent oil suction machine for cluster well </t>
  </si>
  <si>
    <t>CN2571998</t>
  </si>
  <si>
    <t>US8584782</t>
  </si>
  <si>
    <t xml:space="preserve">Tilt measuring-type wave-following piston type ship body self-balancing apparatus </t>
  </si>
  <si>
    <t>CN204264427</t>
  </si>
  <si>
    <t xml:space="preserve">Method and device for accomplishing self-balancing load and anchoring temporarily between main beam and platform </t>
  </si>
  <si>
    <t>CN101260651</t>
  </si>
  <si>
    <t xml:space="preserve">Self-balancing opening and closing system used for tooth-locked quick operating valve of large pressure vessel </t>
  </si>
  <si>
    <t>CN103498919</t>
  </si>
  <si>
    <t xml:space="preserve">Aircraft carrier, warship, submarine and offshore platform each with correcting device with high efficiency, load removal, swing stoppage and turnover resistance </t>
  </si>
  <si>
    <t>CN102658858</t>
  </si>
  <si>
    <t xml:space="preserve">Self balance electromechanical integrated intelligent oil pump unit of driven well rope wheel interactive </t>
  </si>
  <si>
    <t>CN2550498</t>
  </si>
  <si>
    <t xml:space="preserve">Self balance test table for prestress assembling spar </t>
  </si>
  <si>
    <t>CN2342365</t>
  </si>
  <si>
    <t xml:space="preserve">Self-balance type Archimedes bridge </t>
  </si>
  <si>
    <t>CN202090366</t>
  </si>
  <si>
    <t xml:space="preserve">Cluster well 'T' shaped upper set type mutual acting self balance mechanical electrical integrated intelligent oil pump machine </t>
  </si>
  <si>
    <t>CN2637718</t>
  </si>
  <si>
    <t xml:space="preserve">Self-balancing skateboard with strain-based controls and suspensions </t>
  </si>
  <si>
    <t>US9999827</t>
  </si>
  <si>
    <t xml:space="preserve">Self-balancing board with primary wheel and distal auxiliary wheel </t>
  </si>
  <si>
    <t>US10058765</t>
  </si>
  <si>
    <t xml:space="preserve">Single wheel self-balancing vehicle with tire permitting carving motion </t>
  </si>
  <si>
    <t>US10065103</t>
  </si>
  <si>
    <t xml:space="preserve">Lubricated thrust bearing bearing structure in self -balancing hengshui is moved in anti -interference </t>
  </si>
  <si>
    <t>CN204900526</t>
  </si>
  <si>
    <t xml:space="preserve">Device and method of self-balancing portable automatic control shear wall horizontal vertical load common effect performance test </t>
  </si>
  <si>
    <t>CN103033385</t>
  </si>
  <si>
    <t xml:space="preserve">Aircraft carrier, vessel, submarine and offshore platform with high-efficiency, load-removing, shake-preventing and turnover-resisting correcting device </t>
  </si>
  <si>
    <t>CN202728542</t>
  </si>
  <si>
    <t xml:space="preserve">Usage detection system for a self-balancing powered unicycle device </t>
  </si>
  <si>
    <t>US2017008593</t>
  </si>
  <si>
    <t xml:space="preserve">Multifunctional self-balancing loading frame for mechanical property tests of high-strength components </t>
  </si>
  <si>
    <t>CN203981503</t>
  </si>
  <si>
    <t xml:space="preserve">Self-balancing opening and closing system for meshed tooth type quick operating valve of large-size pressure vessel </t>
  </si>
  <si>
    <t>CN203516713</t>
  </si>
  <si>
    <t xml:space="preserve">Self-balancing arch rib vertical rotation and lift construction method </t>
  </si>
  <si>
    <t>CN102433843</t>
  </si>
  <si>
    <t xml:space="preserve">Loading force direction self-balanced loading device and force direction self-controlled numerical control knife rest static rigidity test platform </t>
  </si>
  <si>
    <t>CN104568424</t>
  </si>
  <si>
    <t xml:space="preserve">Walking type self-balancing rotating workbench </t>
  </si>
  <si>
    <t>CN104400768</t>
  </si>
  <si>
    <t xml:space="preserve">Intelligent self-balancing multi-wheel electric vehicle system </t>
  </si>
  <si>
    <t>CN102910235</t>
  </si>
  <si>
    <t xml:space="preserve">Load direction self-balanced loading device and force direction self-controlled numerical control cutter holder static stiffness test platform </t>
  </si>
  <si>
    <t>CN204461728</t>
  </si>
  <si>
    <t xml:space="preserve">Self-balanced turntable </t>
  </si>
  <si>
    <t>US1465331</t>
  </si>
  <si>
    <t xml:space="preserve">Self-balancing and absorption-resistant seabed substrate </t>
  </si>
  <si>
    <t>CN202213700</t>
  </si>
  <si>
    <t xml:space="preserve">Self-balancing lifting and overturning mechanism for liquid crystal substrate </t>
  </si>
  <si>
    <t>CN204078809</t>
  </si>
  <si>
    <t xml:space="preserve">Self balancing support substrate </t>
  </si>
  <si>
    <t>CN204152144</t>
  </si>
  <si>
    <t xml:space="preserve">Floating type wind power generation platform </t>
  </si>
  <si>
    <t>CN202152102</t>
  </si>
  <si>
    <t xml:space="preserve">Multi -functional balanced valve simple test platform </t>
  </si>
  <si>
    <t>CN206860574</t>
  </si>
  <si>
    <t xml:space="preserve">Apparatus and method for controlling the dynamic self-balancing vehicle </t>
  </si>
  <si>
    <t>JP6041488</t>
  </si>
  <si>
    <t xml:space="preserve">Self-balancing vehicle with two wheels inclined along with steering </t>
  </si>
  <si>
    <t>CN203601479</t>
  </si>
  <si>
    <t xml:space="preserve">Pontoon type following sea piston boat self-balancing device </t>
  </si>
  <si>
    <t>CN203996826</t>
  </si>
  <si>
    <t xml:space="preserve">Self-balancing swinging scaffold </t>
  </si>
  <si>
    <t>CN102381665</t>
  </si>
  <si>
    <t xml:space="preserve">Self-balancing lift car shock absorption base </t>
  </si>
  <si>
    <t>CN204096816</t>
  </si>
  <si>
    <t xml:space="preserve">Self-balancing gangway </t>
  </si>
  <si>
    <t>CN105015714</t>
  </si>
  <si>
    <t xml:space="preserve">Achieve self-balancing offshore wind foundation and wind turbine </t>
  </si>
  <si>
    <t>CN107762736</t>
  </si>
  <si>
    <t xml:space="preserve">Mechanism switches on and voltage developments self -balancing energy memory thereof </t>
  </si>
  <si>
    <t>CN206148755</t>
  </si>
  <si>
    <t xml:space="preserve">Bowstring truss type fully-enclosed hydraulic climbing formwork system and application method for same </t>
  </si>
  <si>
    <t>CN103061500</t>
  </si>
  <si>
    <t xml:space="preserve">Learning aid for central wheel structure auto-balancing device and auto-balancing device having same </t>
  </si>
  <si>
    <t>US2018154973</t>
  </si>
  <si>
    <t xml:space="preserve">Take self -balancing bearing structure's curvilinear figure bridge </t>
  </si>
  <si>
    <t>CN205893894</t>
  </si>
  <si>
    <t xml:space="preserve">Carriage board self-balance device for truck </t>
  </si>
  <si>
    <t>CN2127417</t>
  </si>
  <si>
    <t xml:space="preserve">Combined type offshore platform </t>
  </si>
  <si>
    <t>CN104554645</t>
  </si>
  <si>
    <t xml:space="preserve">Intelligent self-balancing transportation horizontal table </t>
  </si>
  <si>
    <t>CN103671690</t>
  </si>
  <si>
    <t xml:space="preserve">Entity presence detection system for a self-balancing powered unicycle device </t>
  </si>
  <si>
    <t>WO2016034839</t>
  </si>
  <si>
    <t xml:space="preserve">V shaped interactive self balanced electromechanical unitary intellectual oil sucker for multiple drilling </t>
  </si>
  <si>
    <t>CN2594459</t>
  </si>
  <si>
    <t xml:space="preserve">Self-balance micro-pressure generator </t>
  </si>
  <si>
    <t>CN201069407</t>
  </si>
  <si>
    <t xml:space="preserve">Multistage tandem type self -balancing staying unmanned aerial vehicle system </t>
  </si>
  <si>
    <t>CN206466170</t>
  </si>
  <si>
    <t xml:space="preserve">Multifunctional behaviors of high strength member of a test for self-balancing load frame </t>
  </si>
  <si>
    <t>CN104132849</t>
  </si>
  <si>
    <t xml:space="preserve">Self-balancing motorcycle steering offset calibration device and calibration method </t>
  </si>
  <si>
    <t>CN103017786</t>
  </si>
  <si>
    <t xml:space="preserve">Self-balanced cylindrical basket roundness detector </t>
  </si>
  <si>
    <t>CN207570462</t>
  </si>
  <si>
    <t xml:space="preserve">Self-balanced temp. micro multi-band infrared detector </t>
  </si>
  <si>
    <t>CN2372663</t>
  </si>
  <si>
    <t xml:space="preserve">L-shaped multi-well interdynamic self-balanced pumping unit </t>
  </si>
  <si>
    <t>CN2545365</t>
  </si>
  <si>
    <t xml:space="preserve">Self-reaction force balance load box testing platform </t>
  </si>
  <si>
    <t>CN201593207</t>
  </si>
  <si>
    <t xml:space="preserve">Tilt measurement with the wave-type hull self-balancing piston means </t>
  </si>
  <si>
    <t>CN104139837</t>
  </si>
  <si>
    <t xml:space="preserve">Universal self-balancing adjustable support </t>
  </si>
  <si>
    <t>CN201158935</t>
  </si>
  <si>
    <t xml:space="preserve">Lubricated thrust bearing in coordinated type self -balancing hengshui </t>
  </si>
  <si>
    <t>CN204878300</t>
  </si>
  <si>
    <t xml:space="preserve">Anti-disturbance self-balancing water lubricated thrust bearing support structure </t>
  </si>
  <si>
    <t>CN104989726</t>
  </si>
  <si>
    <t xml:space="preserve">Gravity pendulum ball and wave-following piston type hull self-balancing device </t>
  </si>
  <si>
    <t>CN203996823</t>
  </si>
  <si>
    <t xml:space="preserve">Self-balancing portable automatic control shear wall horizontal vertical load interaction performance test device </t>
  </si>
  <si>
    <t>CN203037475</t>
  </si>
  <si>
    <t xml:space="preserve">Floor self-balance derrick </t>
  </si>
  <si>
    <t>CN204150970</t>
  </si>
  <si>
    <t xml:space="preserve">Suspension type lifting and horizontal moving parking equipment after self -balancing </t>
  </si>
  <si>
    <t>CN204663090</t>
  </si>
  <si>
    <t xml:space="preserve">Oil recovery technology with self-balanced interactive intelligent electromechanical pumping unit for cluster well </t>
  </si>
  <si>
    <t>CN1386955</t>
  </si>
  <si>
    <t xml:space="preserve">Linkage type self-balancing water-lubricated thrust bearing </t>
  </si>
  <si>
    <t>CN105003528</t>
  </si>
  <si>
    <t xml:space="preserve">Self-balancing type space six-dimensional force/moment loading device </t>
  </si>
  <si>
    <t>CN104006920</t>
  </si>
  <si>
    <t xml:space="preserve">Self -propelled aerial working platform of automatically controlled axle balanced system and this system of application </t>
  </si>
  <si>
    <t>CN206242850</t>
  </si>
  <si>
    <t xml:space="preserve">Self-balancing assisting lifting device </t>
  </si>
  <si>
    <t>CN202659828</t>
  </si>
  <si>
    <t xml:space="preserve">Self-balancing liquid crystal substrate lifting and overturning mechanism </t>
  </si>
  <si>
    <t>CN104229440</t>
  </si>
  <si>
    <t xml:space="preserve">Self-balancing vehicle frame </t>
  </si>
  <si>
    <t>US9499228</t>
  </si>
  <si>
    <t xml:space="preserve">Bottom plate of self-propelled aerial work platform capable of automatically keeping rotary platform in balance </t>
  </si>
  <si>
    <t>CN201198271</t>
  </si>
  <si>
    <t xml:space="preserve">Offshore Cranes self-balancing control method </t>
  </si>
  <si>
    <t>CN103613000</t>
  </si>
  <si>
    <t xml:space="preserve">Traction type self balance ascending and descending ladder </t>
  </si>
  <si>
    <t>CN204384830</t>
  </si>
  <si>
    <t xml:space="preserve">Double-wheel automatic balancing electric vehicle equipped with crew sensors </t>
  </si>
  <si>
    <t>CN201457607</t>
  </si>
  <si>
    <t xml:space="preserve">Coagulation kinds of prefabricated house building caps self-balancing side mode </t>
  </si>
  <si>
    <t>CN207700206</t>
  </si>
  <si>
    <t xml:space="preserve">Work fill automatic levelling device based on gravity self -balancing </t>
  </si>
  <si>
    <t>CN205472506</t>
  </si>
  <si>
    <t xml:space="preserve">Self-balancing mounting seat holding rod method </t>
  </si>
  <si>
    <t>CN104276514</t>
  </si>
  <si>
    <t xml:space="preserve">Self-balanced vibrating sensor without power consumption </t>
  </si>
  <si>
    <t>CN2307288</t>
  </si>
  <si>
    <t xml:space="preserve">Self-elevating floating platform </t>
  </si>
  <si>
    <t>FR2713588</t>
  </si>
  <si>
    <t xml:space="preserve">Aircraft carriers, warships, submarines and offshore platforms with efficient load-eliminating swing-stopping capsizing-resisting correction devices </t>
  </si>
  <si>
    <t>CN104229094</t>
  </si>
  <si>
    <t xml:space="preserve">Self -balancing nipper constructs </t>
  </si>
  <si>
    <t>CN206426175</t>
  </si>
  <si>
    <t xml:space="preserve">Model shield tunneling machine starting device capable of achieving self-balancing of counter-force </t>
  </si>
  <si>
    <t>CN103256056</t>
  </si>
  <si>
    <t xml:space="preserve">Special oil-gas-water-sand separator for offshore oil field floating production &amp; storing apparatus </t>
  </si>
  <si>
    <t>CN2575294</t>
  </si>
  <si>
    <t xml:space="preserve">Triangle self -balancing swimming pool </t>
  </si>
  <si>
    <t>CN205663255</t>
  </si>
  <si>
    <t xml:space="preserve">Verifying system for super-large foundation pile bearing capacity self-balancing testing technique device </t>
  </si>
  <si>
    <t>CN105040751</t>
  </si>
  <si>
    <t xml:space="preserve">Method for replacing self-balancing backpressure type bridge single-support </t>
  </si>
  <si>
    <t>CN104153303</t>
  </si>
  <si>
    <t xml:space="preserve">Transformable self-balancing two-wheeled electric vehicle </t>
  </si>
  <si>
    <t>CN104859770</t>
  </si>
  <si>
    <t xml:space="preserve">Self-help balance and gait training system and method </t>
  </si>
  <si>
    <t>CN102921162</t>
  </si>
  <si>
    <t xml:space="preserve">Hydraulic self-balancing shutoff valve </t>
  </si>
  <si>
    <t>CN2208135</t>
  </si>
  <si>
    <t xml:space="preserve">Straight arm self-propelled high-altitude operating platform </t>
  </si>
  <si>
    <t>CN1724335</t>
  </si>
  <si>
    <t xml:space="preserve">Static balancing detector for large non-shaft gravity force self-centering revolving body </t>
  </si>
  <si>
    <t>CN201212847</t>
  </si>
  <si>
    <t xml:space="preserve">Self-balanced active current bridge for measuring the impedance of an external device </t>
  </si>
  <si>
    <t>US6696846</t>
  </si>
  <si>
    <t xml:space="preserve">Self-balancing annular space grid structure outer frame </t>
  </si>
  <si>
    <t>CN203682878</t>
  </si>
  <si>
    <t xml:space="preserve">Supercritical boiler fire coal heat value self-balance control loop distributed control system implementation method </t>
  </si>
  <si>
    <t>CN104238520</t>
  </si>
  <si>
    <t xml:space="preserve">Self-balancing crane </t>
  </si>
  <si>
    <t>US4567990</t>
  </si>
  <si>
    <t xml:space="preserve">Self-balancing core tube and shield segment testing machine </t>
  </si>
  <si>
    <t>CN203587332</t>
  </si>
  <si>
    <t xml:space="preserve">Balancing exerciser platform with shock absorber means </t>
  </si>
  <si>
    <t>US3416792</t>
  </si>
  <si>
    <t xml:space="preserve">Assembling self-disassembling balancing weight device </t>
  </si>
  <si>
    <t>CN2695425</t>
  </si>
  <si>
    <t xml:space="preserve">Ocean towing linear array two wings self-balance unfolded device </t>
  </si>
  <si>
    <t>CN1924614</t>
  </si>
  <si>
    <t xml:space="preserve">Pole mounted rotation platform and wind power generator </t>
  </si>
  <si>
    <t>US2011107684</t>
  </si>
  <si>
    <t xml:space="preserve">Interest of self-balancing hoop car of travelling </t>
  </si>
  <si>
    <t>CN204522306</t>
  </si>
  <si>
    <t xml:space="preserve">Electric-powered self-balancing scooter </t>
  </si>
  <si>
    <t>WO2017092163</t>
  </si>
  <si>
    <t xml:space="preserve">Hydraulic lifting system of self-installing oil production platform </t>
  </si>
  <si>
    <t>CN201722676</t>
  </si>
  <si>
    <t xml:space="preserve">Cable arrangement and lifting platform for stabilized load lifting </t>
  </si>
  <si>
    <t>US4883184</t>
  </si>
  <si>
    <t xml:space="preserve">Self-anchorage track laying type bridge inspection vehicle </t>
  </si>
  <si>
    <t>CN103194965</t>
  </si>
  <si>
    <t xml:space="preserve">Autonomic grid computing mechanism </t>
  </si>
  <si>
    <t>US7533168</t>
  </si>
  <si>
    <t xml:space="preserve">Lower extremity rehabilitation and exercise device </t>
  </si>
  <si>
    <t>US6811523</t>
  </si>
  <si>
    <t xml:space="preserve">Locking device for oil platforms </t>
  </si>
  <si>
    <t>US4627768</t>
  </si>
  <si>
    <t xml:space="preserve">Counter-balanced crane structure </t>
  </si>
  <si>
    <t>US3836010</t>
  </si>
  <si>
    <t xml:space="preserve">Hydraulic lifting system with self-installed oil production platform </t>
  </si>
  <si>
    <t>CN102011387</t>
  </si>
  <si>
    <t xml:space="preserve">Load balancing in a distributed telecommunications platform </t>
  </si>
  <si>
    <t>US2006209695</t>
  </si>
  <si>
    <t xml:space="preserve">Balancing vehicle with camber and toe-in </t>
  </si>
  <si>
    <t>US6357544</t>
  </si>
  <si>
    <t xml:space="preserve">Self-updating grid mechanism </t>
  </si>
  <si>
    <t>US7571227</t>
  </si>
  <si>
    <t xml:space="preserve">Self-resister exercising device </t>
  </si>
  <si>
    <t>US1372026</t>
  </si>
  <si>
    <t xml:space="preserve">Mechanical, electrical and hydraulic automatic leveling apparatus for work platform of lifting vehicle </t>
  </si>
  <si>
    <t>CN201240815</t>
  </si>
  <si>
    <t xml:space="preserve">Self Balanced Stand Inductive Charger </t>
  </si>
  <si>
    <t>US2015091501</t>
  </si>
  <si>
    <t xml:space="preserve">Recreational wheelie vehicle </t>
  </si>
  <si>
    <t>US7226062</t>
  </si>
  <si>
    <t xml:space="preserve">Folding cantilever support and method </t>
  </si>
  <si>
    <t>US7124988</t>
  </si>
  <si>
    <t xml:space="preserve">System and Method for a CDN Balancing and Sharing Platform </t>
  </si>
  <si>
    <t>US2009172167</t>
  </si>
  <si>
    <t xml:space="preserve">A self-balance static load testing device for a double-track whole-span box girder of a passenger dedicated line </t>
  </si>
  <si>
    <t>CN200979506</t>
  </si>
  <si>
    <t xml:space="preserve">Non-contact thermal platforms </t>
  </si>
  <si>
    <t>US7603028</t>
  </si>
  <si>
    <t xml:space="preserve">Self-elevating ocean platform hydraulic plug lifting system </t>
  </si>
  <si>
    <t>CN104110020</t>
  </si>
  <si>
    <t xml:space="preserve">Application infrastructure platform (AIP) </t>
  </si>
  <si>
    <t>US8126722</t>
  </si>
  <si>
    <t xml:space="preserve">Self leveling dispenser </t>
  </si>
  <si>
    <t>US4070072</t>
  </si>
  <si>
    <t xml:space="preserve">System and method for providing global self-service financial transaction terminals with worldwide web content, centralized management, and local and remote administration </t>
  </si>
  <si>
    <t>US7051096</t>
  </si>
  <si>
    <t xml:space="preserve">Distributed computer network having a rotating message delivery system suitable for use in load balancing and/or messaging failover </t>
  </si>
  <si>
    <t>US7111063</t>
  </si>
  <si>
    <t xml:space="preserve">Lower-revolving self-loading type light crane </t>
  </si>
  <si>
    <t>CN2454346</t>
  </si>
  <si>
    <t xml:space="preserve">Virtual computing resource dynamic management system of cloud computing service platform </t>
  </si>
  <si>
    <t>CN102681899</t>
  </si>
  <si>
    <t xml:space="preserve">Service oriented architecture for a transformation function in a data integration platform </t>
  </si>
  <si>
    <t>US8060553</t>
  </si>
  <si>
    <t xml:space="preserve">Service oriented architecture for a loading function in a data integration platform </t>
  </si>
  <si>
    <t>US8041760</t>
  </si>
  <si>
    <t xml:space="preserve">Self-healing grid mechanism </t>
  </si>
  <si>
    <t>US8041798</t>
  </si>
  <si>
    <t xml:space="preserve">Virtualized infrastructure platform for cloud data centers </t>
  </si>
  <si>
    <t>CN103281306</t>
  </si>
  <si>
    <t xml:space="preserve">Mobile guy derrick and counter balancing crane </t>
  </si>
  <si>
    <t>US3202299</t>
  </si>
  <si>
    <t xml:space="preserve">Harvester platform suspension and linkage system </t>
  </si>
  <si>
    <t>US3783594</t>
  </si>
  <si>
    <t xml:space="preserve">Load balancing in multi-grid systems using peer-to-peer protocols </t>
  </si>
  <si>
    <t>US8886744</t>
  </si>
  <si>
    <t xml:space="preserve">Self-balanced static-load testing device for building structure </t>
  </si>
  <si>
    <t>CN201348570</t>
  </si>
  <si>
    <t xml:space="preserve">Biological feedback balance detection, therapy and training apparatus </t>
  </si>
  <si>
    <t>CN1460448</t>
  </si>
  <si>
    <t xml:space="preserve">Distributed computing services platform </t>
  </si>
  <si>
    <t>US6990513</t>
  </si>
  <si>
    <t xml:space="preserve">Method and system for work load balancing </t>
  </si>
  <si>
    <t>US2013097321</t>
  </si>
  <si>
    <t xml:space="preserve">Magnetically balanced spinning apparatus </t>
  </si>
  <si>
    <t>US5506459</t>
  </si>
  <si>
    <t xml:space="preserve">Automatic balancing corona-protective chair </t>
  </si>
  <si>
    <t>CN201534508</t>
  </si>
  <si>
    <t xml:space="preserve">Regenerating data integration functions for transfer from a data integration platform </t>
  </si>
  <si>
    <t>US7761406</t>
  </si>
  <si>
    <t xml:space="preserve">Distributed, multi-model, self-learning platform for machine learning </t>
  </si>
  <si>
    <t>US2016132787</t>
  </si>
  <si>
    <t xml:space="preserve">System and Method for Elastic Scaling using a Container-Based Platform </t>
  </si>
  <si>
    <t>US2016205518</t>
  </si>
  <si>
    <t xml:space="preserve">Information platform </t>
  </si>
  <si>
    <t>US2004031052</t>
  </si>
  <si>
    <t xml:space="preserve">Services oriented architecture for handling metadata in a data integration platform </t>
  </si>
  <si>
    <t>US2005234969</t>
  </si>
  <si>
    <t xml:space="preserve">Security service for a services oriented architecture in a data integration platform </t>
  </si>
  <si>
    <t>US2006069717</t>
  </si>
  <si>
    <t xml:space="preserve">Monetaire wealth management platform </t>
  </si>
  <si>
    <t>US2004054610</t>
  </si>
  <si>
    <t xml:space="preserve">Service oriented architecture for an extract function in a data integration platform </t>
  </si>
  <si>
    <t>US2005240354</t>
  </si>
  <si>
    <t xml:space="preserve">Service oriented architecture for a message broker in a data integration platform </t>
  </si>
  <si>
    <t>US2006010195</t>
  </si>
  <si>
    <t xml:space="preserve">Wireless load balancing across bands </t>
  </si>
  <si>
    <t>US8320949</t>
  </si>
  <si>
    <t xml:space="preserve">Database system with methods providing a platform-independent self-describing data packet for transmitting information </t>
  </si>
  <si>
    <t>US6151602</t>
  </si>
  <si>
    <t xml:space="preserve">Apparatus and process for liquefaction of natural gases </t>
  </si>
  <si>
    <t>US3735600</t>
  </si>
  <si>
    <t xml:space="preserve">Apparatus and method for an automatic self-calibrating scale </t>
  </si>
  <si>
    <t>US5832417</t>
  </si>
  <si>
    <t xml:space="preserve">Vehicle </t>
  </si>
  <si>
    <t>US3145797</t>
  </si>
  <si>
    <t xml:space="preserve">Balancing means,lip actuating,locking and supporting means for dockboard assembly </t>
  </si>
  <si>
    <t>US3500486</t>
  </si>
  <si>
    <t xml:space="preserve">Overhead service unit </t>
  </si>
  <si>
    <t>US3095945</t>
  </si>
  <si>
    <t xml:space="preserve">Multi-track vehicle with lock and drive lean control system </t>
  </si>
  <si>
    <t>US5762351</t>
  </si>
  <si>
    <t xml:space="preserve">Cell load balancing method and devices thereof </t>
  </si>
  <si>
    <t>US8958812</t>
  </si>
  <si>
    <t xml:space="preserve">Apparatuses, methods and systems for a secure resource access and placement platform </t>
  </si>
  <si>
    <t>US8528059</t>
  </si>
  <si>
    <t xml:space="preserve">System for, and method of, monitoring the movements of mobile items </t>
  </si>
  <si>
    <t>US7327258</t>
  </si>
  <si>
    <t xml:space="preserve">Peer-to-peer content sharing/distribution networks </t>
  </si>
  <si>
    <t>US7783777</t>
  </si>
  <si>
    <t xml:space="preserve">Physiological diagnostic apparatus </t>
  </si>
  <si>
    <t>US3890958</t>
  </si>
  <si>
    <t xml:space="preserve">User interface service for a services oriented architecture in a data integration platform </t>
  </si>
  <si>
    <t>US7814142</t>
  </si>
  <si>
    <t xml:space="preserve">Multiple service bindings for a real time data integration service </t>
  </si>
  <si>
    <t>US7814470</t>
  </si>
  <si>
    <t xml:space="preserve">Security Enhanced Data Platform </t>
  </si>
  <si>
    <t>US8161527</t>
  </si>
  <si>
    <t xml:space="preserve">Logging service for a services oriented architecture in a data integration platform </t>
  </si>
  <si>
    <t>US2005262193</t>
  </si>
  <si>
    <t xml:space="preserve">Instructional system grouping student terminals </t>
  </si>
  <si>
    <t>US6760748</t>
  </si>
  <si>
    <t xml:space="preserve">System and method for dynamic, transparent migration of services </t>
  </si>
  <si>
    <t>US7165107</t>
  </si>
  <si>
    <t xml:space="preserve">System and method for creating and managing survivable, service hosting networks </t>
  </si>
  <si>
    <t>US7194543</t>
  </si>
  <si>
    <t xml:space="preserve">System and method for a context layer switch </t>
  </si>
  <si>
    <t>US8504718</t>
  </si>
  <si>
    <t xml:space="preserve">Mobile provisioning tool system </t>
  </si>
  <si>
    <t>US7239877</t>
  </si>
  <si>
    <t xml:space="preserve">Fast path caching </t>
  </si>
  <si>
    <t>US6986015</t>
  </si>
  <si>
    <t xml:space="preserve">Fault monitor for restarting failed instances of the fault monitor </t>
  </si>
  <si>
    <t>US6718486</t>
  </si>
  <si>
    <t xml:space="preserve">Locking technique for control and synchronization </t>
  </si>
  <si>
    <t>US6973549</t>
  </si>
  <si>
    <t xml:space="preserve">Scheduling and planning maintenance and service in a network-based supply chain environment </t>
  </si>
  <si>
    <t>US7716077</t>
  </si>
  <si>
    <t xml:space="preserve">Structured methodology and design patterns for web services </t>
  </si>
  <si>
    <t>US7831693</t>
  </si>
  <si>
    <t>US6988138</t>
  </si>
  <si>
    <t xml:space="preserve">Method and apparatus for managing and facilitating communications in a distributed hetergeneous network </t>
  </si>
  <si>
    <t>US5317568</t>
  </si>
  <si>
    <t xml:space="preserve">System and method for generating Web Service architectures using a Web Services structured methodology </t>
  </si>
  <si>
    <t>US7698398</t>
  </si>
  <si>
    <t xml:space="preserve">I/O primitives </t>
  </si>
  <si>
    <t>US7013379</t>
  </si>
  <si>
    <t xml:space="preserve">System and method for generating secure Web service architectures using a Web Services security assessment methodology </t>
  </si>
  <si>
    <t>US8346929</t>
  </si>
  <si>
    <t xml:space="preserve">System and method for integration of web services </t>
  </si>
  <si>
    <t>US8069435</t>
  </si>
  <si>
    <t xml:space="preserve">Layup apparatus </t>
  </si>
  <si>
    <t>US3616070</t>
  </si>
  <si>
    <t xml:space="preserve">Methods for ultrafiltration control in hemodialysis </t>
  </si>
  <si>
    <t>US5725776</t>
  </si>
  <si>
    <t>US7137126</t>
  </si>
  <si>
    <t xml:space="preserve">Clustered hierarchical file services </t>
  </si>
  <si>
    <t>US7627617</t>
  </si>
  <si>
    <t xml:space="preserve">Method and apparatus for data partitioning and replication in a searchable data service </t>
  </si>
  <si>
    <t>US7685109</t>
  </si>
  <si>
    <t xml:space="preserve">Automated meter reading system </t>
  </si>
  <si>
    <t>US6088659</t>
  </si>
  <si>
    <t xml:space="preserve">Systems and methods for establishing a cloud bridge between virtual storage resources </t>
  </si>
  <si>
    <t>US8578076</t>
  </si>
  <si>
    <t xml:space="preserve">Fast path for performing data operations </t>
  </si>
  <si>
    <t>US7280536</t>
  </si>
  <si>
    <t xml:space="preserve">Dynamic and variable length extents </t>
  </si>
  <si>
    <t>US6959373</t>
  </si>
  <si>
    <t xml:space="preserve">Integrated forensics platform for analyzing IT resources consumed to derive operational and architectural recommendations </t>
  </si>
  <si>
    <t>US8880682</t>
  </si>
  <si>
    <t xml:space="preserve">Intelligent communication routing system and method </t>
  </si>
  <si>
    <t>US8300798</t>
  </si>
  <si>
    <t xml:space="preserve">Amphibian stable floating platform, sinking and floating method of house thereof and application thereof </t>
  </si>
  <si>
    <t>CN101966868</t>
  </si>
  <si>
    <t xml:space="preserve">System and method for facsimile load balancing </t>
  </si>
  <si>
    <t>US5917615</t>
  </si>
  <si>
    <t xml:space="preserve">Smart electric vehicle (ev) charging and grid integration apparatus and methods </t>
  </si>
  <si>
    <t>US2013179061</t>
  </si>
  <si>
    <t xml:space="preserve">Motor vehicle cockpit </t>
  </si>
  <si>
    <t>US6601902</t>
  </si>
  <si>
    <t xml:space="preserve">Method and system for network management providing access to application bandwidth usage calculations </t>
  </si>
  <si>
    <t>US7415038</t>
  </si>
  <si>
    <t xml:space="preserve">Three-dimensional real-time monitoring of attributes of computer software processes </t>
  </si>
  <si>
    <t>US5720018</t>
  </si>
  <si>
    <t xml:space="preserve">Wheel balancer </t>
  </si>
  <si>
    <t>US6244108</t>
  </si>
  <si>
    <t xml:space="preserve">Enclosure which is fire-resistive for a predetermined period of time </t>
  </si>
  <si>
    <t>US6119411</t>
  </si>
  <si>
    <t xml:space="preserve">Microcloud platform delivery system </t>
  </si>
  <si>
    <t>US2012030672</t>
  </si>
  <si>
    <t xml:space="preserve">Camera crane </t>
  </si>
  <si>
    <t>US6517207</t>
  </si>
  <si>
    <t>US7372952</t>
  </si>
  <si>
    <t xml:space="preserve">Method and apparatus for providing process-container platforms </t>
  </si>
  <si>
    <t>US2003037181</t>
  </si>
  <si>
    <t xml:space="preserve">Cloud-based management platform for heterogeneous wireless devices </t>
  </si>
  <si>
    <t>US2014328190</t>
  </si>
  <si>
    <t xml:space="preserve">Processing for distinguishing pen gestures and dynamic self-calibration of pen-based computing systems </t>
  </si>
  <si>
    <t>US2006227116</t>
  </si>
  <si>
    <t xml:space="preserve">Self-aligning pivoting seat exercise machine </t>
  </si>
  <si>
    <t>US2005032611</t>
  </si>
  <si>
    <t xml:space="preserve">Method and apparatus for balancing electric potential of human body </t>
  </si>
  <si>
    <t>US2004267168</t>
  </si>
  <si>
    <t xml:space="preserve">Common platform for use in automotive services </t>
  </si>
  <si>
    <t>US6892216</t>
  </si>
  <si>
    <t xml:space="preserve">Migrating integration processes among data integration platforms </t>
  </si>
  <si>
    <t>US2005243604</t>
  </si>
  <si>
    <t xml:space="preserve">Social Match Platform Apparatuses, Methods and Systems </t>
  </si>
  <si>
    <t>US2015127565</t>
  </si>
  <si>
    <t xml:space="preserve">Distributed session listing and content discovery </t>
  </si>
  <si>
    <t>US7277946</t>
  </si>
  <si>
    <t xml:space="preserve">Bell gyro and improved means for operating same </t>
  </si>
  <si>
    <t>US3656354</t>
  </si>
  <si>
    <t xml:space="preserve">Inflatable core orbital construction method and space station </t>
  </si>
  <si>
    <t>US4730797</t>
  </si>
  <si>
    <t xml:space="preserve">Apparatus, method and computer program product to produce or direct movements in synergic timed correlation with physiological activity </t>
  </si>
  <si>
    <t>US6644976</t>
  </si>
  <si>
    <t xml:space="preserve">Self-contained solar tracking device </t>
  </si>
  <si>
    <t>US4226502</t>
  </si>
  <si>
    <t xml:space="preserve">Method and apparatus for providing cross-platform hardware support for computer platforms </t>
  </si>
  <si>
    <t>US2007067769</t>
  </si>
  <si>
    <t xml:space="preserve">Computing platform having transparent access to resources of a host platform </t>
  </si>
  <si>
    <t>US2007074192</t>
  </si>
  <si>
    <t xml:space="preserve">Powered airfoil canopy aircraft </t>
  </si>
  <si>
    <t>US4934630</t>
  </si>
  <si>
    <t xml:space="preserve">Self-leveling mount or platform for a rapid deployment system </t>
  </si>
  <si>
    <t>US5735497</t>
  </si>
  <si>
    <t xml:space="preserve">Method and apparatus for loading and unloading cargo from a twin-hull sea-going ship </t>
  </si>
  <si>
    <t>US6550408</t>
  </si>
  <si>
    <t xml:space="preserve">Software automated testing unified operation platform </t>
  </si>
  <si>
    <t>CN103136101</t>
  </si>
  <si>
    <t xml:space="preserve">Method and system for restricting and enhancing topology displays for multi-customer logical networks within a network management system </t>
  </si>
  <si>
    <t>US7310666</t>
  </si>
  <si>
    <t xml:space="preserve">Dynamic load balancing of a network of client and server computer </t>
  </si>
  <si>
    <t>US2003126200</t>
  </si>
  <si>
    <t xml:space="preserve">Balance management for pre-paid services </t>
  </si>
  <si>
    <t>US2005075957</t>
  </si>
  <si>
    <t xml:space="preserve">Customized retailer portal within an analytic platform </t>
  </si>
  <si>
    <t>US2008294996</t>
  </si>
  <si>
    <t xml:space="preserve">Wi-Fi service delivery platform for retail service providers </t>
  </si>
  <si>
    <t>US2005177515</t>
  </si>
  <si>
    <t xml:space="preserve">Production of optical pulses at a desired wavelength using solition self-frequency shift in higher-order-mode fiber </t>
  </si>
  <si>
    <t>US2010086251</t>
  </si>
  <si>
    <t xml:space="preserve">System and Methodology for Parallel Stream Processing </t>
  </si>
  <si>
    <t>US2009171999</t>
  </si>
  <si>
    <t xml:space="preserve">Oil extractor with multi-stage deloading device and self-protection mechanism </t>
  </si>
  <si>
    <t>CN201486534</t>
  </si>
  <si>
    <t xml:space="preserve">Real-time multicast peer-to-peer video streaming platform </t>
  </si>
  <si>
    <t>US2008133767</t>
  </si>
  <si>
    <t xml:space="preserve">Methods and systems for real time integration services </t>
  </si>
  <si>
    <t>US2005086360</t>
  </si>
  <si>
    <t xml:space="preserve">System and method for automated code generation using language neutral software code </t>
  </si>
  <si>
    <t>US7263686</t>
  </si>
  <si>
    <t xml:space="preserve">Cloud-based desktop and subscription application platform apparatuses, methods and systems </t>
  </si>
  <si>
    <t>US2011231280</t>
  </si>
  <si>
    <t xml:space="preserve">Middleware Services Framework for On-Premises and Cloud Deployment </t>
  </si>
  <si>
    <t>US2012324069</t>
  </si>
  <si>
    <t xml:space="preserve">Client server system with thin client architecture </t>
  </si>
  <si>
    <t>US2002065879</t>
  </si>
  <si>
    <t xml:space="preserve">Virtual server operating on one or more client devices </t>
  </si>
  <si>
    <t>US2005240558</t>
  </si>
  <si>
    <t xml:space="preserve">Self-adaptive coverage of wireless networks </t>
  </si>
  <si>
    <t>US2015141027</t>
  </si>
  <si>
    <t xml:space="preserve">Data integration through a services oriented architecture </t>
  </si>
  <si>
    <t>US2005223109</t>
  </si>
  <si>
    <t xml:space="preserve">Real time data integration services for financial information data integration </t>
  </si>
  <si>
    <t>US2005222931</t>
  </si>
  <si>
    <t xml:space="preserve">Real time data integration services for health care information data integration </t>
  </si>
  <si>
    <t>US2005228808</t>
  </si>
  <si>
    <t xml:space="preserve">Real time data integration for supply chain management </t>
  </si>
  <si>
    <t>US2005240592</t>
  </si>
  <si>
    <t xml:space="preserve">Vehicle middleware </t>
  </si>
  <si>
    <t>US2013145482</t>
  </si>
  <si>
    <t xml:space="preserve">Assistive listening system with plug in enhancement platform and communication port to download user preferred processing algorithms </t>
  </si>
  <si>
    <t>US2009074214</t>
  </si>
  <si>
    <t xml:space="preserve">System and methods for a multi-channel payment platform </t>
  </si>
  <si>
    <t>US2010049654</t>
  </si>
  <si>
    <t xml:space="preserve">On board vehicle networking module </t>
  </si>
  <si>
    <t>US2013204466</t>
  </si>
  <si>
    <t xml:space="preserve">Enclosure fire-resistive for a predetermined time </t>
  </si>
  <si>
    <t>US5740635</t>
  </si>
  <si>
    <t xml:space="preserve">Real time data integration for inventory management </t>
  </si>
  <si>
    <t>US2005235274</t>
  </si>
  <si>
    <t xml:space="preserve">File Aggregation in a Switched File System </t>
  </si>
  <si>
    <t>US2009077097</t>
  </si>
  <si>
    <t>US2009106255</t>
  </si>
  <si>
    <t xml:space="preserve">System and method for short range telemetry to measure a parameter of the muscular-skeletal system </t>
  </si>
  <si>
    <t>US2010331633</t>
  </si>
  <si>
    <t xml:space="preserve">Method and system for a network management framework with redundant failover methodology </t>
  </si>
  <si>
    <t>US2003009551</t>
  </si>
  <si>
    <t xml:space="preserve">Systems and methods for monitoring a network of moving things </t>
  </si>
  <si>
    <t>US2017085437</t>
  </si>
  <si>
    <t xml:space="preserve">Internet communications and e-commerce platform </t>
  </si>
  <si>
    <t>US2001032154</t>
  </si>
  <si>
    <t xml:space="preserve">System, method and article of manufacturing for a runtime program analysis tool for a simulation engine </t>
  </si>
  <si>
    <t>US6782374</t>
  </si>
  <si>
    <t xml:space="preserve">Factorization of concerns to build a SDP (Service delivery platform) </t>
  </si>
  <si>
    <t>US2007204017</t>
  </si>
  <si>
    <t xml:space="preserve">Account number based bill payment platform apparatuses, methods and systems </t>
  </si>
  <si>
    <t>US2012136780</t>
  </si>
  <si>
    <t xml:space="preserve">Mechanism for System-Wide Target Host Optimization in Load Balancing Virtualization Systems </t>
  </si>
  <si>
    <t>US2012036515</t>
  </si>
  <si>
    <t xml:space="preserve">Virtualization of hardware queues in self-virtualizing input/output devices </t>
  </si>
  <si>
    <t>US2012151472</t>
  </si>
  <si>
    <t xml:space="preserve">Gantry type four dimensional automatic measurement used for detecting display screen color performance </t>
  </si>
  <si>
    <t>CN101118719</t>
  </si>
  <si>
    <t xml:space="preserve">Mechanism for Automatic Scaling of Application Resources in a Multi-Tenant Platform-as-a-Service (PaaS) Environment in a Cloud Computing System </t>
  </si>
  <si>
    <t>US2014068611</t>
  </si>
  <si>
    <t xml:space="preserve">System and method for managing communications with mobile platforms operating within a predefined geographic area </t>
  </si>
  <si>
    <t>US2007184846</t>
  </si>
  <si>
    <t xml:space="preserve">System and method for localized and/or topic-driven content distribution for mobile devices </t>
  </si>
  <si>
    <t>US2010088187</t>
  </si>
  <si>
    <t xml:space="preserve">Personal Nutrition and Wellness Advisor </t>
  </si>
  <si>
    <t>US2012083669</t>
  </si>
  <si>
    <t xml:space="preserve">Systems and methods for managing resource utilization in information management environments </t>
  </si>
  <si>
    <t>US2003046396</t>
  </si>
  <si>
    <t xml:space="preserve">Internet-based education support system and method with multi-language capability </t>
  </si>
  <si>
    <t>US2004030781</t>
  </si>
  <si>
    <t xml:space="preserve">System and method for designing, developing and implementing internet service provider architectures </t>
  </si>
  <si>
    <t>US2003172145</t>
  </si>
  <si>
    <t xml:space="preserve">Method and system for delivering multiple services electronically to customers via a centralized portal architecture </t>
  </si>
  <si>
    <t>US2003120593</t>
  </si>
  <si>
    <t xml:space="preserve">Methods, Apparatus and Systems for Managing Converged Gateway Communications </t>
  </si>
  <si>
    <t>US2014341109</t>
  </si>
  <si>
    <t xml:space="preserve">Systems and methods for resource usage accounting in information management environments </t>
  </si>
  <si>
    <t>US2002194251</t>
  </si>
  <si>
    <t xml:space="preserve">Enterprise energy automation </t>
  </si>
  <si>
    <t>US2005234600</t>
  </si>
  <si>
    <t xml:space="preserve">System and apparatus for accelerating content delivery throughout networks </t>
  </si>
  <si>
    <t>US2003237016</t>
  </si>
  <si>
    <t xml:space="preserve">Systems and methods to secure a virtual appliance </t>
  </si>
  <si>
    <t>US2011107406</t>
  </si>
  <si>
    <t xml:space="preserve">Integrated sensor and interconnect for measuring a parameter of the muscular-skeletal system </t>
  </si>
  <si>
    <t>US2010331738</t>
  </si>
  <si>
    <t xml:space="preserve">System to Monitor and Maintain Balance of Factory Quality Attributes Within a Software Factory Operating Environment </t>
  </si>
  <si>
    <t>US2009055795</t>
  </si>
  <si>
    <t xml:space="preserve">Push messaging platform with high scalability and high availability </t>
  </si>
  <si>
    <t>US2013117382</t>
  </si>
  <si>
    <t xml:space="preserve">Event-driven queuing system and method </t>
  </si>
  <si>
    <t>US2005165881</t>
  </si>
  <si>
    <t xml:space="preserve">Network selector in a vehicle infotainment system </t>
  </si>
  <si>
    <t>US2013219039</t>
  </si>
  <si>
    <t xml:space="preserve">Server-side application programming interface for a real time data integration service </t>
  </si>
  <si>
    <t>US2005262189</t>
  </si>
  <si>
    <t xml:space="preserve">Smart joint implant sensors </t>
  </si>
  <si>
    <t>US2008065225</t>
  </si>
  <si>
    <t xml:space="preserve">Method and system for network management with platform-independent protocol interface for discovery and monitoring processes </t>
  </si>
  <si>
    <t>US2002124094</t>
  </si>
  <si>
    <t xml:space="preserve">Market-Based Virtual Machine Allocation </t>
  </si>
  <si>
    <t>US2013304903</t>
  </si>
  <si>
    <t xml:space="preserve">Automated insurance system and method </t>
  </si>
  <si>
    <t>US2002002475</t>
  </si>
  <si>
    <t xml:space="preserve">Configuring design centers, assembly lines and job shops of a global delivery network into "on demand" factories </t>
  </si>
  <si>
    <t>US2010017782</t>
  </si>
  <si>
    <t xml:space="preserve">Transparent User Interface Integration Between Local and Remote Computing Environments </t>
  </si>
  <si>
    <t>US2012226742</t>
  </si>
  <si>
    <t xml:space="preserve">Software executables having virtual hardware, operating systems, and networks </t>
  </si>
  <si>
    <t>US2008028401</t>
  </si>
  <si>
    <t xml:space="preserve">On board vehicle network security </t>
  </si>
  <si>
    <t>US2013227648</t>
  </si>
  <si>
    <t xml:space="preserve">On board vehicle media controller </t>
  </si>
  <si>
    <t>US2013200991</t>
  </si>
  <si>
    <t>US2013198802</t>
  </si>
  <si>
    <t xml:space="preserve">Location-based real time data integration services </t>
  </si>
  <si>
    <t>US2005232046</t>
  </si>
  <si>
    <t xml:space="preserve">Enterprise management system </t>
  </si>
  <si>
    <t>US2006041660</t>
  </si>
  <si>
    <t xml:space="preserve">Method and system for information communication between potential positionees and positionors </t>
  </si>
  <si>
    <t>US2003009437</t>
  </si>
  <si>
    <t xml:space="preserve">Squirrel-proof bird feeder </t>
  </si>
  <si>
    <t>US5309867</t>
  </si>
  <si>
    <t xml:space="preserve">Systems and methods for adaptive load balanced communications, routing, filtering, and access control in distributed networks </t>
  </si>
  <si>
    <t>US2015271255</t>
  </si>
  <si>
    <t xml:space="preserve">On board vehicle diagnostic module </t>
  </si>
  <si>
    <t>US2013204484</t>
  </si>
  <si>
    <t xml:space="preserve">On board vehicle presence reporting module </t>
  </si>
  <si>
    <t>US2013203400</t>
  </si>
  <si>
    <t xml:space="preserve">On board vehicle remote control module </t>
  </si>
  <si>
    <t>US2014143839</t>
  </si>
  <si>
    <t xml:space="preserve">Cloud Based Elastic Load Allocation for Multi-media Conferencing </t>
  </si>
  <si>
    <t>US2014280595</t>
  </si>
  <si>
    <t xml:space="preserve">Systems and methods for cloud bridging between public and private clouds </t>
  </si>
  <si>
    <t>US2012281708</t>
  </si>
  <si>
    <t xml:space="preserve">Self-immersing wetting balance </t>
  </si>
  <si>
    <t>US6286368</t>
  </si>
  <si>
    <t xml:space="preserve">Fault-tolerance framework for an extendable computer architecture </t>
  </si>
  <si>
    <t>US2004205414</t>
  </si>
  <si>
    <t xml:space="preserve">Bandwidth Management For A Converged Gateway In A Hybrid Network </t>
  </si>
  <si>
    <t>US2012071168</t>
  </si>
  <si>
    <t xml:space="preserve">Personal Virtual Assistant </t>
  </si>
  <si>
    <t>US2009018834</t>
  </si>
  <si>
    <t xml:space="preserve">In-Application Commerce System and Method with Fraud Detection </t>
  </si>
  <si>
    <t>US2012130853</t>
  </si>
  <si>
    <t xml:space="preserve">Beacon Services in a Content Delivery Framework </t>
  </si>
  <si>
    <t>US2014337472</t>
  </si>
  <si>
    <t xml:space="preserve">Multi-services application gateway and system employing the same </t>
  </si>
  <si>
    <t>US2015074259</t>
  </si>
  <si>
    <t xml:space="preserve">Heat exchange devices </t>
  </si>
  <si>
    <t>US2011107512</t>
  </si>
  <si>
    <t xml:space="preserve">System and method for secure cloud service delivery with prioritized services in a network environment </t>
  </si>
  <si>
    <t>US2013311778</t>
  </si>
  <si>
    <t xml:space="preserve">Integrated intelligent server based system and method/systems adapted to facilitate fail-safe integration and/or optimized utilization of various sensory inputs </t>
  </si>
  <si>
    <t>US2012179742</t>
  </si>
  <si>
    <t xml:space="preserve">Gas-target neutron generation and applications </t>
  </si>
  <si>
    <t>US2003152186</t>
  </si>
  <si>
    <t xml:space="preserve">Reverse Seamless Integration Between Local and Remote Computing Environments </t>
  </si>
  <si>
    <t>US2012324365</t>
  </si>
  <si>
    <t xml:space="preserve">Distributed storage system with web services client interface </t>
  </si>
  <si>
    <t>US2011161293</t>
  </si>
  <si>
    <t xml:space="preserve">Methods, Apparatus and Systems for Inter-Converged Gateway (ICGW) Communications </t>
  </si>
  <si>
    <t>US2014153489</t>
  </si>
  <si>
    <t xml:space="preserve">Methods And Devices For Sequencing Nucleic Acids In Smaller Batches </t>
  </si>
  <si>
    <t>US2010323350</t>
  </si>
  <si>
    <t xml:space="preserve">Multimedia system and method for controlling vending machines </t>
  </si>
  <si>
    <t>US2007100696</t>
  </si>
  <si>
    <t xml:space="preserve">Wireless management of remote vending machines </t>
  </si>
  <si>
    <t>US2007095901</t>
  </si>
  <si>
    <t xml:space="preserve">Self-propelled mobile cradle for boats </t>
  </si>
  <si>
    <t>US4915577</t>
  </si>
  <si>
    <t>EP1081664</t>
  </si>
  <si>
    <t>CN204952213</t>
  </si>
  <si>
    <t xml:space="preserve">Self-propelled crane </t>
  </si>
  <si>
    <t>US3631988</t>
  </si>
  <si>
    <t xml:space="preserve">Double mast side loader lift truck and double actuator balancing </t>
  </si>
  <si>
    <t>US3757899</t>
  </si>
  <si>
    <t xml:space="preserve">Virtual machine load balancing </t>
  </si>
  <si>
    <t>US2012324112</t>
  </si>
  <si>
    <t xml:space="preserve">Balanced push-ups for core strengthening </t>
  </si>
  <si>
    <t>US2013316886</t>
  </si>
  <si>
    <t xml:space="preserve">Femtocell architecture for information management </t>
  </si>
  <si>
    <t>US2009286540</t>
  </si>
  <si>
    <t xml:space="preserve">System and method for a cloud computing abstraction with self-service portal </t>
  </si>
  <si>
    <t>US2014278623</t>
  </si>
  <si>
    <t xml:space="preserve">Motorized apparatus and method for dynamic balancing exercise </t>
  </si>
  <si>
    <t>US2007254789</t>
  </si>
  <si>
    <t xml:space="preserve">Operation management method of electric power system cloud simulation platform </t>
  </si>
  <si>
    <t>CN104463492</t>
  </si>
  <si>
    <t xml:space="preserve">System and method for providing a micro-services communication platform </t>
  </si>
  <si>
    <t>US2016112475</t>
  </si>
  <si>
    <t xml:space="preserve">Self-healing factory processes in a software factory </t>
  </si>
  <si>
    <t>US2010031090</t>
  </si>
  <si>
    <t xml:space="preserve">Mesh Puppetry </t>
  </si>
  <si>
    <t>US2008309664</t>
  </si>
  <si>
    <t xml:space="preserve">Optimizing symbol manipulation language-based executable applications for distributed execution </t>
  </si>
  <si>
    <t>US2012159459</t>
  </si>
  <si>
    <t xml:space="preserve">High-speed floor treating machine </t>
  </si>
  <si>
    <t>US4122576</t>
  </si>
  <si>
    <t>WO2014176503</t>
  </si>
  <si>
    <t xml:space="preserve">Energy management system for power transmission to an intelligent electricity grid from a multi-resource renewable energy installation </t>
  </si>
  <si>
    <t>US2012150679</t>
  </si>
  <si>
    <t xml:space="preserve">Balancing machine </t>
  </si>
  <si>
    <t>US2898764</t>
  </si>
  <si>
    <t xml:space="preserve">Self-adaptive and proactive virtual machine images adjustment to environmental security risks in a cloud environment </t>
  </si>
  <si>
    <t>US2014053226</t>
  </si>
  <si>
    <t xml:space="preserve">Method for trimming resistors </t>
  </si>
  <si>
    <t>US7119656</t>
  </si>
  <si>
    <t xml:space="preserve">Media filter in a vehicle infotainment system </t>
  </si>
  <si>
    <t>US2013205026</t>
  </si>
  <si>
    <t xml:space="preserve">Mechanism for Controlling Utilization in a Multi-Tenant Platform-as-a-Service (PaaS) Environment in a Cloud Computing System </t>
  </si>
  <si>
    <t>US2013326507</t>
  </si>
  <si>
    <t xml:space="preserve">Client side interface for real time data integration jobs </t>
  </si>
  <si>
    <t>US2005262190</t>
  </si>
  <si>
    <t>US2013204943</t>
  </si>
  <si>
    <t xml:space="preserve">Occupant sharing of displayed content in vehicles </t>
  </si>
  <si>
    <t>US2013218412</t>
  </si>
  <si>
    <t xml:space="preserve">System and method for providing virtual private networks </t>
  </si>
  <si>
    <t>US2010142410</t>
  </si>
  <si>
    <t>US2013205412</t>
  </si>
  <si>
    <t>WO9953130</t>
  </si>
  <si>
    <t xml:space="preserve">Method, apparatus and program storage device for providing adaptive, attribute driven, closed-loop storage management configuration and control </t>
  </si>
  <si>
    <t>US2006161752</t>
  </si>
  <si>
    <t xml:space="preserve">Method and apparatus for providing a remotely managed expandable computer system </t>
  </si>
  <si>
    <t>US2011153798</t>
  </si>
  <si>
    <t xml:space="preserve">Integrated circuit for executing radio resource management and self configurating cut-in point </t>
  </si>
  <si>
    <t>CN2847709</t>
  </si>
  <si>
    <t xml:space="preserve">Recruitment Interaction Management System </t>
  </si>
  <si>
    <t>US2013046704</t>
  </si>
  <si>
    <t xml:space="preserve">System, method and computer program product for automatic topic identification using a hypertext corpus </t>
  </si>
  <si>
    <t>US2013246430</t>
  </si>
  <si>
    <t xml:space="preserve">Systems and methods for efficient xpath processing </t>
  </si>
  <si>
    <t>US2011153630</t>
  </si>
  <si>
    <t xml:space="preserve">Binocular vision assessment and/or therapy </t>
  </si>
  <si>
    <t>US2010283969</t>
  </si>
  <si>
    <t xml:space="preserve">Gyratory crusher with hydrostatic bearings </t>
  </si>
  <si>
    <t>US2004035967</t>
  </si>
  <si>
    <t xml:space="preserve">Invalidation systems, methods, and devices </t>
  </si>
  <si>
    <t>US2014172944</t>
  </si>
  <si>
    <t xml:space="preserve">Fluid property regulator </t>
  </si>
  <si>
    <t>US2008277492</t>
  </si>
  <si>
    <t xml:space="preserve">Self propelled, off road vehicle </t>
  </si>
  <si>
    <t>US4350190</t>
  </si>
  <si>
    <t xml:space="preserve">Rotatable prime mover </t>
  </si>
  <si>
    <t>US3154162</t>
  </si>
  <si>
    <t xml:space="preserve">Automated learning of peering policies for popularity driven replication in content delivery framework </t>
  </si>
  <si>
    <t>US2014344453</t>
  </si>
  <si>
    <t xml:space="preserve">Cloud application integrated management platform and method supporting service fusion </t>
  </si>
  <si>
    <t>CN102739771</t>
  </si>
  <si>
    <t>US2012324073</t>
  </si>
  <si>
    <t xml:space="preserve">Self-contained-aerial-maintenance platform </t>
  </si>
  <si>
    <t>US4676339</t>
  </si>
  <si>
    <t xml:space="preserve">Hybrid power generator coupled to gravity power generator using balance which has pressure load device </t>
  </si>
  <si>
    <t>US2013341934</t>
  </si>
  <si>
    <t xml:space="preserve">Aircraft landing platform </t>
  </si>
  <si>
    <t>US1558567</t>
  </si>
  <si>
    <t xml:space="preserve">Multi-Mission Frameless Airship Platform </t>
  </si>
  <si>
    <t>US2011267241</t>
  </si>
  <si>
    <t xml:space="preserve">Entropy-based (self-organizing) stability management </t>
  </si>
  <si>
    <t>US2009089410</t>
  </si>
  <si>
    <t xml:space="preserve">Sensing module for orthopedic load sensing insert device </t>
  </si>
  <si>
    <t>US2011319755</t>
  </si>
  <si>
    <t xml:space="preserve">System and method for orthopedic load and location sensing </t>
  </si>
  <si>
    <t>US2011160616</t>
  </si>
  <si>
    <t xml:space="preserve">Rowing exercise machine with self-aligning pivoting user support </t>
  </si>
  <si>
    <t>US2008214365</t>
  </si>
  <si>
    <t xml:space="preserve">Network operating system client architecture for mobile user equipment </t>
  </si>
  <si>
    <t>US2015098393</t>
  </si>
  <si>
    <t>US2008242515</t>
  </si>
  <si>
    <t xml:space="preserve">Enhanced near field communications attachment </t>
  </si>
  <si>
    <t>US2014279546</t>
  </si>
  <si>
    <t xml:space="preserve">Automobile Mobile-Interaction Platform Apparatuses, Methods and Systems </t>
  </si>
  <si>
    <t>US2015095190</t>
  </si>
  <si>
    <t xml:space="preserve">Replication of virtualized infrastructure within distributed computing environments </t>
  </si>
  <si>
    <t>US2016048408</t>
  </si>
  <si>
    <t xml:space="preserve">Weighing scale assembly </t>
  </si>
  <si>
    <t>US5232064</t>
  </si>
  <si>
    <t xml:space="preserve">Cloud computing platform and intelligent monitoring and control of Things based monitoring and control </t>
  </si>
  <si>
    <t>CN102291280</t>
  </si>
  <si>
    <t xml:space="preserve">Self-calibrated, remote imaging and data processing system </t>
  </si>
  <si>
    <t>US2010235095</t>
  </si>
  <si>
    <t xml:space="preserve">Apparatus for self-adjusting power at a wireless station to reduce inter-channel interference </t>
  </si>
  <si>
    <t>US7369858</t>
  </si>
  <si>
    <t xml:space="preserve">Self-leveling kitchen and food service equipment </t>
  </si>
  <si>
    <t>US4009915</t>
  </si>
  <si>
    <t xml:space="preserve">Fast provisioning of platform-as-a-service system and method </t>
  </si>
  <si>
    <t>US2015058467</t>
  </si>
  <si>
    <t xml:space="preserve">Method and apparatus for excluding non-mobility data from mobility key performance indicators </t>
  </si>
  <si>
    <t>US2013115959</t>
  </si>
  <si>
    <t xml:space="preserve">Apparatus for over-head service work </t>
  </si>
  <si>
    <t>US2787278</t>
  </si>
  <si>
    <t xml:space="preserve">Content Delivery Framework having Storage Services </t>
  </si>
  <si>
    <t>US2014344391</t>
  </si>
  <si>
    <t xml:space="preserve">Service Platform Suite management system </t>
  </si>
  <si>
    <t>JP2005503598</t>
  </si>
  <si>
    <t xml:space="preserve">System and method for handling call recording failures for a contact center </t>
  </si>
  <si>
    <t>US2014270093</t>
  </si>
  <si>
    <t xml:space="preserve">Dynamic balance measurement station for a disc drive </t>
  </si>
  <si>
    <t>US6105240</t>
  </si>
  <si>
    <t xml:space="preserve">Decoking tool carrier with a self-propelled climbing crosshead </t>
  </si>
  <si>
    <t>US6050277</t>
  </si>
  <si>
    <t xml:space="preserve">Crawler self-propelled collecting apparatus for deep sea mining </t>
  </si>
  <si>
    <t>CN2229514</t>
  </si>
  <si>
    <t xml:space="preserve">Counter-balanced mems mirror with hidden hinge </t>
  </si>
  <si>
    <t>US2010103494</t>
  </si>
  <si>
    <t xml:space="preserve">Wheel balance and truing machine </t>
  </si>
  <si>
    <t>US4014139</t>
  </si>
  <si>
    <t xml:space="preserve">Mobile barrier </t>
  </si>
  <si>
    <t>US2009166998</t>
  </si>
  <si>
    <t xml:space="preserve">Wheel balance machine </t>
  </si>
  <si>
    <t>US3911751</t>
  </si>
  <si>
    <t xml:space="preserve">Application and content awareness for self optimizing networks </t>
  </si>
  <si>
    <t>US2014098762</t>
  </si>
  <si>
    <t xml:space="preserve">Marine platform assembly </t>
  </si>
  <si>
    <t>US3999396</t>
  </si>
  <si>
    <t xml:space="preserve">Self-compensating gyro apparatus </t>
  </si>
  <si>
    <t>US2999391</t>
  </si>
  <si>
    <t xml:space="preserve">Self-propelled toy vehicle </t>
  </si>
  <si>
    <t>US3621607</t>
  </si>
  <si>
    <t xml:space="preserve">Beidou car networking logistics information service platform </t>
  </si>
  <si>
    <t>CN104050555</t>
  </si>
  <si>
    <t xml:space="preserve">Platform for engineered implantable tissues and organs and methods of making the same </t>
  </si>
  <si>
    <t>US2013164339</t>
  </si>
  <si>
    <t xml:space="preserve">Automatic computing system and method for virtual networking </t>
  </si>
  <si>
    <t>CN102857363</t>
  </si>
  <si>
    <t xml:space="preserve">Product Recall Platform Apparatuses, Methods And Systems </t>
  </si>
  <si>
    <t>US2011258065</t>
  </si>
  <si>
    <t xml:space="preserve">Load Balancing in Heterogeneous Computing Environments </t>
  </si>
  <si>
    <t>US2012192200</t>
  </si>
  <si>
    <t xml:space="preserve">Selectively extendible operator's platform for stand-on lawnmower </t>
  </si>
  <si>
    <t>US8141886</t>
  </si>
  <si>
    <t xml:space="preserve">Method and system for optimizing cellular networks operation </t>
  </si>
  <si>
    <t>US2013143561</t>
  </si>
  <si>
    <t xml:space="preserve">Apparatus and methods of a zero single point of failure load balancer </t>
  </si>
  <si>
    <t>US2008133687</t>
  </si>
  <si>
    <t xml:space="preserve">Distributed type power supply zone branch circuit three-phase load current balance monitoring method and device </t>
  </si>
  <si>
    <t>CN104092229</t>
  </si>
  <si>
    <t xml:space="preserve">Automatic balance adjustment device for pumping unit by utilizing liquid counterweight rider </t>
  </si>
  <si>
    <t>CN102094597</t>
  </si>
  <si>
    <t xml:space="preserve">Tower crane </t>
  </si>
  <si>
    <t>CN102491186</t>
  </si>
  <si>
    <t xml:space="preserve">Self-balance mobile carrier </t>
  </si>
  <si>
    <t>US2015046002</t>
  </si>
  <si>
    <t xml:space="preserve">Small-sized self-balance spiral loading frame </t>
  </si>
  <si>
    <t>CN201327459</t>
  </si>
  <si>
    <t xml:space="preserve">Novel self-balancing electric wheelbarrow </t>
  </si>
  <si>
    <t>CN204056128</t>
  </si>
  <si>
    <t xml:space="preserve">Self-Balancing Remote Sensing Device And Remote Sensing System Comprising Same </t>
  </si>
  <si>
    <t>US2010194914</t>
  </si>
  <si>
    <t xml:space="preserve">Automatically balance moving camera device </t>
  </si>
  <si>
    <t>CN201191347</t>
  </si>
  <si>
    <t xml:space="preserve">Hollow self-balancing prestress steel bar and prestress stretch-draw clamp </t>
  </si>
  <si>
    <t>CN202627328</t>
  </si>
  <si>
    <t xml:space="preserve">Digital automatic control oil pumping method and mobile balancing digital oil pumping unit </t>
  </si>
  <si>
    <t>CN104563970</t>
  </si>
  <si>
    <t xml:space="preserve">Self-balancing electric monocycle with dismountable control panel box and dismountable battery box </t>
  </si>
  <si>
    <t>CN204355221</t>
  </si>
  <si>
    <t xml:space="preserve">Method of load balancing in a mobile communications system </t>
  </si>
  <si>
    <t>WO2009149600</t>
  </si>
  <si>
    <t xml:space="preserve">Regional load balancing method in cellular mobile communication system </t>
  </si>
  <si>
    <t>CN102395157</t>
  </si>
  <si>
    <t xml:space="preserve">Self-balancing spray boom spraying machine </t>
  </si>
  <si>
    <t>CN102091682</t>
  </si>
  <si>
    <t xml:space="preserve">Multiple channel communications system </t>
  </si>
  <si>
    <t>US6370381</t>
  </si>
  <si>
    <t xml:space="preserve">Antenna for mobile terminal </t>
  </si>
  <si>
    <t>JP2007194961</t>
  </si>
  <si>
    <t xml:space="preserve">Intelligent oil pumping control method and intelligent oil pumping unit </t>
  </si>
  <si>
    <t>CN104775792</t>
  </si>
  <si>
    <t xml:space="preserve">Inter-cell mobility load balance method and mobility load balance device </t>
  </si>
  <si>
    <t>CN103987085</t>
  </si>
  <si>
    <t xml:space="preserve">Mobile load balancing method used for multiple cells </t>
  </si>
  <si>
    <t>CN102905317</t>
  </si>
  <si>
    <t xml:space="preserve">Energy-saving micro-resistance adjustable self-balancing check valve </t>
  </si>
  <si>
    <t>CN102563133</t>
  </si>
  <si>
    <t xml:space="preserve">Method for preventing conflict between moving load balance and moving robustness optimization function </t>
  </si>
  <si>
    <t>CN101626590</t>
  </si>
  <si>
    <t xml:space="preserve">Mobile load balancing method </t>
  </si>
  <si>
    <t>CN102098728</t>
  </si>
  <si>
    <t xml:space="preserve">Self-moving device of integrated working plane mobile substation </t>
  </si>
  <si>
    <t>CN2836282</t>
  </si>
  <si>
    <t xml:space="preserve">Self-balancing positive displacement casting system </t>
  </si>
  <si>
    <t>US4019670</t>
  </si>
  <si>
    <t xml:space="preserve">Method for balancing load based on virtual cell breathing in long term evolution-advanced (LTE-A) system </t>
  </si>
  <si>
    <t>CN103167557</t>
  </si>
  <si>
    <t xml:space="preserve">Method and apparatus for multimodal mobile screening to quantitatively detect brain function impairment </t>
  </si>
  <si>
    <t>US2012330178</t>
  </si>
  <si>
    <t xml:space="preserve">Mobile communication system with a load balancing feature </t>
  </si>
  <si>
    <t>US5754959</t>
  </si>
  <si>
    <t xml:space="preserve">Load balancing method for guaranteeing quality of service of real-time services </t>
  </si>
  <si>
    <t>CN101754279</t>
  </si>
  <si>
    <t xml:space="preserve">Load balancing in mobile environment </t>
  </si>
  <si>
    <t>US2009163223</t>
  </si>
  <si>
    <t xml:space="preserve">Method for Limiting Inter-Cell Interference and Load Balancing and a Wireless Communication System and Base Station </t>
  </si>
  <si>
    <t>US2016066191</t>
  </si>
  <si>
    <t xml:space="preserve">Functional integration of multiple components for a fuel cell power plant </t>
  </si>
  <si>
    <t>US6451466</t>
  </si>
  <si>
    <t xml:space="preserve">Combined mobile x-ray imaging system and monitor cart </t>
  </si>
  <si>
    <t>US6007243</t>
  </si>
  <si>
    <t xml:space="preserve">A method and device used in radio relay networks to re-construct the topology of networks </t>
  </si>
  <si>
    <t>CN102017692</t>
  </si>
  <si>
    <t xml:space="preserve">System and method to improve the network performance of a wireless communications network by finding an optimal route between a source and a destination </t>
  </si>
  <si>
    <t>US7280483</t>
  </si>
  <si>
    <t xml:space="preserve">Load balancing in mobile telecommunications networks </t>
  </si>
  <si>
    <t>EP2728926</t>
  </si>
  <si>
    <t xml:space="preserve">Self-centering mobile </t>
  </si>
  <si>
    <t>US2005178036</t>
  </si>
  <si>
    <t xml:space="preserve">Method and Device for Data Processing in a Mobile Communication Network </t>
  </si>
  <si>
    <t>US2012009972</t>
  </si>
  <si>
    <t xml:space="preserve">Disk player, and turntable incorporating self-compensating dynamic balancer, clamper incorporating self-compensating dynamic balancer and spindle motor incorporating self-compensating dynamic balancer adopted for disk player </t>
  </si>
  <si>
    <t>US6373154</t>
  </si>
  <si>
    <t xml:space="preserve">Method and Node Supporting Cell Reselection in Load Balanced Network </t>
  </si>
  <si>
    <t>US2014004862</t>
  </si>
  <si>
    <t xml:space="preserve">Cellular network load balancing </t>
  </si>
  <si>
    <t>US2011256880</t>
  </si>
  <si>
    <t xml:space="preserve">System for realizing joint optimization of neighbor cell list and load balance </t>
  </si>
  <si>
    <t>CN102905307</t>
  </si>
  <si>
    <t xml:space="preserve">Self-balance top rotary tower type crane </t>
  </si>
  <si>
    <t>CN2892797</t>
  </si>
  <si>
    <t xml:space="preserve">Self-organizing routing method facing mobile sensor network </t>
  </si>
  <si>
    <t>CN102740395</t>
  </si>
  <si>
    <t xml:space="preserve">Automated Testing on Mobile Devices </t>
  </si>
  <si>
    <t>US2012198279</t>
  </si>
  <si>
    <t xml:space="preserve">Vehicle body dip angle adjusting unit, oil gas suspension mechanism and mobile crane </t>
  </si>
  <si>
    <t>CN102039791</t>
  </si>
  <si>
    <t xml:space="preserve">Load-transfer-based energy-saving control method and system for mobile communication system </t>
  </si>
  <si>
    <t>CN102340825</t>
  </si>
  <si>
    <t xml:space="preserve">Hydraulic control system of lifting cylinders of mobile stage vehicle </t>
  </si>
  <si>
    <t>CN101625002</t>
  </si>
  <si>
    <t xml:space="preserve">Automatically walking stepped mobile trestle </t>
  </si>
  <si>
    <t>CN102042021</t>
  </si>
  <si>
    <t xml:space="preserve">Methods for processing radio link failure report and methods for adjusting mobile parameters </t>
  </si>
  <si>
    <t>CN102036243</t>
  </si>
  <si>
    <t xml:space="preserve">Self-organizing communication networks </t>
  </si>
  <si>
    <t>US2012307697</t>
  </si>
  <si>
    <t xml:space="preserve">Method for ladd balancing pretreatment in mobile communication system </t>
  </si>
  <si>
    <t>CN1352497</t>
  </si>
  <si>
    <t xml:space="preserve">Method and Arrangement for Handling Measurements Under Dynamically Configured Patterns </t>
  </si>
  <si>
    <t>US2014200016</t>
  </si>
  <si>
    <t xml:space="preserve">Supported, self-optimizing wireless networks, optimized with respect to energy, mobility, and capacity </t>
  </si>
  <si>
    <t>US2013272132</t>
  </si>
  <si>
    <t xml:space="preserve">Method for choosing gateway in integrating process of mobile self-organization network and Internet </t>
  </si>
  <si>
    <t>CN101711048</t>
  </si>
  <si>
    <t xml:space="preserve">Self-compensating dynamic balancer apparatus for a disk player </t>
  </si>
  <si>
    <t>EP0836185</t>
  </si>
  <si>
    <t xml:space="preserve">Technique for Cable Interface-Based Load Balancing Between Cells </t>
  </si>
  <si>
    <t>US2015055479</t>
  </si>
  <si>
    <t xml:space="preserve">Cell load balancing method, cell load measuring method, and devices thereof </t>
  </si>
  <si>
    <t>US8676186</t>
  </si>
  <si>
    <t xml:space="preserve">Methods and apparatus for implementing a self optimizing-organizing network manager </t>
  </si>
  <si>
    <t>US2013242736</t>
  </si>
  <si>
    <t xml:space="preserve">Mobile data rate enhancement via foreign agent load balancing </t>
  </si>
  <si>
    <t>US6549522</t>
  </si>
  <si>
    <t xml:space="preserve">Multiple tub mobile blender </t>
  </si>
  <si>
    <t>US6193402</t>
  </si>
  <si>
    <t xml:space="preserve">Smart electric vehicle (EV) charging and grid integration apparatus and methods </t>
  </si>
  <si>
    <t>US9026347</t>
  </si>
  <si>
    <t xml:space="preserve">Enhancement type load balancing method based on adjacent region load information </t>
  </si>
  <si>
    <t>CN102938910</t>
  </si>
  <si>
    <t xml:space="preserve">Device for managing equalization of series battery </t>
  </si>
  <si>
    <t>CN101325271</t>
  </si>
  <si>
    <t xml:space="preserve">Cell range expansion elasticity control </t>
  </si>
  <si>
    <t>US2014198659</t>
  </si>
  <si>
    <t xml:space="preserve">Insight Based Orchestration of Network Optimization in Communication Networks </t>
  </si>
  <si>
    <t>US2014031006</t>
  </si>
  <si>
    <t xml:space="preserve">Common radio element application manager for wireless small cells </t>
  </si>
  <si>
    <t>US2013286851</t>
  </si>
  <si>
    <t xml:space="preserve">Self-propelled heavy duty mobile crane </t>
  </si>
  <si>
    <t>US3868022</t>
  </si>
  <si>
    <t xml:space="preserve">Method for Self-Optimized Interworking Between Radio Access Networks </t>
  </si>
  <si>
    <t>US2013189991</t>
  </si>
  <si>
    <t>US6605378</t>
  </si>
  <si>
    <t xml:space="preserve">Systems and methods for deployment operations for small cells in self-organizing networks </t>
  </si>
  <si>
    <t>US2015092552</t>
  </si>
  <si>
    <t xml:space="preserve">Method and system for balancing distributed load in LTE (Long Term Evolution) access network </t>
  </si>
  <si>
    <t>CN102256307</t>
  </si>
  <si>
    <t xml:space="preserve">Smart card enabled mobile personal computing environment system </t>
  </si>
  <si>
    <t>US7376711</t>
  </si>
  <si>
    <t xml:space="preserve">Method and device for realizing autonomous load balancing of wireless access network </t>
  </si>
  <si>
    <t>CN101784061</t>
  </si>
  <si>
    <t xml:space="preserve">Method &amp; system for cellular network load balance </t>
  </si>
  <si>
    <t>US2013324076</t>
  </si>
  <si>
    <t xml:space="preserve">Routing algorithms in a mobile ad-hoc network </t>
  </si>
  <si>
    <t>WO02103610</t>
  </si>
  <si>
    <t xml:space="preserve">Self-propelled mobile pipeline inspection apparatus and method for inspecting pipelines </t>
  </si>
  <si>
    <t>US4560931</t>
  </si>
  <si>
    <t xml:space="preserve">Load balancing and throughput optimization method in mobile communication system </t>
  </si>
  <si>
    <t>CN101784078</t>
  </si>
  <si>
    <t xml:space="preserve">Method for realizing self optimization in mobile communication system , system and base stations </t>
  </si>
  <si>
    <t>CN101998468</t>
  </si>
  <si>
    <t xml:space="preserve">Distributed load system in mobile communication system, virtual terminal connection method, and switch apparatus </t>
  </si>
  <si>
    <t>JP2004080433</t>
  </si>
  <si>
    <t xml:space="preserve">An apparatus and method for controlling a vehicle dynamic self-balancing </t>
  </si>
  <si>
    <t>CN102300765</t>
  </si>
  <si>
    <t xml:space="preserve">Mobile AD Hoc network self-adapting secure routing method based on reliability </t>
  </si>
  <si>
    <t>CN102158864</t>
  </si>
  <si>
    <t xml:space="preserve">Mobile micro-grid power system controller and method </t>
  </si>
  <si>
    <t>US8315745</t>
  </si>
  <si>
    <t xml:space="preserve">Counterweight self-balancing crane </t>
  </si>
  <si>
    <t>CN201250069</t>
  </si>
  <si>
    <t xml:space="preserve">Analytics assisted self-organizing-network (SON) for coverage capacity optimization (CCO) </t>
  </si>
  <si>
    <t>US2016165472</t>
  </si>
  <si>
    <t xml:space="preserve">Self-adapting manual-automatic integrated power-driven balance vehicle </t>
  </si>
  <si>
    <t>CN104986281</t>
  </si>
  <si>
    <t xml:space="preserve">Self-contained mobile extendable tower </t>
  </si>
  <si>
    <t>US3858688</t>
  </si>
  <si>
    <t xml:space="preserve">System and method for communication in a wireless mobile ad-hoc network </t>
  </si>
  <si>
    <t>US2007038743</t>
  </si>
  <si>
    <t xml:space="preserve">Mobile communication network having path selection means for selecting a communication path </t>
  </si>
  <si>
    <t>US5504935</t>
  </si>
  <si>
    <t xml:space="preserve">High energy X-ray mobile cargo inspection system with penumbra collimator </t>
  </si>
  <si>
    <t>US6785357</t>
  </si>
  <si>
    <t xml:space="preserve">Architecture for mobile radio networks with dynamically changing topology using virtual subnets </t>
  </si>
  <si>
    <t>US5652751</t>
  </si>
  <si>
    <t xml:space="preserve">Centralized wireless LAN load balancing </t>
  </si>
  <si>
    <t>US7480264</t>
  </si>
  <si>
    <t xml:space="preserve">Channel frequency allocation for multiple-satellite communication network </t>
  </si>
  <si>
    <t>US6021309</t>
  </si>
  <si>
    <t xml:space="preserve">Communication link for client-server having agent which sends plurality of requests independent of client and receives information from the server independent of the server </t>
  </si>
  <si>
    <t>US5850517</t>
  </si>
  <si>
    <t xml:space="preserve">Network engineering/systems engineering system for mobile satellite communication system </t>
  </si>
  <si>
    <t>US5713075</t>
  </si>
  <si>
    <t xml:space="preserve">Mobile client computer interdependent display data fields </t>
  </si>
  <si>
    <t>US5805159</t>
  </si>
  <si>
    <t xml:space="preserve">System and method for load balancing network resources using a connection admission control engine </t>
  </si>
  <si>
    <t>US8509082</t>
  </si>
  <si>
    <t xml:space="preserve">Systems and methods for autonomously determining network capacity and load balancing amongst multiple network cells </t>
  </si>
  <si>
    <t>US2010214943</t>
  </si>
  <si>
    <t xml:space="preserve">Network engineering/systems system for mobile satellite communication system </t>
  </si>
  <si>
    <t>US6636721</t>
  </si>
  <si>
    <t xml:space="preserve">Self-configuring repeater system and method </t>
  </si>
  <si>
    <t>US2003211828</t>
  </si>
  <si>
    <t xml:space="preserve">Interference control in CDMA networks </t>
  </si>
  <si>
    <t>US2006068849</t>
  </si>
  <si>
    <t xml:space="preserve">System and methods providing automatic distributed data retrieval, analysis and reporting services </t>
  </si>
  <si>
    <t>US6944662</t>
  </si>
  <si>
    <t xml:space="preserve">Architecture for client-server communication over a communication link </t>
  </si>
  <si>
    <t>US6157941</t>
  </si>
  <si>
    <t xml:space="preserve">Inkjet printhead having a self aligned nozzle </t>
  </si>
  <si>
    <t>US6273544</t>
  </si>
  <si>
    <t xml:space="preserve">Self-optimizing wireless network </t>
  </si>
  <si>
    <t>US2011090820</t>
  </si>
  <si>
    <t xml:space="preserve">Intelligent backhaul radio and antenna system </t>
  </si>
  <si>
    <t>US8467363</t>
  </si>
  <si>
    <t xml:space="preserve">Systems and methods for processing data flows </t>
  </si>
  <si>
    <t>US8402540</t>
  </si>
  <si>
    <t>US8010469</t>
  </si>
  <si>
    <t>US7263551</t>
  </si>
  <si>
    <t xml:space="preserve">IGBT process to produce platinum lifetime control </t>
  </si>
  <si>
    <t>US5262336</t>
  </si>
  <si>
    <t xml:space="preserve">Method and apparatus for optimization of wireless multipoint electromagnetic communication networks </t>
  </si>
  <si>
    <t>US7248841</t>
  </si>
  <si>
    <t xml:space="preserve">Distributed system to intelligently establish sessions between anonymous users over various networks </t>
  </si>
  <si>
    <t>US6564261</t>
  </si>
  <si>
    <t xml:space="preserve">System, method, and apparatus for settlement for participation in an electric power grid </t>
  </si>
  <si>
    <t>US8583520</t>
  </si>
  <si>
    <t xml:space="preserve">Adaptive, portable, multi-sensory aid for the disabled </t>
  </si>
  <si>
    <t>US8494507</t>
  </si>
  <si>
    <t xml:space="preserve">Transmission diversity systems </t>
  </si>
  <si>
    <t>US7024166</t>
  </si>
  <si>
    <t xml:space="preserve">Remote access and geographically distributed computers in a globally addressable storage environment </t>
  </si>
  <si>
    <t>US5987506</t>
  </si>
  <si>
    <t xml:space="preserve">Systems and methods of using application and protocol specific parsing for compression </t>
  </si>
  <si>
    <t>US7619545</t>
  </si>
  <si>
    <t xml:space="preserve">Systems and method of using HTTP head command for prefetching </t>
  </si>
  <si>
    <t>US7809818</t>
  </si>
  <si>
    <t xml:space="preserve">Scanning device for coded data </t>
  </si>
  <si>
    <t>US7128270</t>
  </si>
  <si>
    <t xml:space="preserve">Systems and methods of revalidating cached objects in parallel with request for object </t>
  </si>
  <si>
    <t>US7783757</t>
  </si>
  <si>
    <t xml:space="preserve">Method, system and service for conducting authenticated business transactions </t>
  </si>
  <si>
    <t>US6957199</t>
  </si>
  <si>
    <t xml:space="preserve">Ocean mining system and process </t>
  </si>
  <si>
    <t>US4232903</t>
  </si>
  <si>
    <t xml:space="preserve">Systems and methods for prefetching objects for caching using QOS </t>
  </si>
  <si>
    <t>US7584294</t>
  </si>
  <si>
    <t>US8660853</t>
  </si>
  <si>
    <t xml:space="preserve">Systems and methods for sharing compression histories between multiple devices </t>
  </si>
  <si>
    <t>US7532134</t>
  </si>
  <si>
    <t xml:space="preserve">Mobile floating water treatment vessel </t>
  </si>
  <si>
    <t>US6613232</t>
  </si>
  <si>
    <t xml:space="preserve">Hybrid band intelligent backhaul radio </t>
  </si>
  <si>
    <t>US8385305</t>
  </si>
  <si>
    <t xml:space="preserve">Mobile client computer programmed to predict input </t>
  </si>
  <si>
    <t>US5864340</t>
  </si>
  <si>
    <t xml:space="preserve">Mobile computing weight, diet, nutrition, and exercise tracking system with enhanced feedback and data acquisition functionality </t>
  </si>
  <si>
    <t>US8690578</t>
  </si>
  <si>
    <t xml:space="preserve">Camera stabilizing support </t>
  </si>
  <si>
    <t>US5579071</t>
  </si>
  <si>
    <t xml:space="preserve">Intelligent backhaul radio </t>
  </si>
  <si>
    <t>US8238318</t>
  </si>
  <si>
    <t xml:space="preserve">Enabling a distributed policy architecture with extended son (extended self organizing networks) </t>
  </si>
  <si>
    <t>US2012039175</t>
  </si>
  <si>
    <t xml:space="preserve">Radio base station for mobile cellular telephony fed by wind energy source </t>
  </si>
  <si>
    <t>EP1610571</t>
  </si>
  <si>
    <t xml:space="preserve">Mobile lighting system </t>
  </si>
  <si>
    <t>US5207747</t>
  </si>
  <si>
    <t xml:space="preserve">Methods and apparatus pertaining to roaming of stations between access points in wireless and other networks </t>
  </si>
  <si>
    <t>US6144855</t>
  </si>
  <si>
    <t xml:space="preserve">Apparatus and Method for Dynamically Deploying a Network Node </t>
  </si>
  <si>
    <t>US2011249558</t>
  </si>
  <si>
    <t xml:space="preserve">Method and apparatus for traffic management in a wireless network </t>
  </si>
  <si>
    <t>US8705361</t>
  </si>
  <si>
    <t xml:space="preserve">Modular distributed mobile data applications </t>
  </si>
  <si>
    <t>US7877682</t>
  </si>
  <si>
    <t>US2011092195</t>
  </si>
  <si>
    <t>US6185409</t>
  </si>
  <si>
    <t xml:space="preserve">Order processing </t>
  </si>
  <si>
    <t>US7110964</t>
  </si>
  <si>
    <t xml:space="preserve">Ferroelectric liquid crystal and goggle type display devices </t>
  </si>
  <si>
    <t>US7279711</t>
  </si>
  <si>
    <t xml:space="preserve">Systems and methods for identifying long matches of data in a compression history </t>
  </si>
  <si>
    <t>US7453379</t>
  </si>
  <si>
    <t xml:space="preserve">Signalling of resource status information between base stations for load balancing </t>
  </si>
  <si>
    <t>KR101288770</t>
  </si>
  <si>
    <t xml:space="preserve">Method and apparatus for providing mobile and other intermittent connectivity in a computing environment </t>
  </si>
  <si>
    <t>US7778260</t>
  </si>
  <si>
    <t xml:space="preserve">Cryoelectronically cooled receiver front end for mobile radio systems </t>
  </si>
  <si>
    <t>US6263215</t>
  </si>
  <si>
    <t xml:space="preserve">Mobile networking system and method using IPv4 and IPv6 </t>
  </si>
  <si>
    <t>US7644171</t>
  </si>
  <si>
    <t xml:space="preserve">Radio access network with meshed radio base stations </t>
  </si>
  <si>
    <t>US6996086</t>
  </si>
  <si>
    <t xml:space="preserve">Method and apparatus for data management </t>
  </si>
  <si>
    <t>US7644087</t>
  </si>
  <si>
    <t xml:space="preserve">Daisy-chained ring of remote units for a distributed antenna system </t>
  </si>
  <si>
    <t>US8737300</t>
  </si>
  <si>
    <t xml:space="preserve">Systems and methods for domain name resolution interception caching </t>
  </si>
  <si>
    <t>US8364785</t>
  </si>
  <si>
    <t xml:space="preserve">Personal flotation device with eccentric fixed and mobile ballast and buoyant members </t>
  </si>
  <si>
    <t>US6666622</t>
  </si>
  <si>
    <t xml:space="preserve">Systems and methods of providing proxy-based quality of service </t>
  </si>
  <si>
    <t>US7706266</t>
  </si>
  <si>
    <t xml:space="preserve">Systems and methods of prefreshening cached objects based on user's current web page </t>
  </si>
  <si>
    <t>US8504775</t>
  </si>
  <si>
    <t xml:space="preserve">Communications system </t>
  </si>
  <si>
    <t>US2012142356</t>
  </si>
  <si>
    <t>US7827237</t>
  </si>
  <si>
    <t xml:space="preserve">Self-optimizing networks for fixed wireless access </t>
  </si>
  <si>
    <t>US2011136478</t>
  </si>
  <si>
    <t xml:space="preserve">Systems and methods for providing dynamic ad hoc proxy-cache hierarchies </t>
  </si>
  <si>
    <t>US7865585</t>
  </si>
  <si>
    <t xml:space="preserve">Self-centering rotary magnetic suspension device </t>
  </si>
  <si>
    <t>US3811740</t>
  </si>
  <si>
    <t xml:space="preserve">Systems and methods for automatic installation and execution of a client-side acceleration program </t>
  </si>
  <si>
    <t>US7810089</t>
  </si>
  <si>
    <t xml:space="preserve">Multifactorial optimization system and method </t>
  </si>
  <si>
    <t>US2007087756</t>
  </si>
  <si>
    <t xml:space="preserve">Method and apparatus for implementing tracking area update and cell reselection in a long term evolution system </t>
  </si>
  <si>
    <t>US2008102896</t>
  </si>
  <si>
    <t xml:space="preserve">Dynamically Deployable Self Configuring Distributed Network Management System </t>
  </si>
  <si>
    <t>US2010094981</t>
  </si>
  <si>
    <t xml:space="preserve">Method of configuring a cell of a wireless communication system for improved resource utilization </t>
  </si>
  <si>
    <t>US2006239224</t>
  </si>
  <si>
    <t xml:space="preserve">Heterogeneous Self-Organizing Network for Access and Backhaul </t>
  </si>
  <si>
    <t>US2014092765</t>
  </si>
  <si>
    <t xml:space="preserve">Method and System for Self-Scaling Generic Policy Tracking </t>
  </si>
  <si>
    <t>US2008005285</t>
  </si>
  <si>
    <t xml:space="preserve">Facilitation of idle mode traffic load balancing </t>
  </si>
  <si>
    <t>US2014066077</t>
  </si>
  <si>
    <t xml:space="preserve">Method for self-calibration of a wireless communication system </t>
  </si>
  <si>
    <t>US6442397</t>
  </si>
  <si>
    <t xml:space="preserve">Mobile ad-hoc network (MANET) and method for implementing multiple paths for fault tolerance </t>
  </si>
  <si>
    <t>US7742399</t>
  </si>
  <si>
    <t xml:space="preserve">Self-Organizing Network </t>
  </si>
  <si>
    <t>US2013331079</t>
  </si>
  <si>
    <t xml:space="preserve">Method and apparatus for securing mobile applications </t>
  </si>
  <si>
    <t>US2013239192</t>
  </si>
  <si>
    <t xml:space="preserve">Self-contained demonstration node in a satellite based content delivery system </t>
  </si>
  <si>
    <t>US7174373</t>
  </si>
  <si>
    <t xml:space="preserve">Method for decentralized synchronization in a self-organizing radio communication system </t>
  </si>
  <si>
    <t>US2006030343</t>
  </si>
  <si>
    <t xml:space="preserve">Balanced conveyor for loads </t>
  </si>
  <si>
    <t>FR2754527</t>
  </si>
  <si>
    <t xml:space="preserve">Cell balancing apparatus and method </t>
  </si>
  <si>
    <t>US2010085009</t>
  </si>
  <si>
    <t xml:space="preserve">Method and system for email and PIM synchronization and updating </t>
  </si>
  <si>
    <t>US8719397</t>
  </si>
  <si>
    <t xml:space="preserve">Communicating a Network Event </t>
  </si>
  <si>
    <t>US2011280157</t>
  </si>
  <si>
    <t xml:space="preserve">Systems and methods of clustered sharing of compression histories </t>
  </si>
  <si>
    <t>US7460038</t>
  </si>
  <si>
    <t xml:space="preserve">Systems and methods for on-line scheduling of appointments and other resources </t>
  </si>
  <si>
    <t>US8244566</t>
  </si>
  <si>
    <t xml:space="preserve">Systems, devices and methods for electricity provision, usage monitoring, analysis, and enabling improvements in efficiency </t>
  </si>
  <si>
    <t>US2010076615</t>
  </si>
  <si>
    <t xml:space="preserve">Access control method fusing TD-SCDMA cell phone network and self-organizing network </t>
  </si>
  <si>
    <t>CN101360339</t>
  </si>
  <si>
    <t xml:space="preserve">Communication system, base station, and communication method </t>
  </si>
  <si>
    <t>US2015223113</t>
  </si>
  <si>
    <t xml:space="preserve">System and method for use of mobile policy agents and local services, within a geographically distributed service grid, to provide greater security via local intelligence and life-cycle management for RFlD tagged items </t>
  </si>
  <si>
    <t>US2007112574</t>
  </si>
  <si>
    <t xml:space="preserve">Balancing load of cells in inter-frequency handover of wireless communications </t>
  </si>
  <si>
    <t>US2006166677</t>
  </si>
  <si>
    <t xml:space="preserve">Session migration over content-centric networks </t>
  </si>
  <si>
    <t>US2011265174</t>
  </si>
  <si>
    <t xml:space="preserve">Infrastructure mesh networks </t>
  </si>
  <si>
    <t>US2007070959</t>
  </si>
  <si>
    <t xml:space="preserve">Systems and methods for implementing financial transactions </t>
  </si>
  <si>
    <t>US2008040261</t>
  </si>
  <si>
    <t xml:space="preserve">Mobile phone as a point of sale (POS) device </t>
  </si>
  <si>
    <t>US2007106564</t>
  </si>
  <si>
    <t xml:space="preserve">Mobile transport solution for offloading to an alternate network </t>
  </si>
  <si>
    <t>US2011058479</t>
  </si>
  <si>
    <t xml:space="preserve">Infrared security system and method </t>
  </si>
  <si>
    <t>US7738008</t>
  </si>
  <si>
    <t xml:space="preserve">Self-Organising Network </t>
  </si>
  <si>
    <t>US2014355484</t>
  </si>
  <si>
    <t xml:space="preserve">Combined ballast and signalling device for a personal flotation device </t>
  </si>
  <si>
    <t>US6558082</t>
  </si>
  <si>
    <t xml:space="preserve">Method for mobile security context authentication </t>
  </si>
  <si>
    <t>US2014096215</t>
  </si>
  <si>
    <t xml:space="preserve">Mobile application environment </t>
  </si>
  <si>
    <t>US2004001476</t>
  </si>
  <si>
    <t xml:space="preserve">Sensing device for coded data </t>
  </si>
  <si>
    <t>US7605940</t>
  </si>
  <si>
    <t xml:space="preserve">Estimator for end-to-end throughput of wireless networks </t>
  </si>
  <si>
    <t>US2005220035</t>
  </si>
  <si>
    <t xml:space="preserve">Systems and methods for implementing parking transactions and other financial transactions </t>
  </si>
  <si>
    <t>US2007267479</t>
  </si>
  <si>
    <t xml:space="preserve">Method, apparatus and system for a mobile web client </t>
  </si>
  <si>
    <t>US2003074418</t>
  </si>
  <si>
    <t xml:space="preserve">Method and system for dynamically balancing cell load in wireless network </t>
  </si>
  <si>
    <t>CN101772081</t>
  </si>
  <si>
    <t>US2010030651</t>
  </si>
  <si>
    <t xml:space="preserve">Auto-discovery of diverse communications devices for alert broadcasting </t>
  </si>
  <si>
    <t>US2010199188</t>
  </si>
  <si>
    <t xml:space="preserve">Auto-blog from a mobile device </t>
  </si>
  <si>
    <t>US2008133697</t>
  </si>
  <si>
    <t xml:space="preserve">Snap mobile payment apparatuses, methods and systems </t>
  </si>
  <si>
    <t>US2012209749</t>
  </si>
  <si>
    <t xml:space="preserve">Auto Scanning for Multiple Frequency Stimulation Multi-Touch Sensor Panels </t>
  </si>
  <si>
    <t>US2009189867</t>
  </si>
  <si>
    <t xml:space="preserve">Payment privacy tokenization apparatuses, methods and systems </t>
  </si>
  <si>
    <t>US2012316992</t>
  </si>
  <si>
    <t xml:space="preserve">Method and system for pushing data to a plurality of devices in an on-demand service environment </t>
  </si>
  <si>
    <t>US2008010243</t>
  </si>
  <si>
    <t xml:space="preserve">Systems and Methods For Determining a Coupling Characteristic in a Radio Communications Network </t>
  </si>
  <si>
    <t>US2013040683</t>
  </si>
  <si>
    <t xml:space="preserve">Mobile router device </t>
  </si>
  <si>
    <t>US2007110017</t>
  </si>
  <si>
    <t xml:space="preserve">Transparent Proxy Architecture for Multi-Path Data Connections </t>
  </si>
  <si>
    <t>US2013111038</t>
  </si>
  <si>
    <t xml:space="preserve">Methods and apparatus for partitioning wireless network cells into time-based clusters </t>
  </si>
  <si>
    <t>US2013114464</t>
  </si>
  <si>
    <t xml:space="preserve">Systems for enabling subscriber monitoring of telecommunications network usage and service plans </t>
  </si>
  <si>
    <t>US2012276867</t>
  </si>
  <si>
    <t xml:space="preserve">System and Method for Mobile Network Function Virtualization </t>
  </si>
  <si>
    <t>US2015063166</t>
  </si>
  <si>
    <t xml:space="preserve">Method and apparatus for directing traffic between overlying macrocells and microcells </t>
  </si>
  <si>
    <t>US2011250891</t>
  </si>
  <si>
    <t xml:space="preserve">Systems And/Or Methods For Providing Relay Mobility </t>
  </si>
  <si>
    <t>US2013183971</t>
  </si>
  <si>
    <t xml:space="preserve">Energy-Saving Mechanisms in a Heterogeneous Radio Communication Network </t>
  </si>
  <si>
    <t>US2011044284</t>
  </si>
  <si>
    <t xml:space="preserve">Common radio element application manager architecture for wireless picocells </t>
  </si>
  <si>
    <t>US2012264470</t>
  </si>
  <si>
    <t xml:space="preserve">Resource coordination in cellular networks </t>
  </si>
  <si>
    <t>EP2306761</t>
  </si>
  <si>
    <t xml:space="preserve">Systems and Methods for Server Load Balancing Using Authentication, Authorization, and Accounting Protocols </t>
  </si>
  <si>
    <t>US2009083861</t>
  </si>
  <si>
    <t xml:space="preserve">Method and apparatus for facilitating a communication between an access point base station and a neighboring base station </t>
  </si>
  <si>
    <t>US2010227603</t>
  </si>
  <si>
    <t xml:space="preserve">System for distributed software quality improvement </t>
  </si>
  <si>
    <t>US2013152047</t>
  </si>
  <si>
    <t xml:space="preserve">Electronic message delivery system utilizable in the monitoring and control of remote equipment and method of same </t>
  </si>
  <si>
    <t>US2004095237</t>
  </si>
  <si>
    <t xml:space="preserve">Systems and Methods of Symmetric Transport Control Protocol Compression </t>
  </si>
  <si>
    <t>US2008046616</t>
  </si>
  <si>
    <t xml:space="preserve">Methods and Apparatuses for Rehabilitation and Training </t>
  </si>
  <si>
    <t>US2008161733</t>
  </si>
  <si>
    <t xml:space="preserve">Collecting data by the mobile and processing system </t>
  </si>
  <si>
    <t>JP2006507483</t>
  </si>
  <si>
    <t xml:space="preserve">Mobile agent-based Internet of things middleware development method </t>
  </si>
  <si>
    <t>CN102158554</t>
  </si>
  <si>
    <t xml:space="preserve">Integrating public and private network resources for optimized broadband wireless access and method </t>
  </si>
  <si>
    <t>US2002075844</t>
  </si>
  <si>
    <t xml:space="preserve">Method and system of congestion control in a mobile virtual network </t>
  </si>
  <si>
    <t>US2013182574</t>
  </si>
  <si>
    <t xml:space="preserve">Mechanism for Automated Re-Configuration of an Access Network Element </t>
  </si>
  <si>
    <t>US2011096687</t>
  </si>
  <si>
    <t xml:space="preserve">Managing packet data interconnections in mobile communications </t>
  </si>
  <si>
    <t>US2003021252</t>
  </si>
  <si>
    <t xml:space="preserve">Method and system for access and usage management of a server/client application by a wireless communications appliance </t>
  </si>
  <si>
    <t>US2003088511</t>
  </si>
  <si>
    <t xml:space="preserve">Mobility load balancing and resource status report for scenarios with relay nodes </t>
  </si>
  <si>
    <t>US8743772</t>
  </si>
  <si>
    <t xml:space="preserve">Seamless Handover and Load Balance Between Macro Base Stations and Publicly Accessible Femto Base Stations </t>
  </si>
  <si>
    <t>US2009310568</t>
  </si>
  <si>
    <t xml:space="preserve">Method and apparatus for inter-technology handoff of a user equipment </t>
  </si>
  <si>
    <t>US2009080382</t>
  </si>
  <si>
    <t xml:space="preserve">SDMA Multi-Device Wireless Communications </t>
  </si>
  <si>
    <t>US2011038332</t>
  </si>
  <si>
    <t xml:space="preserve">Method and apparatus of performance balancing of battery cells </t>
  </si>
  <si>
    <t>WO2009128079</t>
  </si>
  <si>
    <t xml:space="preserve">Mobile station and methods for diagnosing and modeling site specific effluent treatment facility requirements </t>
  </si>
  <si>
    <t>US2009032446</t>
  </si>
  <si>
    <t xml:space="preserve">Method and apparatus for carrier allocation and management in multi-carrier communication systems </t>
  </si>
  <si>
    <t>US2007070908</t>
  </si>
  <si>
    <t xml:space="preserve">Method and system for managing secure geographic boundary resources within a network management framework </t>
  </si>
  <si>
    <t>US2003041167</t>
  </si>
  <si>
    <t xml:space="preserve">Systems and methods for providing integrated client-side acceleration techniques to access remote applications </t>
  </si>
  <si>
    <t>US2006253605</t>
  </si>
  <si>
    <t xml:space="preserve">Relaying in a communication system </t>
  </si>
  <si>
    <t>US2011222428</t>
  </si>
  <si>
    <t xml:space="preserve">Satellite based data transfer and delivery system </t>
  </si>
  <si>
    <t>US2003203717</t>
  </si>
  <si>
    <t xml:space="preserve">Dynamically integrating disparate systems and providing secure data sharing </t>
  </si>
  <si>
    <t>US2005203892</t>
  </si>
  <si>
    <t xml:space="preserve">Systems and methods for allocation of classes of service to network connections corresponding to virtual channels </t>
  </si>
  <si>
    <t>US2011276699</t>
  </si>
  <si>
    <t xml:space="preserve">Method and system for managing resources using geographic location information within a network management framework </t>
  </si>
  <si>
    <t>US2003041238</t>
  </si>
  <si>
    <t xml:space="preserve">Interfacing apparatus and methods </t>
  </si>
  <si>
    <t>US2003023435</t>
  </si>
  <si>
    <t xml:space="preserve">Method and apparatus for a web-based application service model for security management </t>
  </si>
  <si>
    <t>US2002031230</t>
  </si>
  <si>
    <t xml:space="preserve">Method and device for providing an alternative backhaul portal in a mesh network </t>
  </si>
  <si>
    <t>US2009080333</t>
  </si>
  <si>
    <t xml:space="preserve">Multi-Interface, Multi-Layer State-full Load Balancer For RAN-Analytics Deployments In Multi-Chassis, Cloud And Virtual Server Environments </t>
  </si>
  <si>
    <t>US2015124622</t>
  </si>
  <si>
    <t xml:space="preserve">Systems and methods for providing client-side accelerated access to remote applications via TCP multiplexing </t>
  </si>
  <si>
    <t>US2006195547</t>
  </si>
  <si>
    <t xml:space="preserve">Multi-channel wireless networks </t>
  </si>
  <si>
    <t>US2007225044</t>
  </si>
  <si>
    <t xml:space="preserve">Decoupled cascaded mixers architechture and related methods </t>
  </si>
  <si>
    <t>US2011149810</t>
  </si>
  <si>
    <t xml:space="preserve">Transmitting Node B Load Status Information in a Self Organising Network </t>
  </si>
  <si>
    <t>US2011038431</t>
  </si>
  <si>
    <t xml:space="preserve">Method and device for processing data </t>
  </si>
  <si>
    <t>US2006248317</t>
  </si>
  <si>
    <t xml:space="preserve">Method and apparatus for sensor network routing </t>
  </si>
  <si>
    <t>US2005207376</t>
  </si>
  <si>
    <t xml:space="preserve">Apparatuses, methods and systems for an online game manager </t>
  </si>
  <si>
    <t>US2011212783</t>
  </si>
  <si>
    <t xml:space="preserve">Mobile location and multimedia information pushing network system based on Bluetooth </t>
  </si>
  <si>
    <t>CN102946378</t>
  </si>
  <si>
    <t xml:space="preserve">Systems and methods for providing and updating a unified client </t>
  </si>
  <si>
    <t>US2011126192</t>
  </si>
  <si>
    <t xml:space="preserve">Apparatus and method for managing neighbor list in mobile communication system </t>
  </si>
  <si>
    <t>US2013130695</t>
  </si>
  <si>
    <t xml:space="preserve">System and balancing kit for mobile toys </t>
  </si>
  <si>
    <t>US3518789</t>
  </si>
  <si>
    <t xml:space="preserve">Mobile, self-propelled crushing machine </t>
  </si>
  <si>
    <t>US4903780</t>
  </si>
  <si>
    <t xml:space="preserve">System, Method, Module, And Energy Exchanger For Optimizing Output Of Series-Connected Photovoltaic And Electrochemical Devices </t>
  </si>
  <si>
    <t>US2012043923</t>
  </si>
  <si>
    <t xml:space="preserve">Systems and Methods for Bridging a WAN Accelerator with a Security Gateway </t>
  </si>
  <si>
    <t>US2009067440</t>
  </si>
  <si>
    <t xml:space="preserve">Automatic balance control buoy apparatus for the water quality measurement system </t>
  </si>
  <si>
    <t>KR20120066168</t>
  </si>
  <si>
    <t xml:space="preserve">Systems and methods for providing quality of service via a flow controlled tunnel </t>
  </si>
  <si>
    <t>US2012078994</t>
  </si>
  <si>
    <t xml:space="preserve">Systems and methods for quality of service of ica published applications </t>
  </si>
  <si>
    <t>US2012042060</t>
  </si>
  <si>
    <t xml:space="preserve">Antenna arrangement, in particular for a mobile radio base station </t>
  </si>
  <si>
    <t>US7679576</t>
  </si>
  <si>
    <t xml:space="preserve">Method for self-adaptive load balancing based on future load prediction </t>
  </si>
  <si>
    <t>CN103889001</t>
  </si>
  <si>
    <t xml:space="preserve">Methods and apparatus for managing renewable energy services for fixed and mobile assets </t>
  </si>
  <si>
    <t>US2012109798</t>
  </si>
  <si>
    <t xml:space="preserve">Multi-carrier, multi-flow, reverse link medium access control for a communication system </t>
  </si>
  <si>
    <t>US2006203724</t>
  </si>
  <si>
    <t xml:space="preserve">Ad hot network subsequent multi-path route method based on load balance </t>
  </si>
  <si>
    <t>CN1738291</t>
  </si>
  <si>
    <t xml:space="preserve">Network oriented control system for self-configuration and self-optimization measurements </t>
  </si>
  <si>
    <t>US2008207195</t>
  </si>
  <si>
    <t xml:space="preserve">Systems and Methods of Installing An Application Without Rebooting </t>
  </si>
  <si>
    <t>US2008046371</t>
  </si>
  <si>
    <t xml:space="preserve">Automatic Profile Selection on Mobile Devices </t>
  </si>
  <si>
    <t>US2013331067</t>
  </si>
  <si>
    <t xml:space="preserve">Systems and methods for load balancing in cellular networks and wireless local area networks </t>
  </si>
  <si>
    <t>US2013163463</t>
  </si>
  <si>
    <t xml:space="preserve">Method and apparatus of communication </t>
  </si>
  <si>
    <t>US2011255514</t>
  </si>
  <si>
    <t xml:space="preserve">Apparatus and method for configuration and optimization of automatic neighbor relation in wireless communication system </t>
  </si>
  <si>
    <t>US2011028181</t>
  </si>
  <si>
    <t xml:space="preserve">Method and system for resource load balancing in a conferencing session </t>
  </si>
  <si>
    <t>US2015181165</t>
  </si>
  <si>
    <t xml:space="preserve">Mobile station and methods for diagnosing and modeling site specific full-scale effluent treatment facility requirements </t>
  </si>
  <si>
    <t>US2011257788</t>
  </si>
  <si>
    <t>US2011163517</t>
  </si>
  <si>
    <t xml:space="preserve">Beam focusing compensation method for an adaptive array </t>
  </si>
  <si>
    <t>DE4314739</t>
  </si>
  <si>
    <t xml:space="preserve">Competency self-assessment approval </t>
  </si>
  <si>
    <t>US2007208575</t>
  </si>
  <si>
    <t xml:space="preserve">Method for accessing content from a computer network via a mobile phone using a two-step retrieval process </t>
  </si>
  <si>
    <t>US2007111713</t>
  </si>
  <si>
    <t xml:space="preserve">Relay Node Interface Related Layer 2 Measurements and Relay Node Handling in Network Load Balancing </t>
  </si>
  <si>
    <t>US2012314569</t>
  </si>
  <si>
    <t xml:space="preserve">Base station, method and computer program product for load balancing in a group of base stations </t>
  </si>
  <si>
    <t>EP2296394</t>
  </si>
  <si>
    <t xml:space="preserve">System and method for load balancing among multiple base stations using network initiated handovers </t>
  </si>
  <si>
    <t>US2011124332</t>
  </si>
  <si>
    <t xml:space="preserve">Radio resource management in wireless local area networks </t>
  </si>
  <si>
    <t>US2005153702</t>
  </si>
  <si>
    <t xml:space="preserve">Cryoelectronic receiver front end for mobile radio systems </t>
  </si>
  <si>
    <t>US6205340</t>
  </si>
  <si>
    <t xml:space="preserve">Optimal operation of hierarchical peer-to-peer networks </t>
  </si>
  <si>
    <t>US2009234917</t>
  </si>
  <si>
    <t>US2014126410</t>
  </si>
  <si>
    <t xml:space="preserve">Global indexing within an enterprise object store file system </t>
  </si>
  <si>
    <t>US2012254111</t>
  </si>
  <si>
    <t xml:space="preserve">Portable self-contained electric power tool </t>
  </si>
  <si>
    <t>US7592773</t>
  </si>
  <si>
    <t xml:space="preserve">Load balancing communications system comprising cellular overlay and ad hoc networks </t>
  </si>
  <si>
    <t>WO2006111809</t>
  </si>
  <si>
    <t xml:space="preserve">Mobile Communication Facility Usage Pattern Geographic Based Advertising </t>
  </si>
  <si>
    <t>US2011143731</t>
  </si>
  <si>
    <t xml:space="preserve">Combined load balancing for overlay and ad hoc networks </t>
  </si>
  <si>
    <t>US2006239207</t>
  </si>
  <si>
    <t>US2012173373</t>
  </si>
  <si>
    <t xml:space="preserve">Self-calibrating oversampling electromechanical modulator and self-calibration method </t>
  </si>
  <si>
    <t>US7155979</t>
  </si>
  <si>
    <t xml:space="preserve">Method and system for remote orders </t>
  </si>
  <si>
    <t>US2010268378</t>
  </si>
  <si>
    <t xml:space="preserve">System and method for coupling a plurality of medical devices in serverless grid </t>
  </si>
  <si>
    <t>US2005060202</t>
  </si>
  <si>
    <t xml:space="preserve">Packet-Based Aggregation of Data Streams Across Disparate Networking Interfaces While Providing Robust Reaction to Dynamic Network Interference With Path Selection and Load Balancing </t>
  </si>
  <si>
    <t>US2013132604</t>
  </si>
  <si>
    <t xml:space="preserve">Attachment kit for mobile flatbed for carrying two vehicles </t>
  </si>
  <si>
    <t>US4880250</t>
  </si>
  <si>
    <t xml:space="preserve">Method and apparatus for load management in cellular communication networks </t>
  </si>
  <si>
    <t>US9148838</t>
  </si>
  <si>
    <t xml:space="preserve">Prioritizing classes of network traffic to provide a predetermined quality of service </t>
  </si>
  <si>
    <t>US2013077486</t>
  </si>
  <si>
    <t xml:space="preserve">Systems and methods for multi-level quality of service classification in an intermediary device </t>
  </si>
  <si>
    <t>US2012039332</t>
  </si>
  <si>
    <t xml:space="preserve">Method and apparatus for dynamic spectrum access </t>
  </si>
  <si>
    <t>US2011090853</t>
  </si>
  <si>
    <t xml:space="preserve">Mobile track vehicle </t>
  </si>
  <si>
    <t>US6021719</t>
  </si>
  <si>
    <t xml:space="preserve">Multi-link aircraft cellular system for simultaneous communication with multiple terrestrial cell sites </t>
  </si>
  <si>
    <t>US2008102813</t>
  </si>
  <si>
    <t xml:space="preserve">Heavy duty crane with self-retracting/erecting live mast </t>
  </si>
  <si>
    <t>US5240129</t>
  </si>
  <si>
    <t xml:space="preserve">Smart vehicle </t>
  </si>
  <si>
    <t>US2016358477</t>
  </si>
  <si>
    <t xml:space="preserve">File manager integration with virtualization in an information management system, including user control and storage management of virtual machines </t>
  </si>
  <si>
    <t>US2015074536</t>
  </si>
  <si>
    <t xml:space="preserve">Systems and methods for providing client-side dynamic redirection to bypass an intermediary </t>
  </si>
  <si>
    <t>US2006248581</t>
  </si>
  <si>
    <t xml:space="preserve">Method and System for Complex Smart Grid Infrastructure Assessment </t>
  </si>
  <si>
    <t>US2013325147</t>
  </si>
  <si>
    <t xml:space="preserve">Dynamically integrating disparate computer-aided dispatch systems </t>
  </si>
  <si>
    <t>US2009100165</t>
  </si>
  <si>
    <t xml:space="preserve">Public transit system fare processor for transfers </t>
  </si>
  <si>
    <t>US2009283591</t>
  </si>
  <si>
    <t xml:space="preserve">High-rate dual-band cellular communications </t>
  </si>
  <si>
    <t>US2014321282</t>
  </si>
  <si>
    <t xml:space="preserve">System for managing the multiple air-to-ground communications links originating from each aircraft in an air-to-ground cellular communication network </t>
  </si>
  <si>
    <t>US2008102814</t>
  </si>
  <si>
    <t xml:space="preserve">Windows position control for phone applications </t>
  </si>
  <si>
    <t>US2012214552</t>
  </si>
  <si>
    <t xml:space="preserve">System, method and apparatus for route-optimized communication for a mobile node nested in a mobile network </t>
  </si>
  <si>
    <t>US2010296443</t>
  </si>
  <si>
    <t xml:space="preserve">Client load balancing, power management, and mobility in hierarchical wireless mesh networks </t>
  </si>
  <si>
    <t>WO2011078646</t>
  </si>
  <si>
    <t xml:space="preserve">Method and system for remote television replay control </t>
  </si>
  <si>
    <t>US2007136445</t>
  </si>
  <si>
    <t xml:space="preserve">Mobile communication in a hierarchical cell structure </t>
  </si>
  <si>
    <t>JP2007514367</t>
  </si>
  <si>
    <t xml:space="preserve">Battery cell balancing system for equalizing the state of charge among series connected electrical energy storage units </t>
  </si>
  <si>
    <t>JP2006507790</t>
  </si>
  <si>
    <t xml:space="preserve">Automated Porting of Application to Mobile Infrastructures </t>
  </si>
  <si>
    <t>US2014215446</t>
  </si>
  <si>
    <t xml:space="preserve">Mobile managed service </t>
  </si>
  <si>
    <t>US2013204785</t>
  </si>
  <si>
    <t xml:space="preserve">Techniques for fractional frequency reuse in wireless networks </t>
  </si>
  <si>
    <t>US2011151881</t>
  </si>
  <si>
    <t xml:space="preserve">Interactive Mobile Advertisement Banners </t>
  </si>
  <si>
    <t>US2014180825</t>
  </si>
  <si>
    <t xml:space="preserve">Self-organization operation processing method and device </t>
  </si>
  <si>
    <t>CN102056206</t>
  </si>
  <si>
    <t xml:space="preserve">Self-managed mediated information flow </t>
  </si>
  <si>
    <t>US2005044268</t>
  </si>
  <si>
    <t xml:space="preserve">Mobile percussion unit </t>
  </si>
  <si>
    <t>US3400771</t>
  </si>
  <si>
    <t xml:space="preserve">Self-portrait assistance in image capturing devices </t>
  </si>
  <si>
    <t>US2010302393</t>
  </si>
  <si>
    <t xml:space="preserve">Cloud hosting systems featuring scaling and load balancing with containers </t>
  </si>
  <si>
    <t>US2017199770</t>
  </si>
  <si>
    <t xml:space="preserve">Pressure balanced bearing lubrication system </t>
  </si>
  <si>
    <t>US3500961</t>
  </si>
  <si>
    <t xml:space="preserve">System and method for reconciling email messages between a mobile wireless communications device and electronic mailbox </t>
  </si>
  <si>
    <t>US2007072588</t>
  </si>
  <si>
    <t xml:space="preserve">Discovery of multiple inter-node links in wireless multi-hop networks </t>
  </si>
  <si>
    <t>US2010097957</t>
  </si>
  <si>
    <t xml:space="preserve">Decentralized and coordinated adjustment of handover parameter values based on a network operator policy </t>
  </si>
  <si>
    <t>EP2166796</t>
  </si>
  <si>
    <t>US2012330750</t>
  </si>
  <si>
    <t>US2012179563</t>
  </si>
  <si>
    <t xml:space="preserve">System and process for managing network communications </t>
  </si>
  <si>
    <t>US2013332996</t>
  </si>
  <si>
    <t xml:space="preserve">Method for balancing gateway load of wireless Mesh network </t>
  </si>
  <si>
    <t>CN102149138</t>
  </si>
  <si>
    <t xml:space="preserve">Self-Organizing Network Function Interaction </t>
  </si>
  <si>
    <t>US2015043386</t>
  </si>
  <si>
    <t xml:space="preserve">Data service on a mobile device </t>
  </si>
  <si>
    <t>US2013332524</t>
  </si>
  <si>
    <t xml:space="preserve">Apparatus, system, and method of securing financial transactions using a mobile device </t>
  </si>
  <si>
    <t>US2015095174</t>
  </si>
  <si>
    <t xml:space="preserve">Mobile communication system, constituent apparatuses thereof, traffic leveling method and program </t>
  </si>
  <si>
    <t>US2012252458</t>
  </si>
  <si>
    <t xml:space="preserve">System, method, and data packets for messaging for electric power grid elements over a secure internet protocol network </t>
  </si>
  <si>
    <t>US2014277788</t>
  </si>
  <si>
    <t>US2013046582</t>
  </si>
  <si>
    <t xml:space="preserve">Load Balancing for Network Devices </t>
  </si>
  <si>
    <t>US2012271964</t>
  </si>
  <si>
    <t xml:space="preserve">Efficient systems and methods for construction and operation of mobile wind power platforms </t>
  </si>
  <si>
    <t>US2013334824</t>
  </si>
  <si>
    <t xml:space="preserve">System and a method for managing wireless networks </t>
  </si>
  <si>
    <t>US2014204745</t>
  </si>
  <si>
    <t xml:space="preserve">Interference management and network performance optimization in dense wifi networks </t>
  </si>
  <si>
    <t>US2013272285</t>
  </si>
  <si>
    <t xml:space="preserve">A method for achieving load balance between access point devices in the wireless local area network </t>
  </si>
  <si>
    <t>EP1727312</t>
  </si>
  <si>
    <t xml:space="preserve">Sensing the screen positions in a dual screen phone </t>
  </si>
  <si>
    <t>US2013076597</t>
  </si>
  <si>
    <t xml:space="preserve">Anastomosis apparatus and methods with computer-aided, automated features </t>
  </si>
  <si>
    <t>US2005209614</t>
  </si>
  <si>
    <t xml:space="preserve">Mixed mobile agent-based wireless sensor network data transmission method </t>
  </si>
  <si>
    <t>CN101039321</t>
  </si>
  <si>
    <t xml:space="preserve">Air-to-ground cellular communication network terrestrial base station having multi-dimensional sectors with alternating radio frequency polarizations </t>
  </si>
  <si>
    <t>US2008102812</t>
  </si>
  <si>
    <t xml:space="preserve">Mobile power driven vegetation trimmer and line feed control </t>
  </si>
  <si>
    <t>US6684614</t>
  </si>
  <si>
    <t xml:space="preserve">Method for constructing stabilized self-adaption self-organization network terminal </t>
  </si>
  <si>
    <t>CN1491055</t>
  </si>
  <si>
    <t xml:space="preserve">Production of Peroxycarboxylic Acids </t>
  </si>
  <si>
    <t>US2009314652</t>
  </si>
  <si>
    <t xml:space="preserve">Method and apparatus for realizing loading balance in wireless network </t>
  </si>
  <si>
    <t>JP2008295045</t>
  </si>
  <si>
    <t>US2012179567</t>
  </si>
  <si>
    <t>US2012173367</t>
  </si>
  <si>
    <t xml:space="preserve">Enhancement of a cell reselection parameter in heterogeneous networks </t>
  </si>
  <si>
    <t>US2015312805</t>
  </si>
  <si>
    <t xml:space="preserve">Apparatus and method for load balancing </t>
  </si>
  <si>
    <t>US2012236712</t>
  </si>
  <si>
    <t xml:space="preserve">Predictive Text Completion For A Mobile Communication Facility </t>
  </si>
  <si>
    <t>US2014181100</t>
  </si>
  <si>
    <t xml:space="preserve">Self-propelled pruning machine for spherical trees </t>
  </si>
  <si>
    <t>CN204090613</t>
  </si>
  <si>
    <t>US2012179564</t>
  </si>
  <si>
    <t xml:space="preserve">System and method for prediction and recognition of input sequences </t>
  </si>
  <si>
    <t>US2015089435</t>
  </si>
  <si>
    <t xml:space="preserve">Measurement control method for switching between mobile communication cells </t>
  </si>
  <si>
    <t>CN1805592</t>
  </si>
  <si>
    <t xml:space="preserve">Visual voicemail network architecture </t>
  </si>
  <si>
    <t>US2010151831</t>
  </si>
  <si>
    <t xml:space="preserve">SYSTEMS, METHODS AND MEDIA FOR MOBILE MANAGEMENT ENTITY (MME) SELECTION BY EVOLVED NODE B (eNodeB) </t>
  </si>
  <si>
    <t>US2014169269</t>
  </si>
  <si>
    <t xml:space="preserve">Laser Projection White Balance Tracking </t>
  </si>
  <si>
    <t>US2009160833</t>
  </si>
  <si>
    <t>US2012173370</t>
  </si>
  <si>
    <t xml:space="preserve">Cell structure, the self-assembled structures, and related methods </t>
  </si>
  <si>
    <t>JP2005525674</t>
  </si>
  <si>
    <t>US2013076153</t>
  </si>
  <si>
    <t xml:space="preserve">Mobile radio system with adaptive channel allocation </t>
  </si>
  <si>
    <t>EP0585994</t>
  </si>
  <si>
    <t xml:space="preserve">Mobile communication frequency planning method based on genetic algorithm </t>
  </si>
  <si>
    <t>CN101047937</t>
  </si>
  <si>
    <t xml:space="preserve">Self-Configuring Networking Devices For Providing Services in a Network </t>
  </si>
  <si>
    <t>US2011158088</t>
  </si>
  <si>
    <t xml:space="preserve">Self-contained muscular-skeletal parameter measurement system having shims to adjust height </t>
  </si>
  <si>
    <t>US2013079671</t>
  </si>
  <si>
    <t xml:space="preserve">Mobile ad hoc network with dynamic tdma slot assignments and related methods </t>
  </si>
  <si>
    <t>US2013100942</t>
  </si>
  <si>
    <t>US8691413</t>
  </si>
  <si>
    <t xml:space="preserve">Cell activation and deactivation in heterogeneous networks </t>
  </si>
  <si>
    <t>US2013310048</t>
  </si>
  <si>
    <t xml:space="preserve">Lateral jib for vertical mast mobile elevating work platform </t>
  </si>
  <si>
    <t>US6378652</t>
  </si>
  <si>
    <t xml:space="preserve">Router and rapid response network </t>
  </si>
  <si>
    <t>US2012134257</t>
  </si>
  <si>
    <t xml:space="preserve">Self-discharge for high voltage battery packs </t>
  </si>
  <si>
    <t>US2013307480</t>
  </si>
  <si>
    <t xml:space="preserve">Separating intelligent computerized cell having external displaying panel </t>
  </si>
  <si>
    <t>CN2641944</t>
  </si>
  <si>
    <t>US2012135739</t>
  </si>
  <si>
    <t>US2016357262</t>
  </si>
  <si>
    <t xml:space="preserve">Self-doped molecular composite battery electrolytes </t>
  </si>
  <si>
    <t>US6544690</t>
  </si>
  <si>
    <t xml:space="preserve">Method and device for cooperatively processing self-organizing operation, and communication system </t>
  </si>
  <si>
    <t>CN102056336</t>
  </si>
  <si>
    <t xml:space="preserve">Method and apparatus for hysteroscopy and endometrial biopsy </t>
  </si>
  <si>
    <t>US2014288460</t>
  </si>
  <si>
    <t>US2015347683</t>
  </si>
  <si>
    <t xml:space="preserve">System and method for monitoring and altering performance of a packet network </t>
  </si>
  <si>
    <t>US2012314573</t>
  </si>
  <si>
    <t xml:space="preserve">One click VoIP service system based on web contents and the method thereof </t>
  </si>
  <si>
    <t>KR20010086595</t>
  </si>
  <si>
    <t>US8672062</t>
  </si>
  <si>
    <t xml:space="preserve">Clutch assembly and methods of assembling and operating the same </t>
  </si>
  <si>
    <t>US2003106767</t>
  </si>
  <si>
    <t xml:space="preserve">Distributed service framework </t>
  </si>
  <si>
    <t>US2011047084</t>
  </si>
  <si>
    <t xml:space="preserve">Radio communication method, radio communication system, and base station </t>
  </si>
  <si>
    <t>JP2008211645</t>
  </si>
  <si>
    <t xml:space="preserve">Method and device for authenticating a mobile station on an alternative communications network </t>
  </si>
  <si>
    <t>WO2014122588</t>
  </si>
  <si>
    <t xml:space="preserve">Energy receiver, detection method, power transmission system, detection device, and energy transmitter </t>
  </si>
  <si>
    <t>CN103765728</t>
  </si>
  <si>
    <t xml:space="preserve">Electromagnetic coupling state detection circuit, transmission equipment, non-contact power transmission system, and method for detecting electromagnetic coupling state </t>
  </si>
  <si>
    <t>JP2012244732</t>
  </si>
  <si>
    <t xml:space="preserve">Unified Mobile Learning Platform </t>
  </si>
  <si>
    <t>US2015057994</t>
  </si>
  <si>
    <t xml:space="preserve">Mobile police information platform </t>
  </si>
  <si>
    <t>CN103738438</t>
  </si>
  <si>
    <t xml:space="preserve">Fuel system of mobile platform and method for balancing fuel level between fuel storage devices </t>
  </si>
  <si>
    <t>CN101291847</t>
  </si>
  <si>
    <t xml:space="preserve">Remote Controlled Mobile Platform </t>
  </si>
  <si>
    <t>US2008283661</t>
  </si>
  <si>
    <t xml:space="preserve">Method for Single Workflow for Multi-Platform Mobile Application Creation and Delivery </t>
  </si>
  <si>
    <t>US2014280476</t>
  </si>
  <si>
    <t xml:space="preserve">Fuel balancing system </t>
  </si>
  <si>
    <t>US2007084511</t>
  </si>
  <si>
    <t xml:space="preserve">Mobile sawmill unit </t>
  </si>
  <si>
    <t>US3111146</t>
  </si>
  <si>
    <t>US8315198</t>
  </si>
  <si>
    <t xml:space="preserve">Non-signature malware detection system and method for mobile platforms </t>
  </si>
  <si>
    <t>US8312545</t>
  </si>
  <si>
    <t xml:space="preserve">System and method for migrating user account data </t>
  </si>
  <si>
    <t>US2007226304</t>
  </si>
  <si>
    <t xml:space="preserve">Tilting mobile platform </t>
  </si>
  <si>
    <t>US4943202</t>
  </si>
  <si>
    <t xml:space="preserve">System for Targeting Advertising to Mobile Communication Facilities Using Third Party Data </t>
  </si>
  <si>
    <t>US2012215640</t>
  </si>
  <si>
    <t xml:space="preserve">Self-contained powered jib boom and optional work platform attachment for mobile cranes </t>
  </si>
  <si>
    <t>US8857567</t>
  </si>
  <si>
    <t xml:space="preserve">System and method for tournament gaming using social network based team formation </t>
  </si>
  <si>
    <t>US2012122561</t>
  </si>
  <si>
    <t xml:space="preserve">System and method for triggering mobile device functionality using a payment card </t>
  </si>
  <si>
    <t>US2014172577</t>
  </si>
  <si>
    <t xml:space="preserve">System and method for rendering presentation pages based on locality </t>
  </si>
  <si>
    <t>US2007226608</t>
  </si>
  <si>
    <t xml:space="preserve">Seamlessly switching among unicast, multicast, and broadcast mobile media content </t>
  </si>
  <si>
    <t>US8219134</t>
  </si>
  <si>
    <t xml:space="preserve">Method and system for cloud-based management of self-organizing wireless networks </t>
  </si>
  <si>
    <t>US2014269364</t>
  </si>
  <si>
    <t xml:space="preserve">Distributed computing service platform </t>
  </si>
  <si>
    <t>JP2004531780</t>
  </si>
  <si>
    <t xml:space="preserve">Method and system for storage and retrieval of blockchain blocks using galois fields </t>
  </si>
  <si>
    <t>US2016321654</t>
  </si>
  <si>
    <t xml:space="preserve">Smart mobile application development platform </t>
  </si>
  <si>
    <t>US9141926</t>
  </si>
  <si>
    <t xml:space="preserve">Multiple configuration Implement Carrier Kit </t>
  </si>
  <si>
    <t>US2009020369</t>
  </si>
  <si>
    <t xml:space="preserve">System and method for games having a skill-based component </t>
  </si>
  <si>
    <t>US2012122553</t>
  </si>
  <si>
    <t xml:space="preserve">Method for processing M2M (Machine to Machine) platform service and M2M platform </t>
  </si>
  <si>
    <t>CN101902681</t>
  </si>
  <si>
    <t xml:space="preserve">System and Method for Cross Platform Persistent Gaming Sessions Using a Mobile Device </t>
  </si>
  <si>
    <t>US2013203489</t>
  </si>
  <si>
    <t xml:space="preserve">Systems, methods and devices for asset status determination </t>
  </si>
  <si>
    <t>US2016142868</t>
  </si>
  <si>
    <t xml:space="preserve">System for transforming application data using xslt extensions to render templates from cache and related methods </t>
  </si>
  <si>
    <t>US2007083599</t>
  </si>
  <si>
    <t xml:space="preserve">Leak Detector </t>
  </si>
  <si>
    <t>US7383721</t>
  </si>
  <si>
    <t xml:space="preserve">Managing distribution of content using mobile agents in peer-topeer networks </t>
  </si>
  <si>
    <t>US7254608</t>
  </si>
  <si>
    <t xml:space="preserve">Structure and accelerator platform placement for a wind turbine tower </t>
  </si>
  <si>
    <t>US2012051939</t>
  </si>
  <si>
    <t xml:space="preserve">Multifunctional videography/cinematography balancing support </t>
  </si>
  <si>
    <t>CN203376551</t>
  </si>
  <si>
    <t xml:space="preserve">Off-shore drill rig </t>
  </si>
  <si>
    <t>US3001594</t>
  </si>
  <si>
    <t xml:space="preserve">System and method for a cloud computing abstraction layer with security zone facilities </t>
  </si>
  <si>
    <t>US2012185913</t>
  </si>
  <si>
    <t xml:space="preserve">DriveOn Pay(TM) as WiMAX-compatible Menu-Driven Dashtop Mobile Payment Platform </t>
  </si>
  <si>
    <t>US2008208680</t>
  </si>
  <si>
    <t xml:space="preserve">System and method for a cloud computing abstraction with multi-tier deployment policy </t>
  </si>
  <si>
    <t>US2014280961</t>
  </si>
  <si>
    <t xml:space="preserve">Simultaneous Content Data Streaming And Interaction System </t>
  </si>
  <si>
    <t>US2014195675</t>
  </si>
  <si>
    <t xml:space="preserve">Trust mechanisms for a peer-to-peer network computing platform </t>
  </si>
  <si>
    <t>US7275102</t>
  </si>
  <si>
    <t xml:space="preserve">System, method, and apparatus for determining and using the position of wireless devices or infrastructure for wireless network enhancements </t>
  </si>
  <si>
    <t>US8019352</t>
  </si>
  <si>
    <t xml:space="preserve">Manual, self-contained, free-standing, vehicle washing/cleaning center </t>
  </si>
  <si>
    <t>US5033489</t>
  </si>
  <si>
    <t xml:space="preserve">Air treatment system </t>
  </si>
  <si>
    <t>US5616172</t>
  </si>
  <si>
    <t xml:space="preserve">Systems and methods for mobile wireless advertising platform part 1 </t>
  </si>
  <si>
    <t>US2009276303</t>
  </si>
  <si>
    <t xml:space="preserve">Managing computer network resources </t>
  </si>
  <si>
    <t>US7747730</t>
  </si>
  <si>
    <t xml:space="preserve">Personal virtual assistant </t>
  </si>
  <si>
    <t>US7920678</t>
  </si>
  <si>
    <t xml:space="preserve">Business alliance identification in a web architecture Framework </t>
  </si>
  <si>
    <t>US7149698</t>
  </si>
  <si>
    <t xml:space="preserve">Personal virtual assistant with semantic tagging </t>
  </si>
  <si>
    <t>US6466654</t>
  </si>
  <si>
    <t xml:space="preserve">Apparatus, method and system for distributed and automatic inventory, status and database creation and control for remote communication sites </t>
  </si>
  <si>
    <t>US6154728</t>
  </si>
  <si>
    <t xml:space="preserve">System and method of a media delivery services platform for targeting consumers in real time </t>
  </si>
  <si>
    <t>US2012022930</t>
  </si>
  <si>
    <t xml:space="preserve">Mobile Robotic Vehicle </t>
  </si>
  <si>
    <t>US2010139995</t>
  </si>
  <si>
    <t xml:space="preserve">Programmable modem apparatus for transmitting and receiving digital data, design method and use method for said modem </t>
  </si>
  <si>
    <t>US5872810</t>
  </si>
  <si>
    <t xml:space="preserve">2Ã—4 drilling and hoisting system </t>
  </si>
  <si>
    <t>US5503234</t>
  </si>
  <si>
    <t xml:space="preserve">Automated demand response energy management system </t>
  </si>
  <si>
    <t>US8417391</t>
  </si>
  <si>
    <t xml:space="preserve">System and method for providing a network discovery service platform </t>
  </si>
  <si>
    <t>US2016112521</t>
  </si>
  <si>
    <t>US2012022944</t>
  </si>
  <si>
    <t xml:space="preserve">Technique for processing customer service transactions at customer site using mobile computing device </t>
  </si>
  <si>
    <t>US6975937</t>
  </si>
  <si>
    <t xml:space="preserve">Programmable modem apparatus for transmitting and receiving digital data, design method and use method for the modem </t>
  </si>
  <si>
    <t>US6307877</t>
  </si>
  <si>
    <t xml:space="preserve">Interprocess communication protocol system modem </t>
  </si>
  <si>
    <t>US6212566</t>
  </si>
  <si>
    <t xml:space="preserve">Account holder notification for an infracting mobile station or mobile directory number (MDN) </t>
  </si>
  <si>
    <t>US8194581</t>
  </si>
  <si>
    <t xml:space="preserve">Presence detection using mobile agents in peer-to-peer networks </t>
  </si>
  <si>
    <t>US8037202</t>
  </si>
  <si>
    <t xml:space="preserve">Mobile water ride having sluice slide-over cover </t>
  </si>
  <si>
    <t>US6491589</t>
  </si>
  <si>
    <t xml:space="preserve">Method and system for providing adaptive and proactive interaction management for multiple types of business interactions occurring in a multimedia communications environment </t>
  </si>
  <si>
    <t>US7373410</t>
  </si>
  <si>
    <t xml:space="preserve">Image and data processing system </t>
  </si>
  <si>
    <t>US7421153</t>
  </si>
  <si>
    <t xml:space="preserve">Method and system for enabling automated and real-time discovery of skills available to agents and systems in a multimedia communications network </t>
  </si>
  <si>
    <t>US7792773</t>
  </si>
  <si>
    <t xml:space="preserve">Self-Adjusting Mobile Platform Policy Enforcement Agent for Controlling Network Access, Mobility and Efficient Use of Local and Network Resources </t>
  </si>
  <si>
    <t>US2013122910</t>
  </si>
  <si>
    <t>US6922455</t>
  </si>
  <si>
    <t xml:space="preserve">Methods and systems for sharing risk responses between collections of mobile communications devices </t>
  </si>
  <si>
    <t>US2016099963</t>
  </si>
  <si>
    <t xml:space="preserve">System and method for security protection, inventory tracking and automated shopping cart checkout </t>
  </si>
  <si>
    <t>US7780081</t>
  </si>
  <si>
    <t xml:space="preserve">JTAG-based programming and debug </t>
  </si>
  <si>
    <t>US8856600</t>
  </si>
  <si>
    <t xml:space="preserve">Collaborative content coherence using mobile agents in peer-to-peer networks </t>
  </si>
  <si>
    <t>US2004088646</t>
  </si>
  <si>
    <t xml:space="preserve">Mobile wallet store and service injection platform apparatuses, methods and systems </t>
  </si>
  <si>
    <t>US2013166332</t>
  </si>
  <si>
    <t xml:space="preserve">Secure mobile platform system </t>
  </si>
  <si>
    <t>US8087067</t>
  </si>
  <si>
    <t xml:space="preserve">Controlling mobile device access to secure data </t>
  </si>
  <si>
    <t>US8959579</t>
  </si>
  <si>
    <t xml:space="preserve">Method of virtual transaction using mobile electronic devices or fixed electronic devices or a combination of both, for global commercial or noncommercial purposes </t>
  </si>
  <si>
    <t>US2013006848</t>
  </si>
  <si>
    <t xml:space="preserve">User Interface Methods, Such as for Customer Self-Support on a Mobile Device </t>
  </si>
  <si>
    <t>US2008280588</t>
  </si>
  <si>
    <t xml:space="preserve">Cart transportable mobile medical critical care point of need field installation units </t>
  </si>
  <si>
    <t>US8505959</t>
  </si>
  <si>
    <t xml:space="preserve">Scissor lift apparatus for work platforms and the like </t>
  </si>
  <si>
    <t>US5394959</t>
  </si>
  <si>
    <t xml:space="preserve">Communication system for multizone irrigation </t>
  </si>
  <si>
    <t>WO2005002321</t>
  </si>
  <si>
    <t xml:space="preserve">Digital rights management in a mobile environment </t>
  </si>
  <si>
    <t>US9124650</t>
  </si>
  <si>
    <t xml:space="preserve">Systems and methods of providing security and reliability to proxy caches </t>
  </si>
  <si>
    <t>US8103783</t>
  </si>
  <si>
    <t xml:space="preserve">Platform validation and management of wireless devices </t>
  </si>
  <si>
    <t>US2011010543</t>
  </si>
  <si>
    <t xml:space="preserve">Peer trust evaluation using mobile agents in peer-to-peer networks </t>
  </si>
  <si>
    <t>US2004088369</t>
  </si>
  <si>
    <t xml:space="preserve">Mobile agents in peer-to-peer networks </t>
  </si>
  <si>
    <t>US2004088347</t>
  </si>
  <si>
    <t xml:space="preserve">Payment processing method and system </t>
  </si>
  <si>
    <t>US2006149671</t>
  </si>
  <si>
    <t xml:space="preserve">Lottery management system </t>
  </si>
  <si>
    <t>US2003228910</t>
  </si>
  <si>
    <t xml:space="preserve">Platform abstraction layer for a wireless malware scanning engine </t>
  </si>
  <si>
    <t>US2003079145</t>
  </si>
  <si>
    <t xml:space="preserve">Data storage system utilizing proxy device for storage operations </t>
  </si>
  <si>
    <t>US9298715</t>
  </si>
  <si>
    <t xml:space="preserve">System and method for secure ad hoc mobile communications and applications </t>
  </si>
  <si>
    <t>US2005141706</t>
  </si>
  <si>
    <t xml:space="preserve">Pervasive, user-centric network security enabled by dynamic datagram switch and an on-demand authentication and encryption scheme through mobile intelligent data carriers </t>
  </si>
  <si>
    <t>US2004221163</t>
  </si>
  <si>
    <t xml:space="preserve">Voice application network platform </t>
  </si>
  <si>
    <t>US2007047719</t>
  </si>
  <si>
    <t xml:space="preserve">Migrating data integration processes through use of externalized metadata representations </t>
  </si>
  <si>
    <t>US2005251533</t>
  </si>
  <si>
    <t xml:space="preserve">System, method and computer program product for self-verifying file content in a speech recognition framework </t>
  </si>
  <si>
    <t>US2002169605</t>
  </si>
  <si>
    <t xml:space="preserve">Systems and methods of using the refresh button to determine freshness policy </t>
  </si>
  <si>
    <t>US2008229025</t>
  </si>
  <si>
    <t xml:space="preserve">Distributed message transmission system and method </t>
  </si>
  <si>
    <t>US2005078660</t>
  </si>
  <si>
    <t>WO2014158766</t>
  </si>
  <si>
    <t xml:space="preserve">Method and apparatus enabling voice-based management of state and interaction of a remote knowledge worker in a contact center environment </t>
  </si>
  <si>
    <t>US2004019638</t>
  </si>
  <si>
    <t xml:space="preserve">Systems and methods for prefetching non-cacheable content for compression history </t>
  </si>
  <si>
    <t>US2008228864</t>
  </si>
  <si>
    <t>US2004132495</t>
  </si>
  <si>
    <t xml:space="preserve">Method for a server-less office architecture </t>
  </si>
  <si>
    <t>US2005288961</t>
  </si>
  <si>
    <t xml:space="preserve">Controlled Delivery of Content Data Streams to Remote Users </t>
  </si>
  <si>
    <t>US2011197237</t>
  </si>
  <si>
    <t xml:space="preserve">Autoband </t>
  </si>
  <si>
    <t>US2003153338</t>
  </si>
  <si>
    <t xml:space="preserve">Software-based network attached storage services hosted on massively distributed parallel computing networks </t>
  </si>
  <si>
    <t>US2002013832</t>
  </si>
  <si>
    <t xml:space="preserve">Slicing architecture for wireless communication </t>
  </si>
  <si>
    <t>US2017079059</t>
  </si>
  <si>
    <t xml:space="preserve">Virtual server agent load balancing </t>
  </si>
  <si>
    <t>US2014196056</t>
  </si>
  <si>
    <t xml:space="preserve">Method and system for an uncompromising connection from a computing device having information storage like email server to a wireless mobile device </t>
  </si>
  <si>
    <t>US2007100978</t>
  </si>
  <si>
    <t xml:space="preserve">Packet capture for error tracking </t>
  </si>
  <si>
    <t>US2013347103</t>
  </si>
  <si>
    <t xml:space="preserve">High-speed cld-based tcp segmentation offload </t>
  </si>
  <si>
    <t>US2013343408</t>
  </si>
  <si>
    <t xml:space="preserve">Systems and Methods to Segment Customers </t>
  </si>
  <si>
    <t>US2012066065</t>
  </si>
  <si>
    <t xml:space="preserve">Computerized method and system for managing secure mobile device content viewing in a networked secure collaborative exchange environment </t>
  </si>
  <si>
    <t>US2014047560</t>
  </si>
  <si>
    <t xml:space="preserve">Transfer verification of mobile payments </t>
  </si>
  <si>
    <t>US2014248941</t>
  </si>
  <si>
    <t xml:space="preserve">Techniques for the deployment and management of network connected devices </t>
  </si>
  <si>
    <t>US2016087933</t>
  </si>
  <si>
    <t xml:space="preserve">Systems and methods for split proxying of ssl via wan appliances </t>
  </si>
  <si>
    <t>US2011264905</t>
  </si>
  <si>
    <t xml:space="preserve">Systems and methods of using packet boundaries for reduction in timeout prevention </t>
  </si>
  <si>
    <t>US2007206621</t>
  </si>
  <si>
    <t xml:space="preserve">Systems and methods for selecting an authentication virtual server from a plurality of virtual servers </t>
  </si>
  <si>
    <t>US2010242092</t>
  </si>
  <si>
    <t xml:space="preserve">Method and apparatus for the adaptation of multimedia content in telecommunications networks </t>
  </si>
  <si>
    <t>US2008195761</t>
  </si>
  <si>
    <t xml:space="preserve">Systems and methods for sr-iov pass-thru via an intermediary device </t>
  </si>
  <si>
    <t>US2012284712</t>
  </si>
  <si>
    <t xml:space="preserve">Systems and methods for additional retransmissions of dropped packets </t>
  </si>
  <si>
    <t>US2007206497</t>
  </si>
  <si>
    <t xml:space="preserve">Systems and methods of compression history expiration and synchronization </t>
  </si>
  <si>
    <t>US2008229137</t>
  </si>
  <si>
    <t xml:space="preserve">Systems and methods for real-time endpoint application flow control with network structure component </t>
  </si>
  <si>
    <t>US2010121972</t>
  </si>
  <si>
    <t xml:space="preserve">Systems and methods of dynamically checking freshness of cached objects based on link status </t>
  </si>
  <si>
    <t>US2008229024</t>
  </si>
  <si>
    <t xml:space="preserve">Remote transfer of electronic images to a vehicle </t>
  </si>
  <si>
    <t>US2014282470</t>
  </si>
  <si>
    <t xml:space="preserve">Systems and methods for aaa-traffic management information sharing across cores in a multi-core system </t>
  </si>
  <si>
    <t>US2011154443</t>
  </si>
  <si>
    <t xml:space="preserve">Method and apparatus for distributed communication using short range and wide range communication links </t>
  </si>
  <si>
    <t>US2012057456</t>
  </si>
  <si>
    <t xml:space="preserve">Unified cache and peer-to-peer method and apparatus for streaming media in wireless mesh networks </t>
  </si>
  <si>
    <t>US2011225312</t>
  </si>
  <si>
    <t xml:space="preserve">Electronic device </t>
  </si>
  <si>
    <t>US2017011210</t>
  </si>
  <si>
    <t xml:space="preserve">Massively distributed processing system architecture, scheduling, unique device identification and associated methods </t>
  </si>
  <si>
    <t>US2004148336</t>
  </si>
  <si>
    <t xml:space="preserve">Systems and methods for distributing tasks and/or processing recources in a system </t>
  </si>
  <si>
    <t>US2013346987</t>
  </si>
  <si>
    <t xml:space="preserve">Systems and methods of data processing using an fpga-implemented hash function </t>
  </si>
  <si>
    <t>US2013343181</t>
  </si>
  <si>
    <t>US2011225311</t>
  </si>
  <si>
    <t xml:space="preserve">Efficient systems and methods for construction and operation of accelerating machines </t>
  </si>
  <si>
    <t>US2010150718</t>
  </si>
  <si>
    <t xml:space="preserve">Pervasive, domain and situational-aware, adaptive, automated, and coordinated analysis and control of enterprise-wide computers, networks, and applications for mitigation of business and operational risks and enhancement of cyber security </t>
  </si>
  <si>
    <t>US2013104236</t>
  </si>
  <si>
    <t xml:space="preserve">Elevator system, suspension element for an elevator system, and device for manufacturing a suspension element </t>
  </si>
  <si>
    <t>US2010133046</t>
  </si>
  <si>
    <t xml:space="preserve">Method And Apparatus For A Handling A Cell Change </t>
  </si>
  <si>
    <t>US2012327797</t>
  </si>
  <si>
    <t xml:space="preserve">System Architecture for Load Balancing in Distributed Multi-User Application </t>
  </si>
  <si>
    <t>US2007294387</t>
  </si>
  <si>
    <t xml:space="preserve">Internet visual surveillance and management technology for telecommunications, Internet, cellular and other communications companies </t>
  </si>
  <si>
    <t>US2009027495</t>
  </si>
  <si>
    <t xml:space="preserve">System, method and computer program product for equipping wireless devices with malware scanning capabilities </t>
  </si>
  <si>
    <t>US2003233574</t>
  </si>
  <si>
    <t xml:space="preserve">Proximity and context aware mobile workspaces in enterprise systems </t>
  </si>
  <si>
    <t>US2014344446</t>
  </si>
  <si>
    <t xml:space="preserve">Providing centralized services to game operators </t>
  </si>
  <si>
    <t>US2009143128</t>
  </si>
  <si>
    <t xml:space="preserve">Systems and methods for stochastic-based quality of service </t>
  </si>
  <si>
    <t>US2007206615</t>
  </si>
  <si>
    <t xml:space="preserve">Systems and methods for intermediaries to compress data communicated via a remote display protocol </t>
  </si>
  <si>
    <t>US2010241694</t>
  </si>
  <si>
    <t xml:space="preserve">Systems and methods for providing quality of service precedence in tcp congestion control </t>
  </si>
  <si>
    <t>US2008225721</t>
  </si>
  <si>
    <t xml:space="preserve">Customizable Storage Controller With Integrated F+ Storage Firewall Protection </t>
  </si>
  <si>
    <t>US2014020083</t>
  </si>
  <si>
    <t xml:space="preserve">Unmanned aerial vehicles </t>
  </si>
  <si>
    <t>US2017069214</t>
  </si>
  <si>
    <t xml:space="preserve">Interprocess communication protocol system </t>
  </si>
  <si>
    <t>US7099949</t>
  </si>
  <si>
    <t xml:space="preserve">Methods and systems for providing advertising to consumers </t>
  </si>
  <si>
    <t>US2007288310</t>
  </si>
  <si>
    <t xml:space="preserve">Systems and Methods for Integration and Anomymization of Supplier Data </t>
  </si>
  <si>
    <t>US2011246298</t>
  </si>
  <si>
    <t xml:space="preserve">Mobile fueling assembly </t>
  </si>
  <si>
    <t>US6701980</t>
  </si>
  <si>
    <t xml:space="preserve">Systems and methods for providing virtual fair queueing of network traffic </t>
  </si>
  <si>
    <t>US2008225728</t>
  </si>
  <si>
    <t xml:space="preserve">A vehicle network monitoring system based on a Beidou positioning system </t>
  </si>
  <si>
    <t>CN104091375</t>
  </si>
  <si>
    <t xml:space="preserve">Intravaginal monitoring device and network </t>
  </si>
  <si>
    <t>US2013053657</t>
  </si>
  <si>
    <t xml:space="preserve">Systems and methods for an extensible authentication framework </t>
  </si>
  <si>
    <t>US2012023558</t>
  </si>
  <si>
    <t xml:space="preserve">Prune and nut harvester </t>
  </si>
  <si>
    <t>US2714281</t>
  </si>
  <si>
    <t xml:space="preserve">System for implementing vehicle monitoring scheduling by GPS intelligent vehicle mounted terminal </t>
  </si>
  <si>
    <t>CN101315731</t>
  </si>
  <si>
    <t xml:space="preserve">Systems and methods for software-implemented telephony devices in a voice over internet protocol (VoIP) system </t>
  </si>
  <si>
    <t>US8467354</t>
  </si>
  <si>
    <t xml:space="preserve">Unified message management method and system </t>
  </si>
  <si>
    <t>US2011282949</t>
  </si>
  <si>
    <t xml:space="preserve">Systems and methods for cell-centric simulation of biological events and cell based-models produced therefrom </t>
  </si>
  <si>
    <t>US2010153082</t>
  </si>
  <si>
    <t xml:space="preserve">Securing a network connection by way of an endpoint computing device </t>
  </si>
  <si>
    <t>US2010235514</t>
  </si>
  <si>
    <t>US2010189251</t>
  </si>
  <si>
    <t xml:space="preserve">Mobile vapor recovery and vapor scavenging unit </t>
  </si>
  <si>
    <t>US5050603</t>
  </si>
  <si>
    <t xml:space="preserve">Spreading and Precoding in OFDM </t>
  </si>
  <si>
    <t>US2016254889</t>
  </si>
  <si>
    <t xml:space="preserve">Security cloud storage system based on increment synchronization </t>
  </si>
  <si>
    <t>CN104023085</t>
  </si>
  <si>
    <t xml:space="preserve">Methods for analyzing and optimizing the performance of a data collection network on an electrical distribution grid </t>
  </si>
  <si>
    <t>US2014233620</t>
  </si>
  <si>
    <t xml:space="preserve">Integrated imaging workstation and a method for improving, objectifying and documenting in vivo examinations of the uterus </t>
  </si>
  <si>
    <t>US2009076368</t>
  </si>
  <si>
    <t xml:space="preserve">Systems and Methods of Providing A Multi-Tier Cache </t>
  </si>
  <si>
    <t>US2008229020</t>
  </si>
  <si>
    <t xml:space="preserve">Systems and methods for providing user interfaces for management applications </t>
  </si>
  <si>
    <t>US2013246944</t>
  </si>
  <si>
    <t xml:space="preserve">Systems and methods for allocating bandwidth by an intermediary for flow control </t>
  </si>
  <si>
    <t>US2010095021</t>
  </si>
  <si>
    <t xml:space="preserve">Scanner for scanning items marked with near-infrared tags </t>
  </si>
  <si>
    <t>US7702187</t>
  </si>
  <si>
    <t xml:space="preserve">Vehicle control and gateway module </t>
  </si>
  <si>
    <t>US2013211628</t>
  </si>
  <si>
    <t xml:space="preserve">System, Method and Apparatus for Electronically Protecting Data Associated with RFID Tags </t>
  </si>
  <si>
    <t>US2007204329</t>
  </si>
  <si>
    <t xml:space="preserve">Computing systems that capture cost information for total cost of ownership analyses </t>
  </si>
  <si>
    <t>US2005071348</t>
  </si>
  <si>
    <t xml:space="preserve">Scaling event processing using distributed flows and map-reduce operations </t>
  </si>
  <si>
    <t>US2016085810</t>
  </si>
  <si>
    <t xml:space="preserve">Systems and methods for efficient memory access </t>
  </si>
  <si>
    <t>US2013346719</t>
  </si>
  <si>
    <t xml:space="preserve">Promotional content and coupon delivery </t>
  </si>
  <si>
    <t>US2012029998</t>
  </si>
  <si>
    <t xml:space="preserve">Secure Payment System and Method </t>
  </si>
  <si>
    <t>US2014089191</t>
  </si>
  <si>
    <t xml:space="preserve">Cell user occupancy indicator to enhance intelligent traffic steering </t>
  </si>
  <si>
    <t>US2015111575</t>
  </si>
  <si>
    <t xml:space="preserve">Systems and methods for dynamic adaptation of network accelerators </t>
  </si>
  <si>
    <t>US2014101306</t>
  </si>
  <si>
    <t xml:space="preserve">System, Method and Computer Program Product for Automatic Topic Identification Using a Hypertext Corpus </t>
  </si>
  <si>
    <t>US2013204876</t>
  </si>
  <si>
    <t>WO9913426</t>
  </si>
  <si>
    <t xml:space="preserve">Multi-dimensional intelligent service point virtual desktop method and infrastructure </t>
  </si>
  <si>
    <t>CN102638475</t>
  </si>
  <si>
    <t xml:space="preserve">Method for Carrying Out a Multimedia Communication Based on a Network Protocol, Particularly TCP/IP and/or UDP </t>
  </si>
  <si>
    <t>US2010205543</t>
  </si>
  <si>
    <t xml:space="preserve">Autonomous Vehicle Interface System </t>
  </si>
  <si>
    <t>US2015331422</t>
  </si>
  <si>
    <t xml:space="preserve">Systems and methods for asset valuation </t>
  </si>
  <si>
    <t>US2010318451</t>
  </si>
  <si>
    <t xml:space="preserve">Grid calculation environment task cross-domain control method </t>
  </si>
  <si>
    <t>CN101308468</t>
  </si>
  <si>
    <t xml:space="preserve">System, method, and computer program product for lead management </t>
  </si>
  <si>
    <t>US2013151314</t>
  </si>
  <si>
    <t xml:space="preserve">Intelligent electric energy metering system under internet-of-things architecture </t>
  </si>
  <si>
    <t>CN102539911</t>
  </si>
  <si>
    <t xml:space="preserve">Method and apparatus for a distributed file storage and indexing service </t>
  </si>
  <si>
    <t>CN101395602</t>
  </si>
  <si>
    <t xml:space="preserve">Fast start induction rf fluorescent light bulb </t>
  </si>
  <si>
    <t>US2014145620</t>
  </si>
  <si>
    <t xml:space="preserve">Induction rf fluorescent lamp with processor-based external dimmer load control </t>
  </si>
  <si>
    <t>US2014368109</t>
  </si>
  <si>
    <t xml:space="preserve">Automatically quieting mobile devices </t>
  </si>
  <si>
    <t>US2013225152</t>
  </si>
  <si>
    <t xml:space="preserve">Fast start dimmable induction rf fluorescent light bulb </t>
  </si>
  <si>
    <t>US2014145621</t>
  </si>
  <si>
    <t xml:space="preserve">Induction rf fluorescent lamp </t>
  </si>
  <si>
    <t>WO2014082039</t>
  </si>
  <si>
    <t xml:space="preserve">Mobile terminal cloud resource scheduling method based on Hadoop framework </t>
  </si>
  <si>
    <t>CN103414761</t>
  </si>
  <si>
    <t xml:space="preserve">Transmission system for delivery of dynamic demand response in a renewable energy-based electricity grid infrastructure </t>
  </si>
  <si>
    <t>US2013213038</t>
  </si>
  <si>
    <t xml:space="preserve">Building Management and Appliance Control System </t>
  </si>
  <si>
    <t>US2015066231</t>
  </si>
  <si>
    <t xml:space="preserve">Lottery Transaction Device, System and Method with Paperless Wagering and Payment of Winnings </t>
  </si>
  <si>
    <t>US2010222125</t>
  </si>
  <si>
    <t xml:space="preserve">Universal Smart Energy Transformer Module </t>
  </si>
  <si>
    <t>US2014297206</t>
  </si>
  <si>
    <t xml:space="preserve">Network multi-player trivia-based game and contest </t>
  </si>
  <si>
    <t>US2013116044</t>
  </si>
  <si>
    <t>WO2004099940</t>
  </si>
  <si>
    <t xml:space="preserve">Systems and Methods of QoS for Single Stream ICA </t>
  </si>
  <si>
    <t>US2012230345</t>
  </si>
  <si>
    <t xml:space="preserve">Dynamic latency analysis system </t>
  </si>
  <si>
    <t>US2013343207</t>
  </si>
  <si>
    <t xml:space="preserve">Rasterization method and system </t>
  </si>
  <si>
    <t>CN101093578</t>
  </si>
  <si>
    <t xml:space="preserve">Methods and apparatus for information management and control of outdoor lighting networks </t>
  </si>
  <si>
    <t>US2016286629</t>
  </si>
  <si>
    <t xml:space="preserve">Systems and methods of using ssl pools for wan acceleration </t>
  </si>
  <si>
    <t>US2011191442</t>
  </si>
  <si>
    <t xml:space="preserve">Method and device for realizing different IP data packet repeating using strategic flow </t>
  </si>
  <si>
    <t>CN1612562</t>
  </si>
  <si>
    <t xml:space="preserve">System and method of network functions virtualization of network services within and across clouds </t>
  </si>
  <si>
    <t>US2016212012</t>
  </si>
  <si>
    <t xml:space="preserve">Massively Distributed Processing System Architecture, Scheduling, Unique Device Identification and Associated Methods </t>
  </si>
  <si>
    <t>US2011173247</t>
  </si>
  <si>
    <t xml:space="preserve">Induction rf fluorescent light bulb with burst-mode dimming </t>
  </si>
  <si>
    <t>US2014145615</t>
  </si>
  <si>
    <t xml:space="preserve">Multi-resource renewable energy installation and method of maximizing operational capacity of same </t>
  </si>
  <si>
    <t>US2012144828</t>
  </si>
  <si>
    <t xml:space="preserve">Enriching events with dynamically typed big data for event processing </t>
  </si>
  <si>
    <t>US2016085809</t>
  </si>
  <si>
    <t xml:space="preserve">Behavioral fingerprinting with retail monitoring </t>
  </si>
  <si>
    <t>US2013197968</t>
  </si>
  <si>
    <t xml:space="preserve">VTOL lifting body flying automobile </t>
  </si>
  <si>
    <t>US2010294877</t>
  </si>
  <si>
    <t xml:space="preserve">Architecture for enterprise data integration systems </t>
  </si>
  <si>
    <t>WO2006026673</t>
  </si>
  <si>
    <t xml:space="preserve">Visually exploring and analyzing event streams </t>
  </si>
  <si>
    <t>US2017024912</t>
  </si>
  <si>
    <t xml:space="preserve">Method for constructing full-coverage all-direction resource sharing family endowment service system </t>
  </si>
  <si>
    <t>CN101795333</t>
  </si>
  <si>
    <t xml:space="preserve">Method and accessory device to improve performances of ballistic throwers </t>
  </si>
  <si>
    <t>US9010002</t>
  </si>
  <si>
    <t xml:space="preserve">System and method for identity management </t>
  </si>
  <si>
    <t>US2015058950</t>
  </si>
  <si>
    <t xml:space="preserve">Self-balancing two-wheeler </t>
  </si>
  <si>
    <t>CN106542030</t>
  </si>
  <si>
    <t xml:space="preserve">Transport vehicle and method </t>
  </si>
  <si>
    <t>US7744331</t>
  </si>
  <si>
    <t xml:space="preserve">Balanced lift self-priming outdoor shower apparatus </t>
  </si>
  <si>
    <t>CN108354491</t>
  </si>
  <si>
    <t xml:space="preserve">Dynamic balance control method of inverted pendulum system, and intelligent balance vehicle control system </t>
  </si>
  <si>
    <t>CN104914871</t>
  </si>
  <si>
    <t xml:space="preserve">Construction of integrated hanger rail formula outer wall, washing, maintenance machine </t>
  </si>
  <si>
    <t>CN205346759</t>
  </si>
  <si>
    <t xml:space="preserve">Kinds of intelligent terminal site sewage source heating system </t>
  </si>
  <si>
    <t>CN207729709</t>
  </si>
  <si>
    <t xml:space="preserve">Balance and exercising board </t>
  </si>
  <si>
    <t>US3488049</t>
  </si>
  <si>
    <t xml:space="preserve">Method for collecting and processing data using internetworked wireless integrated network sensors (WINS) </t>
  </si>
  <si>
    <t>US7020701</t>
  </si>
  <si>
    <t xml:space="preserve">Networked facilities management system with time stamp comparison for data base updates </t>
  </si>
  <si>
    <t>US5511188</t>
  </si>
  <si>
    <t xml:space="preserve">System and method for monitoring and control of wireless modules linked to assets </t>
  </si>
  <si>
    <t>US7027808</t>
  </si>
  <si>
    <t xml:space="preserve">System for assessing the integrity of structural systems </t>
  </si>
  <si>
    <t>US4480480</t>
  </si>
  <si>
    <t xml:space="preserve">System and method for positioning in configured environments </t>
  </si>
  <si>
    <t>US7511662</t>
  </si>
  <si>
    <t xml:space="preserve">Method for collecting data using compact internetworked wireless integrated network sensors (WINS) </t>
  </si>
  <si>
    <t>US6735630</t>
  </si>
  <si>
    <t>US6983317</t>
  </si>
  <si>
    <t xml:space="preserve">Apparatus for compact internetworked wireless integrated network sensors (WINS) </t>
  </si>
  <si>
    <t>US7797367</t>
  </si>
  <si>
    <t xml:space="preserve">Physiological and environmental monitoring systems and methods </t>
  </si>
  <si>
    <t>US8204786</t>
  </si>
  <si>
    <t xml:space="preserve">Water-mist blower cooling system and its new applications </t>
  </si>
  <si>
    <t>US6293121</t>
  </si>
  <si>
    <t xml:space="preserve">Method and apparatus for controlling wireless networks </t>
  </si>
  <si>
    <t>US6729929</t>
  </si>
  <si>
    <t xml:space="preserve">Method and apparatus for containerless sheet flow water rides </t>
  </si>
  <si>
    <t>US5401117</t>
  </si>
  <si>
    <t xml:space="preserve">System for creating and maintaining a database of information utilizing user opinions </t>
  </si>
  <si>
    <t>US7143089</t>
  </si>
  <si>
    <t xml:space="preserve">System and method for optimal adaptive matching of users to most relevant entity and information in real-time </t>
  </si>
  <si>
    <t>US6134532</t>
  </si>
  <si>
    <t xml:space="preserve">Apparatus for internetworked hybrid wireless integrated network sensors (WINS) </t>
  </si>
  <si>
    <t>US6826607</t>
  </si>
  <si>
    <t xml:space="preserve">Indoor-rollbike apparatus </t>
  </si>
  <si>
    <t>US4925183</t>
  </si>
  <si>
    <t xml:space="preserve">Method and apparatus for distributed signal processing among internetworked wireless integrated network sensors (WINS) </t>
  </si>
  <si>
    <t>US6832251</t>
  </si>
  <si>
    <t xml:space="preserve">RFID reader with multiple interfaces </t>
  </si>
  <si>
    <t>US7597250</t>
  </si>
  <si>
    <t xml:space="preserve">Short range spread-spectrum radiolocation system and method </t>
  </si>
  <si>
    <t>US6556942</t>
  </si>
  <si>
    <t xml:space="preserve">Two platform motion seat </t>
  </si>
  <si>
    <t>US5913568</t>
  </si>
  <si>
    <t xml:space="preserve">Robotic platform </t>
  </si>
  <si>
    <t>US6431296</t>
  </si>
  <si>
    <t xml:space="preserve">Enhanced syndication </t>
  </si>
  <si>
    <t>US8200775</t>
  </si>
  <si>
    <t xml:space="preserve">Method and apparatus for internetworked wireless integrated network sensor (WINS) nodes </t>
  </si>
  <si>
    <t>US6859831</t>
  </si>
  <si>
    <t xml:space="preserve">Methods and systems for a mobile, broadband, routable internet </t>
  </si>
  <si>
    <t>US8060017</t>
  </si>
  <si>
    <t xml:space="preserve">Heat pump clothes dryer </t>
  </si>
  <si>
    <t>US7055262</t>
  </si>
  <si>
    <t xml:space="preserve">Method for performing authenticated access to a service on behalf of a user </t>
  </si>
  <si>
    <t>US7146404</t>
  </si>
  <si>
    <t xml:space="preserve">Portable scooter machine </t>
  </si>
  <si>
    <t>CN204124275</t>
  </si>
  <si>
    <t xml:space="preserve">Method for data interchange </t>
  </si>
  <si>
    <t>US7798417</t>
  </si>
  <si>
    <t xml:space="preserve">Wearable pet enclosure </t>
  </si>
  <si>
    <t>US5277148</t>
  </si>
  <si>
    <t xml:space="preserve">Cash dispensing automated banking machine diagnostic device </t>
  </si>
  <si>
    <t>US6953150</t>
  </si>
  <si>
    <t>US5628584</t>
  </si>
  <si>
    <t xml:space="preserve">Boiler control system and method </t>
  </si>
  <si>
    <t>US6536678</t>
  </si>
  <si>
    <t xml:space="preserve">System and method for matching customers to financial products, services, and incentives based on bank account transaction activity </t>
  </si>
  <si>
    <t>US7954698</t>
  </si>
  <si>
    <t xml:space="preserve">Apparatus and method for measuring biologic parameters </t>
  </si>
  <si>
    <t>US8328420</t>
  </si>
  <si>
    <t xml:space="preserve">Interactive computing advice facility that infers user profiles from social networking relationships </t>
  </si>
  <si>
    <t>US8032481</t>
  </si>
  <si>
    <t xml:space="preserve">Trailerable structure with retractable towing hardware </t>
  </si>
  <si>
    <t>US5137297</t>
  </si>
  <si>
    <t>US8807250</t>
  </si>
  <si>
    <t>US8121618</t>
  </si>
  <si>
    <t xml:space="preserve">Toy blimp </t>
  </si>
  <si>
    <t>US4931028</t>
  </si>
  <si>
    <t xml:space="preserve">Self contained fully automated robotic crop production facility </t>
  </si>
  <si>
    <t>US6508033</t>
  </si>
  <si>
    <t xml:space="preserve">Systems and methods of a power tool system with interchangeable functional attachments powered by a direct rotational drive </t>
  </si>
  <si>
    <t>US7743683</t>
  </si>
  <si>
    <t xml:space="preserve">Hazard detection unit facilitating user-friendly setup experience </t>
  </si>
  <si>
    <t>US9049567</t>
  </si>
  <si>
    <t xml:space="preserve">System and method for programmatic management of distributed computing resources </t>
  </si>
  <si>
    <t>US7886021</t>
  </si>
  <si>
    <t xml:space="preserve">Portable mobility machine </t>
  </si>
  <si>
    <t>CN104192247</t>
  </si>
  <si>
    <t xml:space="preserve">Tilt adjustment for optical character recognition in portable reading machine </t>
  </si>
  <si>
    <t>US8320708</t>
  </si>
  <si>
    <t xml:space="preserve">Smartphone-based methods and systems </t>
  </si>
  <si>
    <t>US8831279</t>
  </si>
  <si>
    <t xml:space="preserve">Self-cleaning circular litter device </t>
  </si>
  <si>
    <t>US6568348</t>
  </si>
  <si>
    <t xml:space="preserve">Computer based energy management </t>
  </si>
  <si>
    <t>US8140279</t>
  </si>
  <si>
    <t xml:space="preserve">System and method for exchanging signals of audio-visual information </t>
  </si>
  <si>
    <t>RU2282888</t>
  </si>
  <si>
    <t>US8849379</t>
  </si>
  <si>
    <t xml:space="preserve">Management of access to service in an access point </t>
  </si>
  <si>
    <t>US8510801</t>
  </si>
  <si>
    <t xml:space="preserve">Fully articulated and comprehensive air and fluid distribution, metering, and control method and apparatus for primary movers, heat exchangers, and terminal flow devices </t>
  </si>
  <si>
    <t>US7036559</t>
  </si>
  <si>
    <t xml:space="preserve">Location-based services in a femtocell network </t>
  </si>
  <si>
    <t>US2009286510</t>
  </si>
  <si>
    <t xml:space="preserve">Gesture processing with low resolution images with high resolution processing for optical character recognition for a reading machine </t>
  </si>
  <si>
    <t>US7627142</t>
  </si>
  <si>
    <t xml:space="preserve">System and method for location-based, interactive consumer engagement platform </t>
  </si>
  <si>
    <t>US8688147</t>
  </si>
  <si>
    <t xml:space="preserve">Changing data center cooling modes </t>
  </si>
  <si>
    <t>US7864530</t>
  </si>
  <si>
    <t xml:space="preserve">Centrifugal heat transfer engine and heat transfer systems embodying the same </t>
  </si>
  <si>
    <t>US6964176</t>
  </si>
  <si>
    <t xml:space="preserve">System and method for distributing, receiving, and using funds or credits and apparatus thereof </t>
  </si>
  <si>
    <t>US2016012465</t>
  </si>
  <si>
    <t xml:space="preserve">Adjustable see-saw apparatus </t>
  </si>
  <si>
    <t>US5951406</t>
  </si>
  <si>
    <t xml:space="preserve">Signaling-triggered power adjustment in a femto cell </t>
  </si>
  <si>
    <t>US8126496</t>
  </si>
  <si>
    <t xml:space="preserve">Exercise device </t>
  </si>
  <si>
    <t>US4516768</t>
  </si>
  <si>
    <t xml:space="preserve">Portable reading device with mode processing </t>
  </si>
  <si>
    <t>US7659915</t>
  </si>
  <si>
    <t xml:space="preserve">Expanded capabilities for wireless two-way packet communications for intelligent electronic devices (IEDs) </t>
  </si>
  <si>
    <t>US6766143</t>
  </si>
  <si>
    <t xml:space="preserve">Adjustable snow making tower </t>
  </si>
  <si>
    <t>US6161769</t>
  </si>
  <si>
    <t xml:space="preserve">Automated marine container terminal and system </t>
  </si>
  <si>
    <t>US7972102</t>
  </si>
  <si>
    <t xml:space="preserve">Internet-based education support system, method and medium providing security attributes in modular, extensible components </t>
  </si>
  <si>
    <t>US7908602</t>
  </si>
  <si>
    <t xml:space="preserve">Fan-shaped indirect lighting reflector </t>
  </si>
  <si>
    <t>US4524405</t>
  </si>
  <si>
    <t xml:space="preserve">Human interface panel for boiler control system </t>
  </si>
  <si>
    <t>US6647302</t>
  </si>
  <si>
    <t xml:space="preserve">River and tidal power harvester </t>
  </si>
  <si>
    <t>US8102071</t>
  </si>
  <si>
    <t xml:space="preserve">Electric balance vehicle </t>
  </si>
  <si>
    <t>US9376155</t>
  </si>
  <si>
    <t xml:space="preserve">Systems and method for resource tracking in information management environments </t>
  </si>
  <si>
    <t>US2002065864</t>
  </si>
  <si>
    <t xml:space="preserve">Building management system with fault analysis </t>
  </si>
  <si>
    <t>US2011178977</t>
  </si>
  <si>
    <t xml:space="preserve">Systems and methods for prioritization in information management environments </t>
  </si>
  <si>
    <t>US2002174227</t>
  </si>
  <si>
    <t>US2006241718</t>
  </si>
  <si>
    <t xml:space="preserve">Methods and Apparatus for Assessing Physiological Conditions </t>
  </si>
  <si>
    <t>US2010217099</t>
  </si>
  <si>
    <t xml:space="preserve">Interactive feedback system for powered surgical instruments </t>
  </si>
  <si>
    <t>US2016256186</t>
  </si>
  <si>
    <t xml:space="preserve">Wireless ad hoc networking for set top boxes </t>
  </si>
  <si>
    <t>US2010169937</t>
  </si>
  <si>
    <t xml:space="preserve">Building energy consumption analysis system </t>
  </si>
  <si>
    <t>US2010286937</t>
  </si>
  <si>
    <t xml:space="preserve">Photography methods and systems </t>
  </si>
  <si>
    <t>US2005174473</t>
  </si>
  <si>
    <t xml:space="preserve">Inferring user preferences from an internet based social interactive construct </t>
  </si>
  <si>
    <t>US2010312724</t>
  </si>
  <si>
    <t xml:space="preserve">System and method for obtaining revenue through the display of hyper-relevant advertising on moving objects </t>
  </si>
  <si>
    <t>US2009299857</t>
  </si>
  <si>
    <t xml:space="preserve">Automated fault detection and diagnostics in a building management system </t>
  </si>
  <si>
    <t>US2012022700</t>
  </si>
  <si>
    <t xml:space="preserve">Methods and systems for providing a user interface for an alternative payment platform </t>
  </si>
  <si>
    <t>US2008077506</t>
  </si>
  <si>
    <t xml:space="preserve">Methods and Systems for Determining Image Processing Operations Relevant to Particular Imagery </t>
  </si>
  <si>
    <t>US2011244919</t>
  </si>
  <si>
    <t xml:space="preserve">Intuitive Computing Methods and Systems </t>
  </si>
  <si>
    <t>US2011161076</t>
  </si>
  <si>
    <t xml:space="preserve">Telemetric apparatus for health and environmental monitoring </t>
  </si>
  <si>
    <t>US2008146890</t>
  </si>
  <si>
    <t xml:space="preserve">System and method for automated monitoring, recognizing, supporting, and responding to the behavior of an actor </t>
  </si>
  <si>
    <t>US2004030531</t>
  </si>
  <si>
    <t xml:space="preserve">Kiosk systems and methods </t>
  </si>
  <si>
    <t>US2008255901</t>
  </si>
  <si>
    <t xml:space="preserve">Broadband multi-service, switching, transmission and distribution architecture for low-cost telecommunications networks </t>
  </si>
  <si>
    <t>US2006251115</t>
  </si>
  <si>
    <t xml:space="preserve">Systems and methods for altering vestibular biology </t>
  </si>
  <si>
    <t>US2005240253</t>
  </si>
  <si>
    <t xml:space="preserve">Internet-based education support system, method and medium with modular text-editing component for use in a web-based application </t>
  </si>
  <si>
    <t>US2004153509</t>
  </si>
  <si>
    <t xml:space="preserve">Computer-based standardized test administration, scoring and analysis system </t>
  </si>
  <si>
    <t>US2004229199</t>
  </si>
  <si>
    <t xml:space="preserve">Methods and systems for providing lighting systems </t>
  </si>
  <si>
    <t>US2006002110</t>
  </si>
  <si>
    <t xml:space="preserve">Geographically localized recommendations in a computing advice facility </t>
  </si>
  <si>
    <t>US2011307478</t>
  </si>
  <si>
    <t xml:space="preserve">Systems and methods for treating traumatic brain injury </t>
  </si>
  <si>
    <t>US2006161218</t>
  </si>
  <si>
    <t xml:space="preserve">Display methods and systems </t>
  </si>
  <si>
    <t>US2005264472</t>
  </si>
  <si>
    <t xml:space="preserve">Systems and methods for managing differentiated service in information management environments </t>
  </si>
  <si>
    <t>US2002095400</t>
  </si>
  <si>
    <t>US2008009772</t>
  </si>
  <si>
    <t xml:space="preserve">Systems and methods for statistical control and fault detection in a building management system </t>
  </si>
  <si>
    <t>US2011061015</t>
  </si>
  <si>
    <t xml:space="preserve">Systems and methods for using rule-based fault detection in a building management system </t>
  </si>
  <si>
    <t>US2011047418</t>
  </si>
  <si>
    <t xml:space="preserve">Enhanced wireless ad hoc communication techniques </t>
  </si>
  <si>
    <t>US2011164527</t>
  </si>
  <si>
    <t xml:space="preserve">Smartphone-Based Methods and Systems </t>
  </si>
  <si>
    <t>US2012284012</t>
  </si>
  <si>
    <t xml:space="preserve">Imaging systems and methods for immersive surveillance </t>
  </si>
  <si>
    <t>US2012169842</t>
  </si>
  <si>
    <t xml:space="preserve">Methods and systems for an alternative payment platform </t>
  </si>
  <si>
    <t>US2008091528</t>
  </si>
  <si>
    <t xml:space="preserve">Optimizing Utility Usage by Smart Monitoring </t>
  </si>
  <si>
    <t>US2011082599</t>
  </si>
  <si>
    <t xml:space="preserve">Method, apparatus and system for food intake and physical activity assessment </t>
  </si>
  <si>
    <t>US2009012433</t>
  </si>
  <si>
    <t xml:space="preserve">Document and image processing </t>
  </si>
  <si>
    <t>US2010331043</t>
  </si>
  <si>
    <t>US2012208592</t>
  </si>
  <si>
    <t xml:space="preserve">Telecommunication networks </t>
  </si>
  <si>
    <t>US2012129517</t>
  </si>
  <si>
    <t xml:space="preserve">Control System for the Conversion of Carbonaceous Feedstock into Gas </t>
  </si>
  <si>
    <t>US2008147241</t>
  </si>
  <si>
    <t xml:space="preserve">Linked Data Methods and Systems </t>
  </si>
  <si>
    <t>US2012154633</t>
  </si>
  <si>
    <t xml:space="preserve">Interestingness recommendations in a computing advice facility </t>
  </si>
  <si>
    <t>US2011302117</t>
  </si>
  <si>
    <t>US2012259583</t>
  </si>
  <si>
    <t xml:space="preserve">Programming interface for a computer platform </t>
  </si>
  <si>
    <t>US2005091671</t>
  </si>
  <si>
    <t xml:space="preserve">Method and apparatus for managing wireless probe devices </t>
  </si>
  <si>
    <t>US2015382208</t>
  </si>
  <si>
    <t xml:space="preserve">Methods and Systems for Modular Buildings </t>
  </si>
  <si>
    <t>US2010235206</t>
  </si>
  <si>
    <t xml:space="preserve">Systems and methods for distributing template-based multimedia presentations over a network </t>
  </si>
  <si>
    <t>US2004015401</t>
  </si>
  <si>
    <t xml:space="preserve">Behavior monitoring and reinforcement system and method </t>
  </si>
  <si>
    <t>US2007100595</t>
  </si>
  <si>
    <t xml:space="preserve">Method and system for presentation and specification of distributed multi-customer configuration management within a network management framework </t>
  </si>
  <si>
    <t>US2003009540</t>
  </si>
  <si>
    <t xml:space="preserve">Method and System for Tracking Assets </t>
  </si>
  <si>
    <t>US2010097208</t>
  </si>
  <si>
    <t>WO2014147510</t>
  </si>
  <si>
    <t>US2008161976</t>
  </si>
  <si>
    <t xml:space="preserve">Fault-tolerant multi-node stage sequencer and method for energy systems </t>
  </si>
  <si>
    <t>US2002193890</t>
  </si>
  <si>
    <t xml:space="preserve">Mode processing in portable reading machine </t>
  </si>
  <si>
    <t>US2006017810</t>
  </si>
  <si>
    <t xml:space="preserve">High-density radio access system </t>
  </si>
  <si>
    <t>US2003036408</t>
  </si>
  <si>
    <t xml:space="preserve">Systems and methods for distributing multimedia presentations over a network </t>
  </si>
  <si>
    <t>US2004039723</t>
  </si>
  <si>
    <t xml:space="preserve">Management of digital media using portable wireless devices in a client-server network </t>
  </si>
  <si>
    <t>US2008032739</t>
  </si>
  <si>
    <t xml:space="preserve">Gasification system with processed feedstock/char conversion and gas reformulation </t>
  </si>
  <si>
    <t>US2011036014</t>
  </si>
  <si>
    <t xml:space="preserve">System and method for enhancing content using brain-state data </t>
  </si>
  <si>
    <t>US2014223462</t>
  </si>
  <si>
    <t xml:space="preserve">Methods and systems for coating an oral surface </t>
  </si>
  <si>
    <t>US2007202342</t>
  </si>
  <si>
    <t>US2012134548</t>
  </si>
  <si>
    <t xml:space="preserve">Method and system for verifying exposure to message content delivered via outdoor media or in a concentrated format </t>
  </si>
  <si>
    <t>US2004015399</t>
  </si>
  <si>
    <t xml:space="preserve">Creation and usage of synthetic user identifiers within an advertisement placement facility </t>
  </si>
  <si>
    <t>US2012323674</t>
  </si>
  <si>
    <t xml:space="preserve">System and method for providing directions to items of interest </t>
  </si>
  <si>
    <t>US2013290106</t>
  </si>
  <si>
    <t xml:space="preserve">System and method for enabling scalable isolation contexts in a platform </t>
  </si>
  <si>
    <t>US2015082378</t>
  </si>
  <si>
    <t xml:space="preserve">Apparatus and methods for interference mitigation and coordination in a wireless network </t>
  </si>
  <si>
    <t>US2011170424</t>
  </si>
  <si>
    <t xml:space="preserve">Heart beacon cycle </t>
  </si>
  <si>
    <t>US2014310243</t>
  </si>
  <si>
    <t xml:space="preserve">Methods and systems for facilitating bids for placement of offers in an alternative payment platform </t>
  </si>
  <si>
    <t>US2008071634</t>
  </si>
  <si>
    <t xml:space="preserve">System and method for processing motion-related sensor data with social mind-body games for health application </t>
  </si>
  <si>
    <t>US2013203475</t>
  </si>
  <si>
    <t xml:space="preserve">Mobile UV Light Treatment Systems and Associated Methods </t>
  </si>
  <si>
    <t>US2011163046</t>
  </si>
  <si>
    <t xml:space="preserve">Detector controlled illuminating system </t>
  </si>
  <si>
    <t>US2015035440</t>
  </si>
  <si>
    <t xml:space="preserve">Advanced oxidation of dangerous chemical and biological sources </t>
  </si>
  <si>
    <t>US2004120844</t>
  </si>
  <si>
    <t xml:space="preserve">Integrated Docking System for Intelligent Devices </t>
  </si>
  <si>
    <t>US2016195856</t>
  </si>
  <si>
    <t xml:space="preserve">Salient Point-Based Arrangements </t>
  </si>
  <si>
    <t>US2012275642</t>
  </si>
  <si>
    <t xml:space="preserve">Universal actigraphic device and method of use therefor </t>
  </si>
  <si>
    <t>US2012232430</t>
  </si>
  <si>
    <t>US2012210233</t>
  </si>
  <si>
    <t xml:space="preserve">Fire suppression delivery system </t>
  </si>
  <si>
    <t>US2005139363</t>
  </si>
  <si>
    <t>US2012116559</t>
  </si>
  <si>
    <t xml:space="preserve">Sulky for outdoor power equipment unit </t>
  </si>
  <si>
    <t>US6485036</t>
  </si>
  <si>
    <t xml:space="preserve">Advanced balancing board </t>
  </si>
  <si>
    <t>US5190506</t>
  </si>
  <si>
    <t xml:space="preserve">Emergency satellite network </t>
  </si>
  <si>
    <t>US2007186251</t>
  </si>
  <si>
    <t xml:space="preserve">Light generator systems and methods </t>
  </si>
  <si>
    <t>US2011241549</t>
  </si>
  <si>
    <t xml:space="preserve">Membranes With Functionalized Carbon Nanotube Pores For Selective Transport </t>
  </si>
  <si>
    <t>US2011220574</t>
  </si>
  <si>
    <t xml:space="preserve">Compact apparatus and methods for non-invasively measuring hemodynamic parameters </t>
  </si>
  <si>
    <t>US2006079792</t>
  </si>
  <si>
    <t xml:space="preserve">Integrated sap flow monitoring, data logging, automatic irrigation control scheduling system </t>
  </si>
  <si>
    <t>US7280892</t>
  </si>
  <si>
    <t xml:space="preserve">Reducing processing latency in optical character recognition for portable reading machine </t>
  </si>
  <si>
    <t>US2005288932</t>
  </si>
  <si>
    <t xml:space="preserve">Advertising venues and optimization </t>
  </si>
  <si>
    <t>US2011231242</t>
  </si>
  <si>
    <t xml:space="preserve">Smartgrid Energy-Usage-Data Storage and Presentation Systems, Devices, Protocol, and Processes Including a Visualization, and Load Fingerprinting Process </t>
  </si>
  <si>
    <t>US2012089523</t>
  </si>
  <si>
    <t xml:space="preserve">Targeted learning in online advertising auction exchanges </t>
  </si>
  <si>
    <t>US2012310729</t>
  </si>
  <si>
    <t xml:space="preserve">Method to enable customers to respond to prices in a pool type energey market </t>
  </si>
  <si>
    <t>US2004220869</t>
  </si>
  <si>
    <t xml:space="preserve">Context-aware middleware platform for client devices </t>
  </si>
  <si>
    <t>US2007208686</t>
  </si>
  <si>
    <t xml:space="preserve">Sensitive and rapid detection of pathogenic organisms and toxins using fluorescent polymeric lipids </t>
  </si>
  <si>
    <t>US2003129618</t>
  </si>
  <si>
    <t xml:space="preserve">Integrating an internet preference learning facility into third parties </t>
  </si>
  <si>
    <t>US2010312650</t>
  </si>
  <si>
    <t xml:space="preserve">Method and apparatus for biological evaluation </t>
  </si>
  <si>
    <t>US2015094914</t>
  </si>
  <si>
    <t>US2005049921</t>
  </si>
  <si>
    <t xml:space="preserve">Method for uniquely addressing a group of network units in a sub-network </t>
  </si>
  <si>
    <t>US2013219482</t>
  </si>
  <si>
    <t xml:space="preserve">Document mode processing for portable reading machine enabling document navigation </t>
  </si>
  <si>
    <t>US2006015342</t>
  </si>
  <si>
    <t xml:space="preserve">Hvac schedule establishment in an intelligent, network-connected thermostat </t>
  </si>
  <si>
    <t>US2014058567</t>
  </si>
  <si>
    <t xml:space="preserve">Systems and methods for distributing multimedia presentations over a network with integration of local data </t>
  </si>
  <si>
    <t>US2004024643</t>
  </si>
  <si>
    <t xml:space="preserve">Monorail access system for making a boat handicapped accesible </t>
  </si>
  <si>
    <t>US5709154</t>
  </si>
  <si>
    <t xml:space="preserve">Outdoor counter weight adjustable dorsal muscles training ware </t>
  </si>
  <si>
    <t>CN206700605</t>
  </si>
  <si>
    <t xml:space="preserve">Reclamation method and apparatus for soil and other products </t>
  </si>
  <si>
    <t>US5121699</t>
  </si>
  <si>
    <t xml:space="preserve">Anti-Reflective and Anti-Soiling Coatings with Self-Cleaning Properties </t>
  </si>
  <si>
    <t>US2012040179</t>
  </si>
  <si>
    <t xml:space="preserve">Methods and Apparatus for Rendering Labels Based on Occlusion Testing for Label Visibility </t>
  </si>
  <si>
    <t>US2013321397</t>
  </si>
  <si>
    <t xml:space="preserve">System comprised of sensors, communications, processing and inference on servers and other devices </t>
  </si>
  <si>
    <t>US2013218053</t>
  </si>
  <si>
    <t>US2010286841</t>
  </si>
  <si>
    <t xml:space="preserve">Jogging device </t>
  </si>
  <si>
    <t>US4037834</t>
  </si>
  <si>
    <t xml:space="preserve">Systems and methods for controlling energy use in a building management system using energy budgets </t>
  </si>
  <si>
    <t>US2013085616</t>
  </si>
  <si>
    <t xml:space="preserve">Self-stabilizing seat support </t>
  </si>
  <si>
    <t>US5470038</t>
  </si>
  <si>
    <t xml:space="preserve">Facility monitoring system based on cloud computing </t>
  </si>
  <si>
    <t>CN201765486</t>
  </si>
  <si>
    <t xml:space="preserve">Thermal balance control system of heat supply pipe network </t>
  </si>
  <si>
    <t>CN204100382</t>
  </si>
  <si>
    <t xml:space="preserve">Image resizing for optical character recognition in portable reading machine </t>
  </si>
  <si>
    <t>US2006017752</t>
  </si>
  <si>
    <t xml:space="preserve">Homeostatic flying hovercraft </t>
  </si>
  <si>
    <t>US2006144994</t>
  </si>
  <si>
    <t xml:space="preserve">Computer implemented electrical energy hub management system and method </t>
  </si>
  <si>
    <t>US2014018971</t>
  </si>
  <si>
    <t xml:space="preserve">Personnel crisis communication management system </t>
  </si>
  <si>
    <t>US2014282934</t>
  </si>
  <si>
    <t xml:space="preserve">Solar power station </t>
  </si>
  <si>
    <t>US2011079214</t>
  </si>
  <si>
    <t xml:space="preserve">Miniature inflatable containment and dry-water-entry vessels </t>
  </si>
  <si>
    <t>US4342278</t>
  </si>
  <si>
    <t xml:space="preserve">Automatic tree and/or plant waterer </t>
  </si>
  <si>
    <t>US5279071</t>
  </si>
  <si>
    <t xml:space="preserve">Rotating display device </t>
  </si>
  <si>
    <t>US6230440</t>
  </si>
  <si>
    <t xml:space="preserve">Device and methods fo treating neurological disorders </t>
  </si>
  <si>
    <t>US2015119767</t>
  </si>
  <si>
    <t xml:space="preserve">Device and its use for creation, output and management of 2d barcodes with embedded images </t>
  </si>
  <si>
    <t>US2013026241</t>
  </si>
  <si>
    <t xml:space="preserve">Method and coating for protecting and repairing an airfoil surface </t>
  </si>
  <si>
    <t>US2007231156</t>
  </si>
  <si>
    <t xml:space="preserve">Methods and systems for using consumer aliases and identifiers </t>
  </si>
  <si>
    <t>US2014046777</t>
  </si>
  <si>
    <t xml:space="preserve">Machine and method to assist user in selecting clothing </t>
  </si>
  <si>
    <t>US2006020486</t>
  </si>
  <si>
    <t xml:space="preserve">Cooperative processing for portable reading machine </t>
  </si>
  <si>
    <t>US2006015337</t>
  </si>
  <si>
    <t xml:space="preserve">One-way cargo container </t>
  </si>
  <si>
    <t>US2007000921</t>
  </si>
  <si>
    <t xml:space="preserve">In-building-communication apparatus and method </t>
  </si>
  <si>
    <t>US2010197222</t>
  </si>
  <si>
    <t xml:space="preserve">Bi-directional messaging in health care </t>
  </si>
  <si>
    <t>US2006031101</t>
  </si>
  <si>
    <t xml:space="preserve">Eolic marine electrical generator GEEM </t>
  </si>
  <si>
    <t>US2003201645</t>
  </si>
  <si>
    <t xml:space="preserve">Cash dispensing automated banking machine diagnostic system </t>
  </si>
  <si>
    <t>US2004153409</t>
  </si>
  <si>
    <t xml:space="preserve">Step drive cycle </t>
  </si>
  <si>
    <t>US5520401</t>
  </si>
  <si>
    <t xml:space="preserve">Mobility service clustering using network service segments </t>
  </si>
  <si>
    <t>US2009113018</t>
  </si>
  <si>
    <t xml:space="preserve">Elective data sharing between different implementations of a software product </t>
  </si>
  <si>
    <t>US2007150856</t>
  </si>
  <si>
    <t xml:space="preserve">System and method for positioning using hybrid spectral compression and cross correlation signal processing </t>
  </si>
  <si>
    <t>US2012169542</t>
  </si>
  <si>
    <t xml:space="preserve">Methods, apparatus and systems for implementing hierarchical policy servers and for control of coordinated femtocell-wifi operation in co-sited deployments </t>
  </si>
  <si>
    <t>US2015195858</t>
  </si>
  <si>
    <t xml:space="preserve">Automatic self configuration of client-supervisory nodes </t>
  </si>
  <si>
    <t>US6813631</t>
  </si>
  <si>
    <t xml:space="preserve">Apparatuses, systems and processes for surface cleaning </t>
  </si>
  <si>
    <t>US6945261</t>
  </si>
  <si>
    <t xml:space="preserve">Wireless networked sensors </t>
  </si>
  <si>
    <t>WO0126068</t>
  </si>
  <si>
    <t>US2014357312</t>
  </si>
  <si>
    <t xml:space="preserve">Methods and systems for phylogenetic analysis </t>
  </si>
  <si>
    <t>US2012165215</t>
  </si>
  <si>
    <t xml:space="preserve">Dryer blower cleanout door assembly </t>
  </si>
  <si>
    <t>US5185941</t>
  </si>
  <si>
    <t xml:space="preserve">Cross-Device Geolocation Sensing to Geotarget Offers </t>
  </si>
  <si>
    <t>US2014365304</t>
  </si>
  <si>
    <t>WO2011116309</t>
  </si>
  <si>
    <t xml:space="preserve">Efficient prevention of fraud </t>
  </si>
  <si>
    <t>US2014283113</t>
  </si>
  <si>
    <t xml:space="preserve">Method and system for characterizing ride experiences </t>
  </si>
  <si>
    <t>US2010318294</t>
  </si>
  <si>
    <t xml:space="preserve">Multi-dimensional browsing of content </t>
  </si>
  <si>
    <t>US2014059479</t>
  </si>
  <si>
    <t xml:space="preserve">Sliding bypass valve connector </t>
  </si>
  <si>
    <t>US6095838</t>
  </si>
  <si>
    <t xml:space="preserve">Generic user interface system </t>
  </si>
  <si>
    <t>US2008004725</t>
  </si>
  <si>
    <t xml:space="preserve">Training device for baseball pitchers </t>
  </si>
  <si>
    <t>US6500078</t>
  </si>
  <si>
    <t>WO2013112353</t>
  </si>
  <si>
    <t xml:space="preserve">Reed's high-rise emergency rescue egress system </t>
  </si>
  <si>
    <t>US2006065485</t>
  </si>
  <si>
    <t xml:space="preserve">Self-contained water display </t>
  </si>
  <si>
    <t>US6921023</t>
  </si>
  <si>
    <t xml:space="preserve">Method and apparatus for sensor networking </t>
  </si>
  <si>
    <t>WO0126334</t>
  </si>
  <si>
    <t xml:space="preserve">Computer-based method of recommending modifications to residential or commercial property </t>
  </si>
  <si>
    <t>US2008189166</t>
  </si>
  <si>
    <t xml:space="preserve">Distributed signal processing in a network </t>
  </si>
  <si>
    <t>WO0126335</t>
  </si>
  <si>
    <t xml:space="preserve">Work vehicle robotic platform </t>
  </si>
  <si>
    <t>US2015045992</t>
  </si>
  <si>
    <t xml:space="preserve">Systems and Methods for Determining Recommended Aspects of Future Content, Actions, or Behavior </t>
  </si>
  <si>
    <t>US2016080485</t>
  </si>
  <si>
    <t xml:space="preserve">Living systems from cardboard packaging materials </t>
  </si>
  <si>
    <t>US2008046277</t>
  </si>
  <si>
    <t xml:space="preserve">Operational Management Method for Information Processing System and Information Processing System </t>
  </si>
  <si>
    <t>US2012198253</t>
  </si>
  <si>
    <t xml:space="preserve">Marking of large surfaces with visual presentations </t>
  </si>
  <si>
    <t>WO2004100044</t>
  </si>
  <si>
    <t xml:space="preserve">Planter tree for floor, wall or ceiling mounting </t>
  </si>
  <si>
    <t>US4389813</t>
  </si>
  <si>
    <t xml:space="preserve">Digital multimedia information transmission platform </t>
  </si>
  <si>
    <t>CN101783873</t>
  </si>
  <si>
    <t xml:space="preserve">Reminding users of offers </t>
  </si>
  <si>
    <t>US2014180817</t>
  </si>
  <si>
    <t xml:space="preserve">Trajectory detection and feedback system for tennis </t>
  </si>
  <si>
    <t>US2014180451</t>
  </si>
  <si>
    <t xml:space="preserve">Unsupervised indoor localization and heading directions estimation </t>
  </si>
  <si>
    <t>US2015281910</t>
  </si>
  <si>
    <t xml:space="preserve">Automated Health Data Acquisition, Processing and Communication System </t>
  </si>
  <si>
    <t>US2014156308</t>
  </si>
  <si>
    <t xml:space="preserve">Virtual reality for movement disorder diagnosis and/or treatment </t>
  </si>
  <si>
    <t>WO2013054257</t>
  </si>
  <si>
    <t xml:space="preserve">Intelligent power grid group charging electric source induced supply system and self-service intelligent quick charging equipment </t>
  </si>
  <si>
    <t>CN101938146</t>
  </si>
  <si>
    <t xml:space="preserve">Automatic energy management and energy consumption reduction, especially in commercial and multi-building systems </t>
  </si>
  <si>
    <t>CN1692317</t>
  </si>
  <si>
    <t xml:space="preserve">Cloud computing-based audience behavioral analysis advertisement targeting system </t>
  </si>
  <si>
    <t>CN102236867</t>
  </si>
  <si>
    <t>CN1886628</t>
  </si>
  <si>
    <t>US2015163345</t>
  </si>
  <si>
    <t xml:space="preserve">Lightweight controlled descent system with an integral reserve suspension relief strap (RSRS) </t>
  </si>
  <si>
    <t>US2010163338</t>
  </si>
  <si>
    <t xml:space="preserve">Static strength test method of large vane used for wind power and electrical power and test system thereof </t>
  </si>
  <si>
    <t>CN101634604</t>
  </si>
  <si>
    <t xml:space="preserve">Aircraft anti-collision system and method </t>
  </si>
  <si>
    <t>US2010109936</t>
  </si>
  <si>
    <t xml:space="preserve">Modular building utilities systems and methods </t>
  </si>
  <si>
    <t>US2012071082</t>
  </si>
  <si>
    <t xml:space="preserve">Power generating systems and methods </t>
  </si>
  <si>
    <t>US7654073</t>
  </si>
  <si>
    <t xml:space="preserve">Timing regulator for outdoor gas apparatus </t>
  </si>
  <si>
    <t>US7089959</t>
  </si>
  <si>
    <t xml:space="preserve">Motion Recognition Clothing [TM] with Flexible Electromagnetic, Light, or Sonic Energy Pathways </t>
  </si>
  <si>
    <t>US2015309563</t>
  </si>
  <si>
    <t xml:space="preserve">Quintuple-Effect Generation Multi-Cycle Hybrid Renewable Energy System with Integrated Energy Provisioning, Storage Facilities and Amalgamated Control System Cross-Reference to Related Applications </t>
  </si>
  <si>
    <t>US2015143806</t>
  </si>
  <si>
    <t xml:space="preserve">Microminiature personal combined navigation system as well as navigating and positioning method thereof </t>
  </si>
  <si>
    <t>CN102445200</t>
  </si>
  <si>
    <t xml:space="preserve">Systems and methods for implementing advanced power line services </t>
  </si>
  <si>
    <t>US7738612</t>
  </si>
  <si>
    <t xml:space="preserve">Distance sensor system and method </t>
  </si>
  <si>
    <t>US2010030380</t>
  </si>
  <si>
    <t>WO2013111134</t>
  </si>
  <si>
    <t xml:space="preserve">Controlled emission of the method and apparatus </t>
  </si>
  <si>
    <t>JP2005528733</t>
  </si>
  <si>
    <t xml:space="preserve">Self-powered light bar </t>
  </si>
  <si>
    <t>US2012201041</t>
  </si>
  <si>
    <t xml:space="preserve">Thermal anemometer transducer wind set </t>
  </si>
  <si>
    <t>US5218865</t>
  </si>
  <si>
    <t xml:space="preserve">Systems methods and apparatuses for implementing distributed wireless data sharing and control systems </t>
  </si>
  <si>
    <t>US2016309345</t>
  </si>
  <si>
    <t xml:space="preserve">Wireless spectrum usage and load-balancing </t>
  </si>
  <si>
    <t>US2016029248</t>
  </si>
  <si>
    <t xml:space="preserve">Methods of Positioning in a System Comprising Measuring Nodes with Multiple Receiving Points </t>
  </si>
  <si>
    <t>US2014120947</t>
  </si>
  <si>
    <t xml:space="preserve">Resource access management </t>
  </si>
  <si>
    <t>CN102986190</t>
  </si>
  <si>
    <t xml:space="preserve">Spectral imaging system for remote and noninvasive detection of target substances using spectral filter arrays and image capture arrays </t>
  </si>
  <si>
    <t>US2016069743</t>
  </si>
  <si>
    <t xml:space="preserve">Cloud control platform for intelligent indoor air purification fresh air system based on Internet of things </t>
  </si>
  <si>
    <t>CN104807144</t>
  </si>
  <si>
    <t xml:space="preserve">Indoor/outdoor stadium system for energy use reduction </t>
  </si>
  <si>
    <t>US2012131861</t>
  </si>
  <si>
    <t xml:space="preserve">Articles of Manufacture Releasing an Active Ingredient </t>
  </si>
  <si>
    <t>US2011010817</t>
  </si>
  <si>
    <t xml:space="preserve">Automated banking machine that operates responsive to data read from data bearing records </t>
  </si>
  <si>
    <t>US2010012718</t>
  </si>
  <si>
    <t xml:space="preserve">Hydronic building systems control </t>
  </si>
  <si>
    <t>US2014048244</t>
  </si>
  <si>
    <t xml:space="preserve">System and method of saving deal offers to be applied at a point-of-sale (pos) of a retail store </t>
  </si>
  <si>
    <t>US2015112790</t>
  </si>
  <si>
    <t xml:space="preserve">Positioning device </t>
  </si>
  <si>
    <t>US2015192241</t>
  </si>
  <si>
    <t xml:space="preserve">Energy management control system based on cloud computing and method thereof </t>
  </si>
  <si>
    <t>US2013066477</t>
  </si>
  <si>
    <t xml:space="preserve">Low-cost wireless millimeter wave outdoor unit (ODU) </t>
  </si>
  <si>
    <t>CN1735999</t>
  </si>
  <si>
    <t xml:space="preserve">Water solar cell module, water solar cell power supply device, and method of using water solar cell module </t>
  </si>
  <si>
    <t>JP2004071965</t>
  </si>
  <si>
    <t xml:space="preserve">Shopping facility assistance systems, devices and methods </t>
  </si>
  <si>
    <t>WO2016144765</t>
  </si>
  <si>
    <t xml:space="preserve">Device for outdoor heating </t>
  </si>
  <si>
    <t>US2598544</t>
  </si>
  <si>
    <t xml:space="preserve">Fitness equipment </t>
  </si>
  <si>
    <t>US2002037792</t>
  </si>
  <si>
    <t>WO2014158667</t>
  </si>
  <si>
    <t xml:space="preserve">Observation platform for using structured communications with distributed traffic flow </t>
  </si>
  <si>
    <t>US2015065149</t>
  </si>
  <si>
    <t xml:space="preserve">Large self-service intelligent network group charging equipment and guide system for building parking lot </t>
  </si>
  <si>
    <t>CN102169611</t>
  </si>
  <si>
    <t xml:space="preserve">Electrowinning apparatus and process </t>
  </si>
  <si>
    <t>US2011120879</t>
  </si>
  <si>
    <t xml:space="preserve">Augmented reality virtual content platform apparatuses, methods and systems </t>
  </si>
  <si>
    <t>US2015206349</t>
  </si>
  <si>
    <t xml:space="preserve">Techniques for Managing Network Access </t>
  </si>
  <si>
    <t>US2015327052</t>
  </si>
  <si>
    <t xml:space="preserve">Signal measurements employed to affect photographic parameters </t>
  </si>
  <si>
    <t>US2011058802</t>
  </si>
  <si>
    <t>US2016259329</t>
  </si>
  <si>
    <t xml:space="preserve">Three dimensional cableway videoing platform and three dimensional cableway videoing system using same </t>
  </si>
  <si>
    <t>CN204013924</t>
  </si>
  <si>
    <t xml:space="preserve">ETC networking charging method and system based on PHS </t>
  </si>
  <si>
    <t>CN1598882</t>
  </si>
  <si>
    <t xml:space="preserve">Anti-reflective and anti-soiling coatings for self-cleaning properties </t>
  </si>
  <si>
    <t>US2015037570</t>
  </si>
  <si>
    <t xml:space="preserve">Using structured communications to quantify social skills </t>
  </si>
  <si>
    <t>US9053449</t>
  </si>
  <si>
    <t xml:space="preserve">Methods and systems for controlling vehicle body motion and occupant experience </t>
  </si>
  <si>
    <t>US2017136842</t>
  </si>
  <si>
    <t xml:space="preserve">Modular accomodation system (bmas) </t>
  </si>
  <si>
    <t>US2005150175</t>
  </si>
  <si>
    <t xml:space="preserve">IPv6 digitalization network illumination control system and IPv6 digitalization network control system </t>
  </si>
  <si>
    <t>CN101442430</t>
  </si>
  <si>
    <t xml:space="preserve">Network arrangement, station for wireless switching, and port unit therefor </t>
  </si>
  <si>
    <t>WO0124600</t>
  </si>
  <si>
    <t xml:space="preserve">Power rotation runway and take-off and landing operation method thereof </t>
  </si>
  <si>
    <t>CN102198864</t>
  </si>
  <si>
    <t xml:space="preserve">System and method for real-time data capture and packet transmission using a layer 2 wireless mesh network </t>
  </si>
  <si>
    <t>US2013307989</t>
  </si>
  <si>
    <t xml:space="preserve">Device, Network, and Method for Communications with Fast Adaptive Transmission and Reception </t>
  </si>
  <si>
    <t>US2016043843</t>
  </si>
  <si>
    <t xml:space="preserve">Extensible networked multi-modal environment conditioning system </t>
  </si>
  <si>
    <t>US2013259456</t>
  </si>
  <si>
    <t xml:space="preserve">Distributed building control system </t>
  </si>
  <si>
    <t>US2014358285</t>
  </si>
  <si>
    <t xml:space="preserve">System and method for remote control gaming sessions using a mobile device </t>
  </si>
  <si>
    <t>US2015228153</t>
  </si>
  <si>
    <t xml:space="preserve">Self-steering bogie </t>
  </si>
  <si>
    <t>WO2006075756</t>
  </si>
  <si>
    <t xml:space="preserve">Display correction based on sensor inputs transmission myopia type display </t>
  </si>
  <si>
    <t>JP2015504616</t>
  </si>
  <si>
    <t xml:space="preserve">System and method for balancing concentric circular field emission structures </t>
  </si>
  <si>
    <t>US7864011</t>
  </si>
  <si>
    <t xml:space="preserve">Suction-type full-automatic indoor air purification treatment device </t>
  </si>
  <si>
    <t>CN202126033</t>
  </si>
  <si>
    <t xml:space="preserve">Intelligent depot output-input system of digital grain depot </t>
  </si>
  <si>
    <t>CN103559605</t>
  </si>
  <si>
    <t xml:space="preserve">Biometric, physiological or environmental monitoring using a closed chamber </t>
  </si>
  <si>
    <t>US2016324478</t>
  </si>
  <si>
    <t xml:space="preserve">Smart Clothing for Ambulatory Human Motion Capture </t>
  </si>
  <si>
    <t>US2016338644</t>
  </si>
  <si>
    <t>US2016019746</t>
  </si>
  <si>
    <t xml:space="preserve">Chirp networks </t>
  </si>
  <si>
    <t>US9258765</t>
  </si>
  <si>
    <t xml:space="preserve">Methods for performing parallel uplink wireless signal measurements </t>
  </si>
  <si>
    <t>US2014098691</t>
  </si>
  <si>
    <t xml:space="preserve">Wireless inductive charging of weapon system energy source </t>
  </si>
  <si>
    <t>US2015115880</t>
  </si>
  <si>
    <t xml:space="preserve">Unified controller for integrated lighting, shading and thermostat control </t>
  </si>
  <si>
    <t>US2015234369</t>
  </si>
  <si>
    <t xml:space="preserve">Switch network of containers and trailers for transportation, storage, and distribution of physical items </t>
  </si>
  <si>
    <t>US2016019497</t>
  </si>
  <si>
    <t xml:space="preserve">Telescopic cylindrical type lifting platform </t>
  </si>
  <si>
    <t>CN202054576</t>
  </si>
  <si>
    <t>WO2014158672</t>
  </si>
  <si>
    <t>WO2014143563</t>
  </si>
  <si>
    <t xml:space="preserve">Self starting rocking device and its solar battery application circuit and power source circuit </t>
  </si>
  <si>
    <t>JPH0772812</t>
  </si>
  <si>
    <t xml:space="preserve">System, method, and computer program product for detecting and monitoring utility consumption </t>
  </si>
  <si>
    <t>WO2012099588</t>
  </si>
  <si>
    <t xml:space="preserve">Multi-layer coatings </t>
  </si>
  <si>
    <t>US2016002498</t>
  </si>
  <si>
    <t xml:space="preserve">Transformability(TM): personal mobility with shape-changing wheels </t>
  </si>
  <si>
    <t>US2013081885</t>
  </si>
  <si>
    <t>WO2014147494</t>
  </si>
  <si>
    <t xml:space="preserve">Sailing ship for yachting, has streamlined immersed floater that is fully immersed in water and supports platform through pylon carriers, and auxiliary floater that touches water when ship is at halt or travels at slow speed </t>
  </si>
  <si>
    <t>FR2862602</t>
  </si>
  <si>
    <t xml:space="preserve">Enhancement of access points to support heterogeneous networks </t>
  </si>
  <si>
    <t>US2015312776</t>
  </si>
  <si>
    <t>WO2008131446</t>
  </si>
  <si>
    <t xml:space="preserve">Platform for data service between different application frameworks </t>
  </si>
  <si>
    <t>JP2006244488</t>
  </si>
  <si>
    <t xml:space="preserve">Flying platform </t>
  </si>
  <si>
    <t>WO2014195660</t>
  </si>
  <si>
    <t xml:space="preserve">Internet of Things smart home management and control system based on digital television terminal </t>
  </si>
  <si>
    <t>CN103501309</t>
  </si>
  <si>
    <t xml:space="preserve">Central air-conditioning multi-dimension integrating optimization control system and method </t>
  </si>
  <si>
    <t>CN102367980</t>
  </si>
  <si>
    <t xml:space="preserve">Observation platform using structured communications with external devices and systems </t>
  </si>
  <si>
    <t>US2017093952</t>
  </si>
  <si>
    <t>WO2014005067</t>
  </si>
  <si>
    <t xml:space="preserve">Portable tree stand system </t>
  </si>
  <si>
    <t>US2014263516</t>
  </si>
  <si>
    <t xml:space="preserve">Portable agrarian biosystem </t>
  </si>
  <si>
    <t>US2017013810</t>
  </si>
  <si>
    <t xml:space="preserve">Unmanned vehicles intelligence acceptance goods device </t>
  </si>
  <si>
    <t>CN205931263</t>
  </si>
  <si>
    <t xml:space="preserve">Cavity self-generating wind device and power generation method thereof </t>
  </si>
  <si>
    <t>CN102562473</t>
  </si>
  <si>
    <t xml:space="preserve">Smart UAV goods delivery device and method of embodiments </t>
  </si>
  <si>
    <t>CN106081112</t>
  </si>
  <si>
    <t xml:space="preserve">Management method for use by a management system </t>
  </si>
  <si>
    <t>EP2947908</t>
  </si>
  <si>
    <t xml:space="preserve">Enhancement of inter-cell interference coordination with adaptive reduced-power almost blank subframes based on neighbor cell profile data </t>
  </si>
  <si>
    <t>US2016099791</t>
  </si>
  <si>
    <t xml:space="preserve">Hydropneumatic, elementary and economical transport means </t>
  </si>
  <si>
    <t>DE3615208</t>
  </si>
  <si>
    <t xml:space="preserve">Centralized radiation air -conditioning system of detachable family control </t>
  </si>
  <si>
    <t>CN204923270</t>
  </si>
  <si>
    <t xml:space="preserve">Automatic online household entry early warning method and system based on wireless Mesh network </t>
  </si>
  <si>
    <t>CN104052813</t>
  </si>
  <si>
    <t xml:space="preserve">Internet enabled appliance command structure </t>
  </si>
  <si>
    <t>US6826267</t>
  </si>
  <si>
    <t xml:space="preserve">Dual mode tracking system </t>
  </si>
  <si>
    <t>US6353406</t>
  </si>
  <si>
    <t xml:space="preserve">Cell phones with optical capabilities, and related applications </t>
  </si>
  <si>
    <t>US6947571</t>
  </si>
  <si>
    <t xml:space="preserve">Method for internetworked hybrid wireless integrated network sensors (WINS) </t>
  </si>
  <si>
    <t>US7844687</t>
  </si>
  <si>
    <t xml:space="preserve">Markup language for an interactive geographic information system </t>
  </si>
  <si>
    <t>US7353114</t>
  </si>
  <si>
    <t>US5877819</t>
  </si>
  <si>
    <t xml:space="preserve">Methods and devices employing content identifiers </t>
  </si>
  <si>
    <t>US7792325</t>
  </si>
  <si>
    <t xml:space="preserve">Initializing controlled transition light dimmers </t>
  </si>
  <si>
    <t>US5629607</t>
  </si>
  <si>
    <t xml:space="preserve">Network link for providing dynamic data layer in a geographic information system </t>
  </si>
  <si>
    <t>US7933929</t>
  </si>
  <si>
    <t xml:space="preserve">Server for updating location beacon database </t>
  </si>
  <si>
    <t>US7414988</t>
  </si>
  <si>
    <t xml:space="preserve">Voice-controlled wireless communications system and method </t>
  </si>
  <si>
    <t>US6892083</t>
  </si>
  <si>
    <t xml:space="preserve">Balancing the comprehensive health of a user </t>
  </si>
  <si>
    <t>US7024369</t>
  </si>
  <si>
    <t xml:space="preserve">System and method for in-vehicle communications </t>
  </si>
  <si>
    <t>US7313467</t>
  </si>
  <si>
    <t xml:space="preserve">Systems and methods for energy storage and recovery using compressed gas </t>
  </si>
  <si>
    <t>US7832207</t>
  </si>
  <si>
    <t xml:space="preserve">System and methods utilizing passport documents </t>
  </si>
  <si>
    <t>US6565000</t>
  </si>
  <si>
    <t xml:space="preserve">Inductorless controlled transition and other light dimmers </t>
  </si>
  <si>
    <t>US5319301</t>
  </si>
  <si>
    <t xml:space="preserve">Fail safe fault interrupter </t>
  </si>
  <si>
    <t>US6262871</t>
  </si>
  <si>
    <t>US7134011</t>
  </si>
  <si>
    <t xml:space="preserve">Assessment and modification of a human subject's circadian cycle </t>
  </si>
  <si>
    <t>US5304212</t>
  </si>
  <si>
    <t xml:space="preserve">Method and apparatus combining a tracking system and a wireless communication system </t>
  </si>
  <si>
    <t>US6812824</t>
  </si>
  <si>
    <t xml:space="preserve">System and method for generating voice pages with included audio files for use in a voice page delivery system </t>
  </si>
  <si>
    <t>US6895084</t>
  </si>
  <si>
    <t xml:space="preserve">Lighting system for a vehicle, with high-intensity power LED </t>
  </si>
  <si>
    <t>US7344284</t>
  </si>
  <si>
    <t xml:space="preserve">Remote vehicle diagnostic management </t>
  </si>
  <si>
    <t>US7650210</t>
  </si>
  <si>
    <t xml:space="preserve">Information management and monitoring system and method </t>
  </si>
  <si>
    <t>US7630802</t>
  </si>
  <si>
    <t xml:space="preserve">Network for changing resource consumption in an appliance </t>
  </si>
  <si>
    <t>US8027752</t>
  </si>
  <si>
    <t xml:space="preserve">System and method for managing return channel bandwidth in a two-way satellite system </t>
  </si>
  <si>
    <t>US6650869</t>
  </si>
  <si>
    <t xml:space="preserve">Systems and methods for energy storage and recovery using rapid isothermal gas expansion and compression </t>
  </si>
  <si>
    <t>US7874155</t>
  </si>
  <si>
    <t xml:space="preserve">Process for preparation of aloe products products, produced thereby and compositions thereof </t>
  </si>
  <si>
    <t>US4735935</t>
  </si>
  <si>
    <t xml:space="preserve">Electric field measuring system </t>
  </si>
  <si>
    <t>US5315232</t>
  </si>
  <si>
    <t xml:space="preserve">Vehicular heads-up display system </t>
  </si>
  <si>
    <t>US7920102</t>
  </si>
  <si>
    <t xml:space="preserve">Processes for preparation of aloe products, products produced thereby and compositions thereof </t>
  </si>
  <si>
    <t>US4917890</t>
  </si>
  <si>
    <t xml:space="preserve">Wheel-mounted tire pumping and energy generating system and method </t>
  </si>
  <si>
    <t>US7408453</t>
  </si>
  <si>
    <t xml:space="preserve">Apparatus, system and method for treating dry eye conditions and promoting healthy eyes </t>
  </si>
  <si>
    <t>US7231922</t>
  </si>
  <si>
    <t xml:space="preserve">Vehicle diagnostic and prognostic methods and systems </t>
  </si>
  <si>
    <t>US8019501</t>
  </si>
  <si>
    <t xml:space="preserve">Tire pressure monitoring using hall effect sensors </t>
  </si>
  <si>
    <t>US7379800</t>
  </si>
  <si>
    <t xml:space="preserve">System and method for providing a two-way satellite system </t>
  </si>
  <si>
    <t>US7164661</t>
  </si>
  <si>
    <t xml:space="preserve">Processes for preparation of aloe products products produced thereby and compositions thereof </t>
  </si>
  <si>
    <t>US4966892</t>
  </si>
  <si>
    <t xml:space="preserve">Vehicle with crash sensor coupled to data bus </t>
  </si>
  <si>
    <t>US7527288</t>
  </si>
  <si>
    <t xml:space="preserve">Method and system for automatically configuring a hand-held camera using wireless communication to improve image quality </t>
  </si>
  <si>
    <t>US6970189</t>
  </si>
  <si>
    <t xml:space="preserve">Methods, computer-readable media, and computer program product for intelligent selection of items encoded onto portable machine-playable entertainment media </t>
  </si>
  <si>
    <t>US7178720</t>
  </si>
  <si>
    <t xml:space="preserve">Graceful energization and degradation of an electronic device micropowered by a source of energy in its environment, particularly an irrigation controller powered by light energy </t>
  </si>
  <si>
    <t>US5661349</t>
  </si>
  <si>
    <t xml:space="preserve">Assessment and modification of circadian phase and amplitude </t>
  </si>
  <si>
    <t>US5176133</t>
  </si>
  <si>
    <t>US8512150</t>
  </si>
  <si>
    <t xml:space="preserve">Universal card interface module for contact free cards </t>
  </si>
  <si>
    <t>US6173897</t>
  </si>
  <si>
    <t xml:space="preserve">Image reproducing method and apparatus, image processing method and apparatus, and photographing support system </t>
  </si>
  <si>
    <t>US7170632</t>
  </si>
  <si>
    <t xml:space="preserve">Camera having user interface with verification display and color cast indicator </t>
  </si>
  <si>
    <t>US6870567</t>
  </si>
  <si>
    <t xml:space="preserve">Method and system for selecting and providing a relevant subset of Wi-Fi location information to a mobile client device so the client device may estimate its position with efficient utilization of resources </t>
  </si>
  <si>
    <t>US8369264</t>
  </si>
  <si>
    <t xml:space="preserve">System and method for managing bandwidth in a two-way satellite system </t>
  </si>
  <si>
    <t>US6987741</t>
  </si>
  <si>
    <t xml:space="preserve">Matching system </t>
  </si>
  <si>
    <t>US7592910</t>
  </si>
  <si>
    <t xml:space="preserve">Restricted multimedia episode distribution with synthetically generated random outcomes to players with intra-episode biometric image based authentication </t>
  </si>
  <si>
    <t>US7285048</t>
  </si>
  <si>
    <t xml:space="preserve">Vehicular RFID and sensor assemblies </t>
  </si>
  <si>
    <t>US7786864</t>
  </si>
  <si>
    <t xml:space="preserve">Framework for handling business transactions </t>
  </si>
  <si>
    <t>US7904434</t>
  </si>
  <si>
    <t xml:space="preserve">Camera having user interface ambient sensor viewer adaptation compensation and method </t>
  </si>
  <si>
    <t>US6989859</t>
  </si>
  <si>
    <t xml:space="preserve">Processing audio data </t>
  </si>
  <si>
    <t>US7876914</t>
  </si>
  <si>
    <t xml:space="preserve">Camera that displays predominant color multi-color scene and/or multi-color captured image of scene </t>
  </si>
  <si>
    <t>US6505002</t>
  </si>
  <si>
    <t xml:space="preserve">Vehicle diagnostic techniques </t>
  </si>
  <si>
    <t>US8024084</t>
  </si>
  <si>
    <t xml:space="preserve">Pressure balanced percussion firing system </t>
  </si>
  <si>
    <t>US3800705</t>
  </si>
  <si>
    <t xml:space="preserve">Tire-mounted energy generator and monitor </t>
  </si>
  <si>
    <t>US7549327</t>
  </si>
  <si>
    <t xml:space="preserve">High efficiency bicycle frame suspension </t>
  </si>
  <si>
    <t>US6109636</t>
  </si>
  <si>
    <t xml:space="preserve">Method and system of directing an antenna in a two-way satellite system </t>
  </si>
  <si>
    <t>US6441782</t>
  </si>
  <si>
    <t xml:space="preserve">Automated extension for generation of cross references in a knowledge base </t>
  </si>
  <si>
    <t>US7051022</t>
  </si>
  <si>
    <t>US4959214</t>
  </si>
  <si>
    <t xml:space="preserve">Protection apparatus for brushless motor </t>
  </si>
  <si>
    <t>US5929576</t>
  </si>
  <si>
    <t xml:space="preserve">Cash delivery apparatus for motor fuel dispenser or other self service facility </t>
  </si>
  <si>
    <t>US6845907</t>
  </si>
  <si>
    <t xml:space="preserve">Switch assemblies and method for controlling vehicular components </t>
  </si>
  <si>
    <t>US7880594</t>
  </si>
  <si>
    <t xml:space="preserve">Method and system for communicating targeted information </t>
  </si>
  <si>
    <t>US2001042002</t>
  </si>
  <si>
    <t xml:space="preserve">System and method of virtualizing physical locations </t>
  </si>
  <si>
    <t>US2005192999</t>
  </si>
  <si>
    <t xml:space="preserve">Pocket concierge system and method </t>
  </si>
  <si>
    <t>US2003013438</t>
  </si>
  <si>
    <t xml:space="preserve">Communications system and method for serving electronic content </t>
  </si>
  <si>
    <t>US2009157513</t>
  </si>
  <si>
    <t xml:space="preserve">Virtual audio system and techniques </t>
  </si>
  <si>
    <t>US2003007648</t>
  </si>
  <si>
    <t xml:space="preserve">System, Device and Method for Providing Power Line Communications </t>
  </si>
  <si>
    <t>US2011018704</t>
  </si>
  <si>
    <t xml:space="preserve">Method, system and computer program for detecting and monitoring human activity utilizing location data </t>
  </si>
  <si>
    <t>US2008125959</t>
  </si>
  <si>
    <t xml:space="preserve">Vehicular Steering Wheel with Input Device </t>
  </si>
  <si>
    <t>US2006284839</t>
  </si>
  <si>
    <t xml:space="preserve">Vehicle Software Upgrade Techniques </t>
  </si>
  <si>
    <t>US2008140278</t>
  </si>
  <si>
    <t>US2002055906</t>
  </si>
  <si>
    <t xml:space="preserve">Vehicle Computer Design and Use Techniques </t>
  </si>
  <si>
    <t>US2008086240</t>
  </si>
  <si>
    <t xml:space="preserve">In-person one-tap purchasing apparatuses, methods and systems </t>
  </si>
  <si>
    <t>US2012271712</t>
  </si>
  <si>
    <t xml:space="preserve">Apparatus and method of collaborative funding of new products and/or services </t>
  </si>
  <si>
    <t>US2003055779</t>
  </si>
  <si>
    <t xml:space="preserve">Voice-controlled communications system and method using a badge application </t>
  </si>
  <si>
    <t>US2008140416</t>
  </si>
  <si>
    <t xml:space="preserve">Coverage hole detector </t>
  </si>
  <si>
    <t>US2011130135</t>
  </si>
  <si>
    <t xml:space="preserve">Object extraction method, and image sensing apparatus using the method </t>
  </si>
  <si>
    <t>US2002044691</t>
  </si>
  <si>
    <t xml:space="preserve">Energy Harvesting Systems and Methods for Vehicles </t>
  </si>
  <si>
    <t>US2007205881</t>
  </si>
  <si>
    <t xml:space="preserve">Systems and methods of managing tasks assigned to an individual </t>
  </si>
  <si>
    <t>US2008270240</t>
  </si>
  <si>
    <t xml:space="preserve">Method, apparatus, and system for connecting a mobile client to wireless networks </t>
  </si>
  <si>
    <t>US2011299422</t>
  </si>
  <si>
    <t xml:space="preserve">Device-driven intelligence and feedback for performance optimization and planning of a service network </t>
  </si>
  <si>
    <t>US2011275364</t>
  </si>
  <si>
    <t xml:space="preserve">Humane tubular trap, remote trap monitoring system and method and programs for monitoring multiple traps </t>
  </si>
  <si>
    <t>US2005097808</t>
  </si>
  <si>
    <t xml:space="preserve">Social home page </t>
  </si>
  <si>
    <t>US2011258556</t>
  </si>
  <si>
    <t xml:space="preserve">Continuation of exterior view on interior pillars and surfaces </t>
  </si>
  <si>
    <t>US2010253596</t>
  </si>
  <si>
    <t xml:space="preserve">Near unity power factor long life low cost led lamp retrofit system and method </t>
  </si>
  <si>
    <t>US2014300274</t>
  </si>
  <si>
    <t xml:space="preserve">Methods and Apparatus for Reducing Storage Size </t>
  </si>
  <si>
    <t>US2008154928</t>
  </si>
  <si>
    <t xml:space="preserve">Recommendations in a computing advice facility </t>
  </si>
  <si>
    <t>US2013124449</t>
  </si>
  <si>
    <t xml:space="preserve">Communications network system and service provider </t>
  </si>
  <si>
    <t>US2009313299</t>
  </si>
  <si>
    <t xml:space="preserve">Method, system and storage medium for an iconic language communication tool </t>
  </si>
  <si>
    <t>US2002140732</t>
  </si>
  <si>
    <t xml:space="preserve">Inroute training in a two-way satellite system </t>
  </si>
  <si>
    <t>US2003112878</t>
  </si>
  <si>
    <t xml:space="preserve">Heros journey 9shooter bracket and totem potem pole micro mini mount apparatus, system, and method for connecting multiple cameras, stills cameras, video cameras, DSLRs, monitors, microphones, flashes, radio receivers, recording devices, mounts, power packs, and more </t>
  </si>
  <si>
    <t>US2011129210</t>
  </si>
  <si>
    <t xml:space="preserve">smart current attenuator for energy conservation in appliances </t>
  </si>
  <si>
    <t>US2008136581</t>
  </si>
  <si>
    <t xml:space="preserve">Hybrid satellite system for providing one-way and two-way communication services </t>
  </si>
  <si>
    <t>US2003058810</t>
  </si>
  <si>
    <t xml:space="preserve">Integrated Keyless Entry System and Vehicle Component Monitoring </t>
  </si>
  <si>
    <t>US2007126561</t>
  </si>
  <si>
    <t xml:space="preserve">Advice engine delivering personalized search results and customized roadtrip plans </t>
  </si>
  <si>
    <t>US2010312464</t>
  </si>
  <si>
    <t xml:space="preserve">Camera having verification display with viewer adaptation compensation for reference illuminants and method </t>
  </si>
  <si>
    <t>US2002113881</t>
  </si>
  <si>
    <t xml:space="preserve">Method and System of Detecting Events in Image Collections </t>
  </si>
  <si>
    <t>US2011099199</t>
  </si>
  <si>
    <t xml:space="preserve">Portable method and apparatus for monitoring refrigerant-cycle systems </t>
  </si>
  <si>
    <t>US2009037142</t>
  </si>
  <si>
    <t xml:space="preserve">Tire Monitoring Techniques </t>
  </si>
  <si>
    <t>US2007156312</t>
  </si>
  <si>
    <t xml:space="preserve">Lighting and integrated fixture control </t>
  </si>
  <si>
    <t>US2014028200</t>
  </si>
  <si>
    <t xml:space="preserve">Color correcting flash apparatus, camera, and method </t>
  </si>
  <si>
    <t>US2002118967</t>
  </si>
  <si>
    <t xml:space="preserve">Systems and methods for energy storage and recovery using gas expansion and compression </t>
  </si>
  <si>
    <t>US2011296823</t>
  </si>
  <si>
    <t xml:space="preserve">System and method for assessing effectiveness of communication content </t>
  </si>
  <si>
    <t>US2009012847</t>
  </si>
  <si>
    <t xml:space="preserve">Change invariant scene recognition by an agent </t>
  </si>
  <si>
    <t>US2012209514</t>
  </si>
  <si>
    <t xml:space="preserve">Hybrid electric cleaning device </t>
  </si>
  <si>
    <t>US2008284363</t>
  </si>
  <si>
    <t xml:space="preserve">Air conditioning method and system </t>
  </si>
  <si>
    <t>US3945432</t>
  </si>
  <si>
    <t xml:space="preserve">Cash dispensing method for self-service facility such as motor fuel dispensing facility </t>
  </si>
  <si>
    <t>US7143065</t>
  </si>
  <si>
    <t xml:space="preserve">Systems and methods for recharging an electric vehicle </t>
  </si>
  <si>
    <t>US2011227531</t>
  </si>
  <si>
    <t xml:space="preserve">Order processing apparatus and method </t>
  </si>
  <si>
    <t>US2007007331</t>
  </si>
  <si>
    <t xml:space="preserve">System and method for providing control of a two-way satellite system </t>
  </si>
  <si>
    <t>US2001043573</t>
  </si>
  <si>
    <t xml:space="preserve">Interactive Map </t>
  </si>
  <si>
    <t>US2013339891</t>
  </si>
  <si>
    <t xml:space="preserve">Album generating apparatus, album generating method and computer readable medium </t>
  </si>
  <si>
    <t>US2008049976</t>
  </si>
  <si>
    <t xml:space="preserve">Dual conversion transmitter with single local oscillator </t>
  </si>
  <si>
    <t>US2010117693</t>
  </si>
  <si>
    <t xml:space="preserve">Image-taking apparatus </t>
  </si>
  <si>
    <t>US2006192879</t>
  </si>
  <si>
    <t xml:space="preserve">Smart coupling device </t>
  </si>
  <si>
    <t>US2008143489</t>
  </si>
  <si>
    <t xml:space="preserve">Light Management for Image and Data Control </t>
  </si>
  <si>
    <t>US2014285429</t>
  </si>
  <si>
    <t xml:space="preserve">System and method for scaling a two-way satellite system </t>
  </si>
  <si>
    <t>US7463582</t>
  </si>
  <si>
    <t xml:space="preserve">Video camera band and system </t>
  </si>
  <si>
    <t>US2013202274</t>
  </si>
  <si>
    <t xml:space="preserve">Facilitating revenue generation from wholesale electricity markets based on a self-tuning energy asset model </t>
  </si>
  <si>
    <t>US2013346139</t>
  </si>
  <si>
    <t xml:space="preserve">Interactive building module </t>
  </si>
  <si>
    <t>US2005279035</t>
  </si>
  <si>
    <t xml:space="preserve">System and method for concurrently conducting cause-and-effect experiments on content effectiveness and adjusting content distribution to optimize business objectives </t>
  </si>
  <si>
    <t>US2010174671</t>
  </si>
  <si>
    <t xml:space="preserve">System and method for assigning pieces of content to time-slots samples for measuring effects of the assigned content </t>
  </si>
  <si>
    <t>US2009012927</t>
  </si>
  <si>
    <t xml:space="preserve">System and method for generating time-slot samples to which content may be assigned for measuring effects of the assigned content </t>
  </si>
  <si>
    <t>US2009012848</t>
  </si>
  <si>
    <t xml:space="preserve">Optimization of traffic load in a distributed antenna system </t>
  </si>
  <si>
    <t>US2014162664</t>
  </si>
  <si>
    <t xml:space="preserve">Occupant Protection Systems Control Techniques </t>
  </si>
  <si>
    <t>US2010268423</t>
  </si>
  <si>
    <t xml:space="preserve">Voice-controlled communications system and method having an access device </t>
  </si>
  <si>
    <t>US2008140415</t>
  </si>
  <si>
    <t xml:space="preserve">An apparatus using recyclable resource </t>
  </si>
  <si>
    <t>WO0226024</t>
  </si>
  <si>
    <t xml:space="preserve">Leakage current detection based upon load sharing conductors </t>
  </si>
  <si>
    <t>US2004136125</t>
  </si>
  <si>
    <t xml:space="preserve">Method and apparatus for event-driven processing of data </t>
  </si>
  <si>
    <t>US6862732</t>
  </si>
  <si>
    <t xml:space="preserve">Wireless Sensing and Communication System for Traffic Lanes </t>
  </si>
  <si>
    <t>US2008119966</t>
  </si>
  <si>
    <t xml:space="preserve">Device and method for processing situated information </t>
  </si>
  <si>
    <t>US7533079</t>
  </si>
  <si>
    <t>WO0052498</t>
  </si>
  <si>
    <t xml:space="preserve">Use of cytoskeletal inhibitors for the prevention of restenosis </t>
  </si>
  <si>
    <t>WO9843618</t>
  </si>
  <si>
    <t xml:space="preserve">Pharmacologically functional water and its use </t>
  </si>
  <si>
    <t>JP2005126384</t>
  </si>
  <si>
    <t xml:space="preserve">Automatic scene modeling for the 3d camera and 3d video </t>
  </si>
  <si>
    <t>KR20070119018</t>
  </si>
  <si>
    <t xml:space="preserve">Performance environments supporting interactions among performers and self-organizing processes </t>
  </si>
  <si>
    <t>US7217878</t>
  </si>
  <si>
    <t xml:space="preserve">Meeting/communication supporting system </t>
  </si>
  <si>
    <t>JP2000167233</t>
  </si>
  <si>
    <t xml:space="preserve">Energy management system and method </t>
  </si>
  <si>
    <t>CN1656661</t>
  </si>
  <si>
    <t xml:space="preserve">Adjustable height planter with an optional waterfall, and/or an adjustable irrigation system for controllably watering the planter and surrounding terrain </t>
  </si>
  <si>
    <t>US2008115414</t>
  </si>
  <si>
    <t xml:space="preserve">External Frame Backpack </t>
  </si>
  <si>
    <t>US2004108350</t>
  </si>
  <si>
    <t xml:space="preserve">Transceiver in a two-way satellite system </t>
  </si>
  <si>
    <t>US6965581</t>
  </si>
  <si>
    <t xml:space="preserve">Omni-directional intelligent autotour and situational aware dome surveillance camera system and method </t>
  </si>
  <si>
    <t>US2012098927</t>
  </si>
  <si>
    <t xml:space="preserve">Bicycle article carrier </t>
  </si>
  <si>
    <t>US2010012696</t>
  </si>
  <si>
    <t xml:space="preserve">Information presenting system, information processing system, program and information storage medium </t>
  </si>
  <si>
    <t>JP2010072828</t>
  </si>
  <si>
    <t xml:space="preserve">System for managing person and object information </t>
  </si>
  <si>
    <t>JP2002334162</t>
  </si>
  <si>
    <t xml:space="preserve">Vehicle software upgrade techniques </t>
  </si>
  <si>
    <t>US2013325323</t>
  </si>
  <si>
    <t xml:space="preserve">Middle voltage load break switch and application to a middle voltage cell and a middle voltage post </t>
  </si>
  <si>
    <t>EP0543683</t>
  </si>
  <si>
    <t xml:space="preserve">Methods and instruments for the rehabilitation and training </t>
  </si>
  <si>
    <t>JP2007520313</t>
  </si>
  <si>
    <t xml:space="preserve">Information provision system, information provision method, and portable wireless communication terminal </t>
  </si>
  <si>
    <t>JP2004309836</t>
  </si>
  <si>
    <t>WO9967737</t>
  </si>
  <si>
    <t xml:space="preserve">Method of inhibiting oxidation, water capable of inhibiting oxidation and use thereof </t>
  </si>
  <si>
    <t>WO2004039735</t>
  </si>
  <si>
    <t xml:space="preserve">System and method of visual illustration of stock market performance </t>
  </si>
  <si>
    <t>US7991672</t>
  </si>
  <si>
    <t xml:space="preserve">Apparatus and method for regulating flow and temperature in a central heating installation </t>
  </si>
  <si>
    <t>US4679729</t>
  </si>
  <si>
    <t xml:space="preserve">Encounter/contact supporting system </t>
  </si>
  <si>
    <t>JP2002024113</t>
  </si>
  <si>
    <t xml:space="preserve">Method And System For Developing And Evaluating And Marketing Products Through Use Of Intellectual Capital Derivative Rights </t>
  </si>
  <si>
    <t>US2010114664</t>
  </si>
  <si>
    <t xml:space="preserve">Self-Adhesive Radiant Heating Underlayment </t>
  </si>
  <si>
    <t>US2010175824</t>
  </si>
  <si>
    <t xml:space="preserve">Billboard Receiver and Localized Broadcast System </t>
  </si>
  <si>
    <t>US2009197551</t>
  </si>
  <si>
    <t xml:space="preserve">Highlighting Media Through Weighting of People or Contexts </t>
  </si>
  <si>
    <t>US2015082172</t>
  </si>
  <si>
    <t xml:space="preserve">Golf swing analyzing/training mat system with ball striking-related feedback </t>
  </si>
  <si>
    <t>US2007298895</t>
  </si>
  <si>
    <t xml:space="preserve">Systems and methods for second chance games </t>
  </si>
  <si>
    <t>US2013237304</t>
  </si>
  <si>
    <t xml:space="preserve">System and method for performing auto-commissioning in a two-way satellite system </t>
  </si>
  <si>
    <t>US2002009058</t>
  </si>
  <si>
    <t>US9098876</t>
  </si>
  <si>
    <t xml:space="preserve">Female urination aid device </t>
  </si>
  <si>
    <t>US7131149</t>
  </si>
  <si>
    <t xml:space="preserve">Apparatus and Method for Spatially Referencing Images </t>
  </si>
  <si>
    <t>US2013278755</t>
  </si>
  <si>
    <t>US8923186</t>
  </si>
  <si>
    <t xml:space="preserve">Method of photocatalytically making the surface of base material ultrahydrophilic, base material having ultrahydraphilic and photocatalytic surface, and process for producing said material </t>
  </si>
  <si>
    <t>CN1184498</t>
  </si>
  <si>
    <t xml:space="preserve">Systems and Methods for Map-Based Lottery Games </t>
  </si>
  <si>
    <t>US2012214571</t>
  </si>
  <si>
    <t>EP1923830</t>
  </si>
  <si>
    <t xml:space="preserve">In-vehicle outside-vehicle acoustic transmission system </t>
  </si>
  <si>
    <t>JP2008035472</t>
  </si>
  <si>
    <t>US2009031642</t>
  </si>
  <si>
    <t xml:space="preserve">Hydraulic slip and hydraulic blowout preventer combined oil water well pressured equipment </t>
  </si>
  <si>
    <t>CN101519953</t>
  </si>
  <si>
    <t xml:space="preserve">Four-wheeled push vehicle </t>
  </si>
  <si>
    <t>US6517092</t>
  </si>
  <si>
    <t>US2016357187</t>
  </si>
  <si>
    <t xml:space="preserve">Apparatus for controlling the color balance of a photographic image </t>
  </si>
  <si>
    <t>US4918470</t>
  </si>
  <si>
    <t xml:space="preserve">Intelligent network monitoring system for safety of primary and secondary school campuses </t>
  </si>
  <si>
    <t>CN101674461</t>
  </si>
  <si>
    <t xml:space="preserve">Digital type protective controller </t>
  </si>
  <si>
    <t>CN1484120</t>
  </si>
  <si>
    <t xml:space="preserve">Heat metering control system based on indoor and outdoor temperature differences and heat metering proportional calculation and control method </t>
  </si>
  <si>
    <t>CN103398417</t>
  </si>
  <si>
    <t xml:space="preserve">Collector for energy from all sources on a regenerative basis uses photovoltaic recombination heat and solar excess heat with heat pump and thermo-electric conversion </t>
  </si>
  <si>
    <t>DE102005032764</t>
  </si>
  <si>
    <t xml:space="preserve">System and apparatus for multi media surveillance </t>
  </si>
  <si>
    <t>WO2006046234</t>
  </si>
  <si>
    <t xml:space="preserve">Virtual Earth </t>
  </si>
  <si>
    <t>JP2008538825</t>
  </si>
  <si>
    <t xml:space="preserve">Nanometer selenium-germanium negative ion far infrared anti-ultraviolet mosquito-resistant water-repellent magnetic therapy travel mattress tent </t>
  </si>
  <si>
    <t>CN102926012</t>
  </si>
  <si>
    <t xml:space="preserve">Touring time optimization method for tourist attractions </t>
  </si>
  <si>
    <t>CN103402173</t>
  </si>
  <si>
    <t xml:space="preserve">Information-presenting system, program, and information storage medium </t>
  </si>
  <si>
    <t>JP2009176130</t>
  </si>
  <si>
    <t xml:space="preserve">Animal water dispensers and the like that resist fouling and method of maintaining same </t>
  </si>
  <si>
    <t>US7219623</t>
  </si>
  <si>
    <t xml:space="preserve">System and method for placing virtual geographic zone markers </t>
  </si>
  <si>
    <t>US2017018184</t>
  </si>
  <si>
    <t xml:space="preserve">Method of centering a shaft in a bearing and hydrostatic bearing with high rigidity for carrying out this method </t>
  </si>
  <si>
    <t>US3685874</t>
  </si>
  <si>
    <t xml:space="preserve">Method and apparatus for transmitting data in a tracking system </t>
  </si>
  <si>
    <t>WO0011590</t>
  </si>
  <si>
    <t xml:space="preserve">Wireless type remote balance control water heater </t>
  </si>
  <si>
    <t>CN201173566</t>
  </si>
  <si>
    <t>WO2014031899</t>
  </si>
  <si>
    <t xml:space="preserve">Ferris wheel kinds of tourist cabin </t>
  </si>
  <si>
    <t>CN207627905</t>
  </si>
  <si>
    <t xml:space="preserve">System capable of simulating bicycle to run on a road </t>
  </si>
  <si>
    <t>CN101450255</t>
  </si>
  <si>
    <t>US9418115</t>
  </si>
  <si>
    <t xml:space="preserve">Two-wheel self-balancing electric vehicle with travelling instruction lamp </t>
  </si>
  <si>
    <t>CN202201094</t>
  </si>
  <si>
    <t>CA2695014</t>
  </si>
  <si>
    <t xml:space="preserve">Disposable female urinary aid </t>
  </si>
  <si>
    <t>US2009048569</t>
  </si>
  <si>
    <t xml:space="preserve">Self-propelled surface-underwater island-seadrome </t>
  </si>
  <si>
    <t>RU2410283</t>
  </si>
  <si>
    <t xml:space="preserve">Self-propelled surface-submerged island </t>
  </si>
  <si>
    <t>RU2399549</t>
  </si>
  <si>
    <t xml:space="preserve">Solar two-wheel self-balancing electric vehicle </t>
  </si>
  <si>
    <t>CN202608977</t>
  </si>
  <si>
    <t xml:space="preserve">Card payment method for sale management system </t>
  </si>
  <si>
    <t>KR100303640</t>
  </si>
  <si>
    <t xml:space="preserve">Arrangement in climatization systems </t>
  </si>
  <si>
    <t>US4412649</t>
  </si>
  <si>
    <t xml:space="preserve">Thermal steam engine for autonomous submersible vessel without communication with the surface </t>
  </si>
  <si>
    <t>FR2552160</t>
  </si>
  <si>
    <t xml:space="preserve">Campus intelligent video monitoring system </t>
  </si>
  <si>
    <t>CN104349127</t>
  </si>
  <si>
    <t xml:space="preserve">Eco-friendly flooring containing a negative ion radiating material in crowd facility and paving method using the same </t>
  </si>
  <si>
    <t>KR101248395</t>
  </si>
  <si>
    <t xml:space="preserve">Highlands pressure self -balancing air suction system </t>
  </si>
  <si>
    <t>CN205322947</t>
  </si>
  <si>
    <t xml:space="preserve">Sightseeing equipment for water surface drifting </t>
  </si>
  <si>
    <t>CN107826218</t>
  </si>
  <si>
    <t xml:space="preserve">System and method for tracking, utilizing predicting, and implementing online consumer browsing behavior, buying patterns, social networking communications, advertisements and communications, for online coupons, products, goods and services, auctions, and service providers using geospatial mapping technology, and social networking </t>
  </si>
  <si>
    <t>US10102546</t>
  </si>
  <si>
    <t>WO2017218878</t>
  </si>
  <si>
    <t xml:space="preserve">Patent BE507361A </t>
  </si>
  <si>
    <t>BE507361</t>
  </si>
  <si>
    <t xml:space="preserve">Internal combustion engine has flame transmission </t>
  </si>
  <si>
    <t>FR2464369</t>
  </si>
  <si>
    <t xml:space="preserve">Intelligent travel planning </t>
  </si>
  <si>
    <t>US2018053121</t>
  </si>
  <si>
    <t>US2018159444</t>
  </si>
  <si>
    <t xml:space="preserve">A method and system for conducting research and development on an urban scale </t>
  </si>
  <si>
    <t>WO2006088550</t>
  </si>
  <si>
    <t xml:space="preserve">Window formula intelligence air purifier </t>
  </si>
  <si>
    <t>CN204611993</t>
  </si>
  <si>
    <t xml:space="preserve">Gesture-Based Configuration of Image Processing Techniques </t>
  </si>
  <si>
    <t>US2012242852</t>
  </si>
  <si>
    <t xml:space="preserve">Mobile broadband wireless access point network with wireless backhaul </t>
  </si>
  <si>
    <t>US7620370</t>
  </si>
  <si>
    <t xml:space="preserve">Method for managing radio resource in node-b and mobile telecommunication system for the same </t>
  </si>
  <si>
    <t>KR20100071775</t>
  </si>
  <si>
    <t xml:space="preserve">System and method of controlling an HVAC system </t>
  </si>
  <si>
    <t>US7343226</t>
  </si>
  <si>
    <t xml:space="preserve">System and method for performance enhancement in heterogeneous wireless access network employing band selective power management </t>
  </si>
  <si>
    <t>US9363761</t>
  </si>
  <si>
    <t xml:space="preserve">Power line communication system and method </t>
  </si>
  <si>
    <t>US6965303</t>
  </si>
  <si>
    <t xml:space="preserve">Device and method for communicating data signals through multiple power line conductors </t>
  </si>
  <si>
    <t>US7075414</t>
  </si>
  <si>
    <t xml:space="preserve">Power line communication and power distribution parameter measurement system and method </t>
  </si>
  <si>
    <t>US7795877</t>
  </si>
  <si>
    <t xml:space="preserve">Device capable of switching between an image display status and a mirror status, and an instrument disposed therewith </t>
  </si>
  <si>
    <t>US7495719</t>
  </si>
  <si>
    <t xml:space="preserve">Wireless energy transfer for refrigerator application </t>
  </si>
  <si>
    <t>US8106539</t>
  </si>
  <si>
    <t xml:space="preserve">Power line communication system and method of operating the same </t>
  </si>
  <si>
    <t>US7466225</t>
  </si>
  <si>
    <t xml:space="preserve">System and method for performance enhancement in heterogeneous wireless access network employing distributed antenna system </t>
  </si>
  <si>
    <t>US9020555</t>
  </si>
  <si>
    <t xml:space="preserve">Location of a mobile station using a plurality of commercial wireless infrastructures </t>
  </si>
  <si>
    <t>US6236365</t>
  </si>
  <si>
    <t>US8996188</t>
  </si>
  <si>
    <t xml:space="preserve">Method and system for modulating a light source in a light based positioning system using a DC bias </t>
  </si>
  <si>
    <t>US8334901</t>
  </si>
  <si>
    <t xml:space="preserve">Protocol for self-organizing network using a logical spanning tree backbone </t>
  </si>
  <si>
    <t>US6982960</t>
  </si>
  <si>
    <t xml:space="preserve">The self-balancing electronic wheel barrow of riding instead of walk </t>
  </si>
  <si>
    <t>CN204507110</t>
  </si>
  <si>
    <t xml:space="preserve">Mobile broadband wireless network with interference mitigation mechanism to minimize interference within a cluster during multiple concurrent transmissions </t>
  </si>
  <si>
    <t>US7574179</t>
  </si>
  <si>
    <t xml:space="preserve">Device and method for coupling with electrical distribution network infrastructure to provide communications </t>
  </si>
  <si>
    <t>US6980090</t>
  </si>
  <si>
    <t xml:space="preserve">Toner developed electrostatic imaging process for outdoor signs </t>
  </si>
  <si>
    <t>US5262259</t>
  </si>
  <si>
    <t xml:space="preserve">Magnoelectric resonance engine </t>
  </si>
  <si>
    <t>US5329768</t>
  </si>
  <si>
    <t xml:space="preserve">Cellular communications systems </t>
  </si>
  <si>
    <t>US6640111</t>
  </si>
  <si>
    <t xml:space="preserve">Dynamic source route computation to avoid self-interference </t>
  </si>
  <si>
    <t>US9401863</t>
  </si>
  <si>
    <t xml:space="preserve">Apparatus and method for frequency shifting of a wireless signal and systems using frequency shifting </t>
  </si>
  <si>
    <t>US7813451</t>
  </si>
  <si>
    <t xml:space="preserve">Load re-balancing method and mobile telecommunication system for the same </t>
  </si>
  <si>
    <t>KR20120059751</t>
  </si>
  <si>
    <t>US8366550</t>
  </si>
  <si>
    <t>US7064654</t>
  </si>
  <si>
    <t xml:space="preserve">Intelligent battery, electricity transfer bus system and balanced charging and discharging method </t>
  </si>
  <si>
    <t>CN104617633</t>
  </si>
  <si>
    <t xml:space="preserve">Method and system for modulating a beacon light source in a light based positioning system </t>
  </si>
  <si>
    <t>US8457502</t>
  </si>
  <si>
    <t xml:space="preserve">Device for dimming a beacon light source used in a light based positioning system </t>
  </si>
  <si>
    <t>US8432438</t>
  </si>
  <si>
    <t xml:space="preserve">Method and system for providing power factor correction in a power distribution system </t>
  </si>
  <si>
    <t>US7804280</t>
  </si>
  <si>
    <t xml:space="preserve">Magnetoelectric resonance engine </t>
  </si>
  <si>
    <t>US5146750</t>
  </si>
  <si>
    <t xml:space="preserve">Method and system for configuring an imaging device for the reception of digital pulse recognition information </t>
  </si>
  <si>
    <t>US8334898</t>
  </si>
  <si>
    <t xml:space="preserve">Outdoor lighting systems and methods for wireless network communications </t>
  </si>
  <si>
    <t>US8445826</t>
  </si>
  <si>
    <t xml:space="preserve">Thermoplastic dicyclopentadiene-base open-ring polymers, hydrogenated derivatives thereof, and processes for the preparation of both </t>
  </si>
  <si>
    <t>US6511756</t>
  </si>
  <si>
    <t xml:space="preserve">Electrically conductive compositions and their use </t>
  </si>
  <si>
    <t>US3923697</t>
  </si>
  <si>
    <t xml:space="preserve">Wearable heart rate monitor </t>
  </si>
  <si>
    <t>US8920332</t>
  </si>
  <si>
    <t xml:space="preserve">Mobile gaming devices for use in a gaming network having gaming and non-gaming zones </t>
  </si>
  <si>
    <t>US8226474</t>
  </si>
  <si>
    <t xml:space="preserve">Contained environmental control system for mobile event data recorder </t>
  </si>
  <si>
    <t>US7703291</t>
  </si>
  <si>
    <t xml:space="preserve">Multi-purpose movable combined furnace </t>
  </si>
  <si>
    <t>CN1033166</t>
  </si>
  <si>
    <t xml:space="preserve">Heating device containing electrically conductive composition </t>
  </si>
  <si>
    <t>US3999040</t>
  </si>
  <si>
    <t xml:space="preserve">Integrated breathing system </t>
  </si>
  <si>
    <t>US5584286</t>
  </si>
  <si>
    <t xml:space="preserve">Battery charging and discharging system optimized for high temperature environments </t>
  </si>
  <si>
    <t>US6661203</t>
  </si>
  <si>
    <t xml:space="preserve">Energy-efficient solar-powered outdoor lighting </t>
  </si>
  <si>
    <t>US2015021990</t>
  </si>
  <si>
    <t xml:space="preserve">Method and system for demodulating a digital pulse recognition signal in a light based positioning system using a Fourier transform </t>
  </si>
  <si>
    <t>US8436896</t>
  </si>
  <si>
    <t xml:space="preserve">Commerce and services in a femtocell network </t>
  </si>
  <si>
    <t>US2009299788</t>
  </si>
  <si>
    <t xml:space="preserve">Interference management and decentralized channel access schemes in hotspot-aided cellular networks </t>
  </si>
  <si>
    <t>US2010124930</t>
  </si>
  <si>
    <t xml:space="preserve">Mobile autonomous dynamic graphical user interface </t>
  </si>
  <si>
    <t>US8942995</t>
  </si>
  <si>
    <t xml:space="preserve">Head protector for infants, small children, senior citizens, adults or physically disabled individuals </t>
  </si>
  <si>
    <t>US7103923</t>
  </si>
  <si>
    <t xml:space="preserve">System for projecting content to a display surface having user-controlled size, shape and location/direction and apparatus and methods useful in conjunction therewith </t>
  </si>
  <si>
    <t>US2013328770</t>
  </si>
  <si>
    <t xml:space="preserve">Automatic white balance statistics collection </t>
  </si>
  <si>
    <t>US7912279</t>
  </si>
  <si>
    <t>US2007043478</t>
  </si>
  <si>
    <t xml:space="preserve">Power Management Unit with Light Module Identification </t>
  </si>
  <si>
    <t>US2011001436</t>
  </si>
  <si>
    <t xml:space="preserve">Power Management Unit with Automatic Output Configuration </t>
  </si>
  <si>
    <t>US2010301774</t>
  </si>
  <si>
    <t xml:space="preserve">Fixture with Rotatable Light Modules </t>
  </si>
  <si>
    <t>US2010296285</t>
  </si>
  <si>
    <t xml:space="preserve">System and method for monitoring and managing equipment </t>
  </si>
  <si>
    <t>US2003069648</t>
  </si>
  <si>
    <t xml:space="preserve">Power Management Unit with Multi-Input Arbitration </t>
  </si>
  <si>
    <t>US2010295482</t>
  </si>
  <si>
    <t xml:space="preserve">Methods for responding to co-located coexistence (clc) request from a mobile electronic device and communications apparatuses capable of controlling multi-radio coexistence </t>
  </si>
  <si>
    <t>US2010061326</t>
  </si>
  <si>
    <t xml:space="preserve">Fixture with Intelligent Light Modules </t>
  </si>
  <si>
    <t>US2010259931</t>
  </si>
  <si>
    <t xml:space="preserve">Power Management Unit with Temperature Protection </t>
  </si>
  <si>
    <t>US2011001438</t>
  </si>
  <si>
    <t xml:space="preserve">Classification and organization of consumer digital images using workflow, and face detection and recognition </t>
  </si>
  <si>
    <t>US2010066822</t>
  </si>
  <si>
    <t xml:space="preserve">Apparatus, processes and articles for facilitating mobile gaming </t>
  </si>
  <si>
    <t>US2008102957</t>
  </si>
  <si>
    <t xml:space="preserve">Power Management Unit with Power Metering </t>
  </si>
  <si>
    <t>US2010270933</t>
  </si>
  <si>
    <t xml:space="preserve">Electronically controlled prosthetic system </t>
  </si>
  <si>
    <t>US2009030530</t>
  </si>
  <si>
    <t>US2007174467</t>
  </si>
  <si>
    <t xml:space="preserve">Power Management Unit with Adaptive Dimming </t>
  </si>
  <si>
    <t>US2010264846</t>
  </si>
  <si>
    <t xml:space="preserve">Hybrid power line wireless communication network </t>
  </si>
  <si>
    <t>US2007201540</t>
  </si>
  <si>
    <t xml:space="preserve">Using facial data for device authentication or subject identification </t>
  </si>
  <si>
    <t>US2013015946</t>
  </si>
  <si>
    <t xml:space="preserve">Use of gyroscopes in personal fitness tracking devices </t>
  </si>
  <si>
    <t>US2014278229</t>
  </si>
  <si>
    <t xml:space="preserve">Systems and methods for wireless resource management with multi-protocol management </t>
  </si>
  <si>
    <t>US2008008116</t>
  </si>
  <si>
    <t xml:space="preserve">Information processing apparatus with optical data reader, servers, and electronic commerce method </t>
  </si>
  <si>
    <t>US2003120555</t>
  </si>
  <si>
    <t xml:space="preserve">Method and apparatus for configuring and controlling interfacing devices </t>
  </si>
  <si>
    <t>US2014005809</t>
  </si>
  <si>
    <t xml:space="preserve">Generation broadband wireless internet, and associated method, therefor </t>
  </si>
  <si>
    <t>US2002027894</t>
  </si>
  <si>
    <t xml:space="preserve">Gps accuracy refinement using external sensors </t>
  </si>
  <si>
    <t>US2014316305</t>
  </si>
  <si>
    <t xml:space="preserve">Power Management Unit with Lifetime Prediction </t>
  </si>
  <si>
    <t>US2010301770</t>
  </si>
  <si>
    <t xml:space="preserve">Power Management Unit with Ballast Interface </t>
  </si>
  <si>
    <t>US2010295475</t>
  </si>
  <si>
    <t xml:space="preserve">Equivalent home id for mobile communications </t>
  </si>
  <si>
    <t>US2009086672</t>
  </si>
  <si>
    <t xml:space="preserve">Power Management Unit with Modular Sensor Bus </t>
  </si>
  <si>
    <t>US2010295474</t>
  </si>
  <si>
    <t xml:space="preserve">Power Management Unit with Remote Reporting </t>
  </si>
  <si>
    <t>US2010301769</t>
  </si>
  <si>
    <t xml:space="preserve">Fixture with Individual Light Module Dimming </t>
  </si>
  <si>
    <t>US2010301773</t>
  </si>
  <si>
    <t xml:space="preserve">Power Management Unit with Power Source Arbitration </t>
  </si>
  <si>
    <t>US2010301771</t>
  </si>
  <si>
    <t xml:space="preserve">Energy-efficient utility system utilizing solar-power </t>
  </si>
  <si>
    <t>US2012143383</t>
  </si>
  <si>
    <t xml:space="preserve">Power Management Unit with Real Time Clock </t>
  </si>
  <si>
    <t>US2010301768</t>
  </si>
  <si>
    <t xml:space="preserve">Software-defined wideband holographic communications apparatus and methods </t>
  </si>
  <si>
    <t>US2005041746</t>
  </si>
  <si>
    <t xml:space="preserve">Interactive immersive virtual reality and simulation </t>
  </si>
  <si>
    <t>US2009237564</t>
  </si>
  <si>
    <t xml:space="preserve">Electrical Power Time Shifting </t>
  </si>
  <si>
    <t>US2011082598</t>
  </si>
  <si>
    <t xml:space="preserve">Display, method of manufacturing the same, and method of driving the same </t>
  </si>
  <si>
    <t>US2003052869</t>
  </si>
  <si>
    <t xml:space="preserve">PCS pocket phone/microcell communication over-air protocol </t>
  </si>
  <si>
    <t>EP1347584</t>
  </si>
  <si>
    <t xml:space="preserve">Triggering offers based on detected location of a mobile point of sale device </t>
  </si>
  <si>
    <t>US2013046635</t>
  </si>
  <si>
    <t xml:space="preserve">Modular base station antenna control system </t>
  </si>
  <si>
    <t>US2005085267</t>
  </si>
  <si>
    <t xml:space="preserve">Mobile safety compliance apparatus </t>
  </si>
  <si>
    <t>US2001052681</t>
  </si>
  <si>
    <t xml:space="preserve">Cooking system with ventilator and blower </t>
  </si>
  <si>
    <t>US2007062513</t>
  </si>
  <si>
    <t xml:space="preserve">Hybrid radio frequency / inductive loop antenna </t>
  </si>
  <si>
    <t>US2014266939</t>
  </si>
  <si>
    <t xml:space="preserve">Power Management Unit with Sensor Logging </t>
  </si>
  <si>
    <t>US2010295473</t>
  </si>
  <si>
    <t xml:space="preserve">Apparatus and methods for video alarm verification </t>
  </si>
  <si>
    <t>US2009022362</t>
  </si>
  <si>
    <t xml:space="preserve">Low cost heat engine which may be powered by heat from a phase change thermal storage material </t>
  </si>
  <si>
    <t>US2004211182</t>
  </si>
  <si>
    <t xml:space="preserve">Managed microcell wireless mesh network architecture </t>
  </si>
  <si>
    <t>US2005094585</t>
  </si>
  <si>
    <t xml:space="preserve">Phased VII micro fluid analyzer having a modular structure </t>
  </si>
  <si>
    <t>US2005063865</t>
  </si>
  <si>
    <t xml:space="preserve">Unified repeating system for mobile communication service </t>
  </si>
  <si>
    <t>KR200251636</t>
  </si>
  <si>
    <t xml:space="preserve">Energy storage systems </t>
  </si>
  <si>
    <t>US2012227926</t>
  </si>
  <si>
    <t xml:space="preserve">Implied media networks </t>
  </si>
  <si>
    <t>US2015100991</t>
  </si>
  <si>
    <t xml:space="preserve">Holographic communications using multiple code stages </t>
  </si>
  <si>
    <t>US2005084031</t>
  </si>
  <si>
    <t xml:space="preserve">Method and system for modifying a beacon light source for use in a light based positioning system </t>
  </si>
  <si>
    <t>US2013026945</t>
  </si>
  <si>
    <t xml:space="preserve">Gps power conservation using environmental data </t>
  </si>
  <si>
    <t>US2014275850</t>
  </si>
  <si>
    <t xml:space="preserve">Methods and apparatus for coordinating network monitoring and/or automating device configurations based on monitoring results </t>
  </si>
  <si>
    <t>US2009316585</t>
  </si>
  <si>
    <t xml:space="preserve">Adaptive data transfer using bluetooth </t>
  </si>
  <si>
    <t>US2014273858</t>
  </si>
  <si>
    <t xml:space="preserve">Mobile Data Center Unit </t>
  </si>
  <si>
    <t>US2009050591</t>
  </si>
  <si>
    <t xml:space="preserve">Adaptive holographic wideband communications apparatus and methods </t>
  </si>
  <si>
    <t>US2005100076</t>
  </si>
  <si>
    <t xml:space="preserve">Fixture with Replaceable Light Bars </t>
  </si>
  <si>
    <t>US2010302779</t>
  </si>
  <si>
    <t xml:space="preserve">Imager-based code-locating, reading and response methods and apparatus </t>
  </si>
  <si>
    <t>US2012274775</t>
  </si>
  <si>
    <t xml:space="preserve">Low-Cost Power Measurement Circuit </t>
  </si>
  <si>
    <t>US2010301834</t>
  </si>
  <si>
    <t xml:space="preserve">Method and Network Node in a Communications System </t>
  </si>
  <si>
    <t>US2013155991</t>
  </si>
  <si>
    <t xml:space="preserve">Display device and electronic device </t>
  </si>
  <si>
    <t>US2006273999</t>
  </si>
  <si>
    <t xml:space="preserve">Image sensing apparatus, image sensing method, and recording medium which records photographing method </t>
  </si>
  <si>
    <t>US2005041136</t>
  </si>
  <si>
    <t xml:space="preserve">Auto-focus calibration for image capture device </t>
  </si>
  <si>
    <t>US2009202235</t>
  </si>
  <si>
    <t xml:space="preserve">Apparatus and method for generating a pilot signal in order to perform a hard hand-off </t>
  </si>
  <si>
    <t>US6430200</t>
  </si>
  <si>
    <t xml:space="preserve">Methods for the manufacture and use of electrically conductive compositions and devices </t>
  </si>
  <si>
    <t>US4064074</t>
  </si>
  <si>
    <t xml:space="preserve">Systems and methods for effecting good hygiene practices </t>
  </si>
  <si>
    <t>US2013122807</t>
  </si>
  <si>
    <t xml:space="preserve">Vehicle vision system with customized display </t>
  </si>
  <si>
    <t>US2014333729</t>
  </si>
  <si>
    <t xml:space="preserve">Power Saving for Mobile Terminals </t>
  </si>
  <si>
    <t>US2013343252</t>
  </si>
  <si>
    <t xml:space="preserve">Dynamic sweet spot tracking </t>
  </si>
  <si>
    <t>US2007116306</t>
  </si>
  <si>
    <t xml:space="preserve">Launching unmanned aerial copter from mid-air </t>
  </si>
  <si>
    <t>US2016179096</t>
  </si>
  <si>
    <t xml:space="preserve">Display Device and Electronic Device </t>
  </si>
  <si>
    <t>US2009128529</t>
  </si>
  <si>
    <t xml:space="preserve">Gestural Use of Wireless Mobile Phone Devices to Signal to Remote Systems </t>
  </si>
  <si>
    <t>US2008019569</t>
  </si>
  <si>
    <t xml:space="preserve">MOBILE SOFTWARE DEFINED NETWORKING (MobiSDN) </t>
  </si>
  <si>
    <t>US2015055623</t>
  </si>
  <si>
    <t xml:space="preserve">System for preventing fraudulent purchases and identity theft </t>
  </si>
  <si>
    <t>US2008217400</t>
  </si>
  <si>
    <t xml:space="preserve">Scalable transform wideband holographic communications apparatus and methods </t>
  </si>
  <si>
    <t>US2005084033</t>
  </si>
  <si>
    <t>EP0328775</t>
  </si>
  <si>
    <t xml:space="preserve">Policy-driven automated facilities management system </t>
  </si>
  <si>
    <t>US2013226320</t>
  </si>
  <si>
    <t xml:space="preserve">Methods and Systems for Automatic White Balance </t>
  </si>
  <si>
    <t>US2011205389</t>
  </si>
  <si>
    <t xml:space="preserve">Voice activated application for mobile devices </t>
  </si>
  <si>
    <t>US2015161370</t>
  </si>
  <si>
    <t xml:space="preserve">Wireless perimeter security device and network using same </t>
  </si>
  <si>
    <t>US7349544</t>
  </si>
  <si>
    <t xml:space="preserve">Neighbor cell list automatic configuration apparatus and method for self-organizing network and mobile telecommunication system for the same </t>
  </si>
  <si>
    <t>KR20110028003</t>
  </si>
  <si>
    <t xml:space="preserve">Enhanced relay node with additional backhaul alternative and selection </t>
  </si>
  <si>
    <t>US2014105136</t>
  </si>
  <si>
    <t xml:space="preserve">Synchronization of time in a mobile ad-hoc network </t>
  </si>
  <si>
    <t>US2012127977</t>
  </si>
  <si>
    <t xml:space="preserve">Systems and methods of planning and deploying an ad hoc mobile wireless network </t>
  </si>
  <si>
    <t>US2010150027</t>
  </si>
  <si>
    <t xml:space="preserve">Monitoring and alarm system for the old </t>
  </si>
  <si>
    <t>CN201853320</t>
  </si>
  <si>
    <t xml:space="preserve">Selective distribution of location based service content to mobile devices </t>
  </si>
  <si>
    <t>US2013244624</t>
  </si>
  <si>
    <t xml:space="preserve">Slippery surfaces with high pressure stability, optical transparency, and self-healing characteristics </t>
  </si>
  <si>
    <t>US2014147627</t>
  </si>
  <si>
    <t xml:space="preserve">Text stitching from multiple images </t>
  </si>
  <si>
    <t>US2006013444</t>
  </si>
  <si>
    <t xml:space="preserve">Device and method to assist user in conducting a transaction with a machine </t>
  </si>
  <si>
    <t>US2006011718</t>
  </si>
  <si>
    <t xml:space="preserve">Image evaluation for reading mode in a reading machine </t>
  </si>
  <si>
    <t>US2006008122</t>
  </si>
  <si>
    <t xml:space="preserve">Duplex outdoor base station transceiver subsystem utilizing a hybrid system of a high power amplifier and an optic antenna </t>
  </si>
  <si>
    <t>US6310705</t>
  </si>
  <si>
    <t xml:space="preserve">Resource conservation based on a region of interest </t>
  </si>
  <si>
    <t>US2012327218</t>
  </si>
  <si>
    <t xml:space="preserve">Ventilation device </t>
  </si>
  <si>
    <t>US2003159802</t>
  </si>
  <si>
    <t xml:space="preserve">Transparent display apparatus and method for controlling the same </t>
  </si>
  <si>
    <t>US2014184577</t>
  </si>
  <si>
    <t xml:space="preserve">Systems and methods for establishing wireless connections based on access conditions </t>
  </si>
  <si>
    <t>US2014293829</t>
  </si>
  <si>
    <t xml:space="preserve">Digital camera user interface which adapts to environmental conditions </t>
  </si>
  <si>
    <t>US2012236173</t>
  </si>
  <si>
    <t xml:space="preserve">High capacity mobile electric power source </t>
  </si>
  <si>
    <t>US2007252435</t>
  </si>
  <si>
    <t xml:space="preserve">Display device and electronic apparatus </t>
  </si>
  <si>
    <t>US2011181786</t>
  </si>
  <si>
    <t xml:space="preserve">Exercise guidance system and mobile communication terminal thereof </t>
  </si>
  <si>
    <t>JP2006263002</t>
  </si>
  <si>
    <t xml:space="preserve">Modular real-time-energy indicator for use in domestic installation, particularly buildings or housing unit, has multiple modules, where each module is adapted for real time detection of energy content of similar energy carrier </t>
  </si>
  <si>
    <t>DE102008003866</t>
  </si>
  <si>
    <t>WO2010057138</t>
  </si>
  <si>
    <t xml:space="preserve">Virtualized wireless network with pilot beacons </t>
  </si>
  <si>
    <t>US2013114486</t>
  </si>
  <si>
    <t xml:space="preserve">Concept for load balancing in a radio access network </t>
  </si>
  <si>
    <t>US2014029431</t>
  </si>
  <si>
    <t xml:space="preserve">Wimax access point network with backhaul technology </t>
  </si>
  <si>
    <t>WO2008007375</t>
  </si>
  <si>
    <t xml:space="preserve">System and method for tuning in heterogeneous networks </t>
  </si>
  <si>
    <t>US2013210409</t>
  </si>
  <si>
    <t xml:space="preserve">System and method for estimating the position and orientation of a mobile communications device in a beacon-based positioning system </t>
  </si>
  <si>
    <t>US2016047890</t>
  </si>
  <si>
    <t xml:space="preserve">Method and apparatus to retrofit a display device for autostereoscopic display of interactive computer graphics </t>
  </si>
  <si>
    <t>US2005275942</t>
  </si>
  <si>
    <t xml:space="preserve">Device and method for light source correction for reflective displays </t>
  </si>
  <si>
    <t>US2013050165</t>
  </si>
  <si>
    <t xml:space="preserve">Separated base station system, network organization method, and a baseband unit </t>
  </si>
  <si>
    <t>JP2007529926</t>
  </si>
  <si>
    <t xml:space="preserve">Composite reporting of wireless relay power capability </t>
  </si>
  <si>
    <t>US2012196528</t>
  </si>
  <si>
    <t xml:space="preserve">Applications for a mobile, broadband, routable internet </t>
  </si>
  <si>
    <t>WO2010028278</t>
  </si>
  <si>
    <t xml:space="preserve">Apparatuses and methods for hdr image encoding and decodng </t>
  </si>
  <si>
    <t>US2014044372</t>
  </si>
  <si>
    <t xml:space="preserve">Environmental control unit for harsh conditions </t>
  </si>
  <si>
    <t>US2008264080</t>
  </si>
  <si>
    <t xml:space="preserve">Device, Network, and Method for Communications with Variable-duration Reference Signals </t>
  </si>
  <si>
    <t>US2016234706</t>
  </si>
  <si>
    <t xml:space="preserve">Offloading of User Plane Packets from a Macro Base Station to an Access Point </t>
  </si>
  <si>
    <t>US2015181491</t>
  </si>
  <si>
    <t xml:space="preserve">User equipment link quality estimation based on positioning </t>
  </si>
  <si>
    <t>US2014105046</t>
  </si>
  <si>
    <t xml:space="preserve">Bulk materials management apparatus and method </t>
  </si>
  <si>
    <t>WO0160718</t>
  </si>
  <si>
    <t>US2013070751</t>
  </si>
  <si>
    <t>US2007000025</t>
  </si>
  <si>
    <t xml:space="preserve">Integrated portable device and method implementing an accelerometer for detecting asymmetries in a movement of a user </t>
  </si>
  <si>
    <t>US2013190658</t>
  </si>
  <si>
    <t xml:space="preserve">Self identifying modulater light source </t>
  </si>
  <si>
    <t>EP2737779</t>
  </si>
  <si>
    <t xml:space="preserve">Managing fate-sharing in shared-media communication networks </t>
  </si>
  <si>
    <t>US2013227055</t>
  </si>
  <si>
    <t xml:space="preserve">Directed reading mode for portable reading machine </t>
  </si>
  <si>
    <t>US7325735</t>
  </si>
  <si>
    <t xml:space="preserve">Coating material and use of the same </t>
  </si>
  <si>
    <t>JP2006083363</t>
  </si>
  <si>
    <t xml:space="preserve">Hydrophilic film, and planographic printing material, stain-preventative member and defogging member using the same </t>
  </si>
  <si>
    <t>US2006188813</t>
  </si>
  <si>
    <t xml:space="preserve">Energy transfer arrangement and method </t>
  </si>
  <si>
    <t>WO2009037380</t>
  </si>
  <si>
    <t>WO2012024349</t>
  </si>
  <si>
    <t xml:space="preserve">Apparatus and method for updating map data </t>
  </si>
  <si>
    <t>DE102007045082</t>
  </si>
  <si>
    <t xml:space="preserve">Region of interest segmentation </t>
  </si>
  <si>
    <t>US2012326959</t>
  </si>
  <si>
    <t xml:space="preserve">Spectrum access system </t>
  </si>
  <si>
    <t>US2014237547</t>
  </si>
  <si>
    <t xml:space="preserve">Auxiliary Channel Remote Device Management, Diagnostics, and Self-Installation </t>
  </si>
  <si>
    <t>US2015140986</t>
  </si>
  <si>
    <t xml:space="preserve">High-intensity discharge lighting system and alternator power supply </t>
  </si>
  <si>
    <t>US7180216</t>
  </si>
  <si>
    <t xml:space="preserve">Inter-AP coordination and synchronization within wireless communications </t>
  </si>
  <si>
    <t>US2014362840</t>
  </si>
  <si>
    <t xml:space="preserve">Ad hoc wireless communications </t>
  </si>
  <si>
    <t>US2011117852</t>
  </si>
  <si>
    <t xml:space="preserve">Mountable device having a pivotable input device support </t>
  </si>
  <si>
    <t>US8934226</t>
  </si>
  <si>
    <t xml:space="preserve">Portable mobile lighting system </t>
  </si>
  <si>
    <t>CN201611014</t>
  </si>
  <si>
    <t xml:space="preserve">Housing energy control system </t>
  </si>
  <si>
    <t>JP2012023872</t>
  </si>
  <si>
    <t xml:space="preserve">Dynamic frequency spectrum management method and system </t>
  </si>
  <si>
    <t>CN102098680</t>
  </si>
  <si>
    <t xml:space="preserve">Method and system for femtocell channel selection </t>
  </si>
  <si>
    <t>US2013235746</t>
  </si>
  <si>
    <t xml:space="preserve">Network Architecture, Methods, and Devices for a Wireless Communications Network </t>
  </si>
  <si>
    <t>US2017331670</t>
  </si>
  <si>
    <t>US2017331577</t>
  </si>
  <si>
    <t xml:space="preserve">Brightness region-based apparatuses and methods for hdr image encoding and decoding </t>
  </si>
  <si>
    <t>US2015117791</t>
  </si>
  <si>
    <t xml:space="preserve">Waveform for use in mobile ad hoc networks </t>
  </si>
  <si>
    <t>WO2010028307</t>
  </si>
  <si>
    <t xml:space="preserve">Hypoxic fire prevention and fire extinguishing systems and breathable fire extinguishing compositions for human living environment </t>
  </si>
  <si>
    <t>CN1441687</t>
  </si>
  <si>
    <t xml:space="preserve">Scheduling a user equipment transmission mode to assist uplink interference characterization </t>
  </si>
  <si>
    <t>US2014105048</t>
  </si>
  <si>
    <t xml:space="preserve">Battery energy storage system and control system and applications thereof </t>
  </si>
  <si>
    <t>US2016141894</t>
  </si>
  <si>
    <t xml:space="preserve">Device and method for load balancing for data packet transmissions in wireless networks </t>
  </si>
  <si>
    <t>EP2437428</t>
  </si>
  <si>
    <t xml:space="preserve">Wireless communication command system for emergency rescue scene </t>
  </si>
  <si>
    <t>CN101909270</t>
  </si>
  <si>
    <t xml:space="preserve">Mobility assistance device </t>
  </si>
  <si>
    <t>US9149408</t>
  </si>
  <si>
    <t xml:space="preserve">White balance calibration for digital camera device </t>
  </si>
  <si>
    <t>CN101911715</t>
  </si>
  <si>
    <t xml:space="preserve">For the ocean a generating plant in global village zero calmity tidal power generator used with in it's a level pipes seesow type </t>
  </si>
  <si>
    <t>KR20100027087</t>
  </si>
  <si>
    <t xml:space="preserve">Flexible ofdm/ofdma frame structure for communication systems </t>
  </si>
  <si>
    <t>KR20100106364</t>
  </si>
  <si>
    <t xml:space="preserve">Mobile communication system </t>
  </si>
  <si>
    <t>US2013263284</t>
  </si>
  <si>
    <t>WO9631937</t>
  </si>
  <si>
    <t>US2016357188</t>
  </si>
  <si>
    <t xml:space="preserve">System and method for lighting power and control system </t>
  </si>
  <si>
    <t>CN102696282</t>
  </si>
  <si>
    <t xml:space="preserve">Double flow ventilation system </t>
  </si>
  <si>
    <t>EP0909926</t>
  </si>
  <si>
    <t xml:space="preserve">Low complexity adaptive filtering for mobile captures </t>
  </si>
  <si>
    <t>US9870598</t>
  </si>
  <si>
    <t xml:space="preserve">Indoor air intelligent processing system and method </t>
  </si>
  <si>
    <t>CN104515229</t>
  </si>
  <si>
    <t xml:space="preserve">Mobile access controller, mobile locak area network and metropolitan area network, and access method </t>
  </si>
  <si>
    <t>CN1728663</t>
  </si>
  <si>
    <t xml:space="preserve">Kite flying method, assembly and device </t>
  </si>
  <si>
    <t>US2011001012</t>
  </si>
  <si>
    <t xml:space="preserve">Interactive toy for cats and other prey oriented animals </t>
  </si>
  <si>
    <t>US2004011299</t>
  </si>
  <si>
    <t xml:space="preserve">Network system, public network resource management device, public network wireless base station, private network resource management device, and private network wireless base station </t>
  </si>
  <si>
    <t>WO2010061530</t>
  </si>
  <si>
    <t xml:space="preserve">Smart early learning system </t>
  </si>
  <si>
    <t>US2015140531</t>
  </si>
  <si>
    <t xml:space="preserve">Method for assisting a user in improving wireless device link quality </t>
  </si>
  <si>
    <t>US2017163330</t>
  </si>
  <si>
    <t>EP2867843</t>
  </si>
  <si>
    <t xml:space="preserve">Mobile electrical power module </t>
  </si>
  <si>
    <t>WO2014033467</t>
  </si>
  <si>
    <t xml:space="preserve">Method and machine for rehabilitation and training </t>
  </si>
  <si>
    <t>JP2007244437</t>
  </si>
  <si>
    <t xml:space="preserve">In-pipe stepless expansion reinforced tightening structure, thread band sleeve hook element, ring bracket assembly, and multifunction tripod </t>
  </si>
  <si>
    <t>JP2002054613</t>
  </si>
  <si>
    <t xml:space="preserve">Mobile sport training mirror method and apparatus </t>
  </si>
  <si>
    <t>US2002058237</t>
  </si>
  <si>
    <t xml:space="preserve">Method and apparatus for rehabilitation and training </t>
  </si>
  <si>
    <t>JP2007050249</t>
  </si>
  <si>
    <t xml:space="preserve">Fluid control measuring device </t>
  </si>
  <si>
    <t>US2015019022</t>
  </si>
  <si>
    <t xml:space="preserve">Fluid control measuring and controlling device </t>
  </si>
  <si>
    <t>US2016245541</t>
  </si>
  <si>
    <t>JP2008522880</t>
  </si>
  <si>
    <t xml:space="preserve">System and method for performing inventory using a mobile inventory robot </t>
  </si>
  <si>
    <t>US7693757</t>
  </si>
  <si>
    <t xml:space="preserve">Autonomous floor cleaning robot </t>
  </si>
  <si>
    <t>US7448113</t>
  </si>
  <si>
    <t xml:space="preserve">Continuous and autonomous mowing system </t>
  </si>
  <si>
    <t>US5444965</t>
  </si>
  <si>
    <t xml:space="preserve">Robot touch shield </t>
  </si>
  <si>
    <t>US6580246</t>
  </si>
  <si>
    <t xml:space="preserve">Real-time floor controller for control of music, signal processing, mixing, video, lighting, and other systems </t>
  </si>
  <si>
    <t>US6689947</t>
  </si>
  <si>
    <t xml:space="preserve">Implantable medical device having flat electrolytic capacitor with consolidated electrode tabs and corresponding feedthroughs </t>
  </si>
  <si>
    <t>US6141205</t>
  </si>
  <si>
    <t xml:space="preserve">Implantable medical device having flat electrolytic capacitor with connector block and sealed feedthroughs </t>
  </si>
  <si>
    <t>US6212063</t>
  </si>
  <si>
    <t xml:space="preserve">Implantable medical device having flat electrolytic capacitor with registered electrode layers </t>
  </si>
  <si>
    <t>US6009348</t>
  </si>
  <si>
    <t xml:space="preserve">Implantable medical device having flat electrolytic capacitor with consolidated electrode assembly </t>
  </si>
  <si>
    <t>US6006133</t>
  </si>
  <si>
    <t xml:space="preserve">Method of making an implantable medical device having a flat electrolytic capacitor </t>
  </si>
  <si>
    <t>US6042624</t>
  </si>
  <si>
    <t xml:space="preserve">Autonomous navigation system and method </t>
  </si>
  <si>
    <t>US7587260</t>
  </si>
  <si>
    <t xml:space="preserve">Mesh network monitoring appliance </t>
  </si>
  <si>
    <t>US7539533</t>
  </si>
  <si>
    <t xml:space="preserve">Method for passively decoupling torque applied by a remote actuator into an independently rotating member </t>
  </si>
  <si>
    <t>US9095362</t>
  </si>
  <si>
    <t xml:space="preserve">Arrangement and method for determining positions of the teats of a milking animal </t>
  </si>
  <si>
    <t>US8210122</t>
  </si>
  <si>
    <t xml:space="preserve">Multiple light-source illuminating system </t>
  </si>
  <si>
    <t>US8100552</t>
  </si>
  <si>
    <t xml:space="preserve">System for controlling exterior vehicle lights </t>
  </si>
  <si>
    <t>US6928180</t>
  </si>
  <si>
    <t xml:space="preserve">Solar-powered, wireless, retrofittable, automatic controller for venetian blinds and similar window converings </t>
  </si>
  <si>
    <t>US5760558</t>
  </si>
  <si>
    <t xml:space="preserve">Manufacturing monitoring and control systems </t>
  </si>
  <si>
    <t>US4827395</t>
  </si>
  <si>
    <t xml:space="preserve">LIMIS systems, devices and methods </t>
  </si>
  <si>
    <t>US4656463</t>
  </si>
  <si>
    <t xml:space="preserve">Adhesive and marking compositions made from interpolymers of ethylene/Î±-olefins </t>
  </si>
  <si>
    <t>US7524911</t>
  </si>
  <si>
    <t xml:space="preserve">Acoustic condition sensor employing a plurality of mutually non-orthogonal waves </t>
  </si>
  <si>
    <t>US5854450</t>
  </si>
  <si>
    <t xml:space="preserve">Self-propelled working robot having horizontally movable work assembly retracting in different speed based on contact sensor input on the assembly </t>
  </si>
  <si>
    <t>US7660650</t>
  </si>
  <si>
    <t>US5581166</t>
  </si>
  <si>
    <t xml:space="preserve">Method and apparatus for assembly of car bodies and other 3-dimensional objects </t>
  </si>
  <si>
    <t>US5380978</t>
  </si>
  <si>
    <t xml:space="preserve">Robotic follow system and method </t>
  </si>
  <si>
    <t>US7211980</t>
  </si>
  <si>
    <t xml:space="preserve">Implantable medical device with flat aluminum electolytic capacitor </t>
  </si>
  <si>
    <t>US6032075</t>
  </si>
  <si>
    <t xml:space="preserve">Non-linear genetic process for data encoding and for solving problems using automatically defined functions </t>
  </si>
  <si>
    <t>US5343554</t>
  </si>
  <si>
    <t>US6668951</t>
  </si>
  <si>
    <t xml:space="preserve">Tactile, visual, and array controllers for real-time control of music signal processing, mixing, video, and lighting </t>
  </si>
  <si>
    <t>US6570078</t>
  </si>
  <si>
    <t>US8439926</t>
  </si>
  <si>
    <t xml:space="preserve">Developmental learning machine and method </t>
  </si>
  <si>
    <t>US6353814</t>
  </si>
  <si>
    <t xml:space="preserve">Implantable medical device having flat electrolytic capacitor with laser welded cover </t>
  </si>
  <si>
    <t>US6459566</t>
  </si>
  <si>
    <t xml:space="preserve">Method of making a vacuum-treated liquid electrolyte-filled flat electrolytic capacitor </t>
  </si>
  <si>
    <t>US6099600</t>
  </si>
  <si>
    <t xml:space="preserve">Robotic guarded motion system and method </t>
  </si>
  <si>
    <t>US7668621</t>
  </si>
  <si>
    <t xml:space="preserve">Modulated pulse doppler sensor </t>
  </si>
  <si>
    <t>US6426716</t>
  </si>
  <si>
    <t xml:space="preserve">Self-propelled vehicle </t>
  </si>
  <si>
    <t>US5213176</t>
  </si>
  <si>
    <t xml:space="preserve">Generic robot architecture </t>
  </si>
  <si>
    <t>US7801644</t>
  </si>
  <si>
    <t xml:space="preserve">Robotics virtual rail system and method </t>
  </si>
  <si>
    <t>US7974738</t>
  </si>
  <si>
    <t>US6118652</t>
  </si>
  <si>
    <t xml:space="preserve">Ethylene/Î±-olefin block copolymers </t>
  </si>
  <si>
    <t>US7947793</t>
  </si>
  <si>
    <t xml:space="preserve">Cash dispensing method and system for merchandise delivery facility </t>
  </si>
  <si>
    <t>US6386323</t>
  </si>
  <si>
    <t xml:space="preserve">Method for simultaneous operation of robot welders </t>
  </si>
  <si>
    <t>US5798627</t>
  </si>
  <si>
    <t xml:space="preserve">Robots, systems, and methods for hazard evaluation and visualization </t>
  </si>
  <si>
    <t>US8355818</t>
  </si>
  <si>
    <t xml:space="preserve">Multi-robot control interface </t>
  </si>
  <si>
    <t>US8073564</t>
  </si>
  <si>
    <t xml:space="preserve">Occupancy change detection system and method </t>
  </si>
  <si>
    <t>US7584020</t>
  </si>
  <si>
    <t xml:space="preserve">Robotic intelligence kernel </t>
  </si>
  <si>
    <t>US7620477</t>
  </si>
  <si>
    <t xml:space="preserve">System and method for generating a virtual environment for land-based and underwater virtual characters </t>
  </si>
  <si>
    <t>US8128500</t>
  </si>
  <si>
    <t xml:space="preserve">Front wearing stand-up assistance robot </t>
  </si>
  <si>
    <t>KR101816774</t>
  </si>
  <si>
    <t xml:space="preserve">System for collaborative internet competitive sales analysis </t>
  </si>
  <si>
    <t>US8055548</t>
  </si>
  <si>
    <t xml:space="preserve">Walking mechanism of sampling robot </t>
  </si>
  <si>
    <t>CN103481956</t>
  </si>
  <si>
    <t>US7989543</t>
  </si>
  <si>
    <t xml:space="preserve">Aerial robot with dispensable conductive filament </t>
  </si>
  <si>
    <t>US7631834</t>
  </si>
  <si>
    <t xml:space="preserve">Motion capture from body mounted cameras </t>
  </si>
  <si>
    <t>US8786680</t>
  </si>
  <si>
    <t xml:space="preserve">Layered signal processing for individual and group output of multi-channel electronic musical instruments </t>
  </si>
  <si>
    <t>US7309829</t>
  </si>
  <si>
    <t xml:space="preserve">Wall crawling devices </t>
  </si>
  <si>
    <t>US7554787</t>
  </si>
  <si>
    <t xml:space="preserve">Unitary rolling vehicle </t>
  </si>
  <si>
    <t>US8670889</t>
  </si>
  <si>
    <t>KR101815989</t>
  </si>
  <si>
    <t xml:space="preserve">Electroadhesion </t>
  </si>
  <si>
    <t>US7551419</t>
  </si>
  <si>
    <t xml:space="preserve">Systems and methods for massively multi-player online role playing games </t>
  </si>
  <si>
    <t>US2004143852</t>
  </si>
  <si>
    <t xml:space="preserve">RFID applications </t>
  </si>
  <si>
    <t>US2006180647</t>
  </si>
  <si>
    <t xml:space="preserve">Method and system for controlling a remote vehicle </t>
  </si>
  <si>
    <t>US2008027591</t>
  </si>
  <si>
    <t xml:space="preserve">Detector Controlled Illuminating System </t>
  </si>
  <si>
    <t>US2012206050</t>
  </si>
  <si>
    <t xml:space="preserve">System and method for seamless task-directed autonomy for robots </t>
  </si>
  <si>
    <t>US2009234499</t>
  </si>
  <si>
    <t xml:space="preserve">Individually encapsulated solar cells and solar cell strings having a substantially inorganic protective layer </t>
  </si>
  <si>
    <t>US2007295390</t>
  </si>
  <si>
    <t>US2008062151</t>
  </si>
  <si>
    <t xml:space="preserve">Acoustic condition sensor employing a plurality 0f mutually non-orthogonal waves </t>
  </si>
  <si>
    <t>US2010117993</t>
  </si>
  <si>
    <t xml:space="preserve">Controlled vapor deposition of biocompatible coatings over surface-treated substrates </t>
  </si>
  <si>
    <t>US2006088666</t>
  </si>
  <si>
    <t xml:space="preserve">Pointing and identification device </t>
  </si>
  <si>
    <t>US2009267895</t>
  </si>
  <si>
    <t xml:space="preserve">Envelope-controlled dynamic layering of audio signal processing and synthesis for music applications </t>
  </si>
  <si>
    <t>US2005120870</t>
  </si>
  <si>
    <t xml:space="preserve">Security and monitoring apparatus </t>
  </si>
  <si>
    <t>US2010308999</t>
  </si>
  <si>
    <t xml:space="preserve">Wearable Intelligent Vision Device Apparatuses, Methods and Systems </t>
  </si>
  <si>
    <t>US2015073907</t>
  </si>
  <si>
    <t xml:space="preserve">Solar assembly with a multi-ply barrier layer and individually encapsulated solar cells or solar cell strings </t>
  </si>
  <si>
    <t>US2007295388</t>
  </si>
  <si>
    <t xml:space="preserve">Keyboard device with preselect feedback </t>
  </si>
  <si>
    <t>US2004004559</t>
  </si>
  <si>
    <t>US2007295385</t>
  </si>
  <si>
    <t xml:space="preserve">Sensors and associated methods for controlling a vacuum cleaner </t>
  </si>
  <si>
    <t>US2005278888</t>
  </si>
  <si>
    <t xml:space="preserve">Robot for Solar Farms </t>
  </si>
  <si>
    <t>US2012152877</t>
  </si>
  <si>
    <t xml:space="preserve">Vending machine for storage, labeling and dispensing of a container </t>
  </si>
  <si>
    <t>US2012004770</t>
  </si>
  <si>
    <t xml:space="preserve">Rehabilitation methods </t>
  </si>
  <si>
    <t>US2006277074</t>
  </si>
  <si>
    <t xml:space="preserve">Remote Vehicle Missions and Systems for Supporting Remote Vehicle Missions </t>
  </si>
  <si>
    <t>US2012095619</t>
  </si>
  <si>
    <t xml:space="preserve">Method and system to create products </t>
  </si>
  <si>
    <t>US2015055085</t>
  </si>
  <si>
    <t xml:space="preserve">Carrying apparatus and carrying control method for sheet-like substrate </t>
  </si>
  <si>
    <t>US2006216137</t>
  </si>
  <si>
    <t xml:space="preserve">Intelligent security patrol robot and control system thereof </t>
  </si>
  <si>
    <t>CN104890761</t>
  </si>
  <si>
    <t xml:space="preserve">Intelligent public security patrol robot </t>
  </si>
  <si>
    <t>CN107984480</t>
  </si>
  <si>
    <t xml:space="preserve">Methods and systems for control of general purpose microfluidic devices </t>
  </si>
  <si>
    <t>US8895311</t>
  </si>
  <si>
    <t xml:space="preserve">Species based quadrotors Opencv aerial image processing job autonomous capture control method </t>
  </si>
  <si>
    <t>CN108453738</t>
  </si>
  <si>
    <t xml:space="preserve">Controlled vapor deposition of biocompatible coatings for medical devices </t>
  </si>
  <si>
    <t>US2006251795</t>
  </si>
  <si>
    <t xml:space="preserve">Methods and systems for briquetting solid fuel </t>
  </si>
  <si>
    <t>US2009119981</t>
  </si>
  <si>
    <t xml:space="preserve">Individually encapsulated solar cells and solar cell strings having a hybrid organic/inorganic protective layer </t>
  </si>
  <si>
    <t>US2007295389</t>
  </si>
  <si>
    <t xml:space="preserve">Species with the teachings of the painting robot action, application method and application means </t>
  </si>
  <si>
    <t>CN108425310</t>
  </si>
  <si>
    <t xml:space="preserve">Apparatus for causation and prevention of collisions </t>
  </si>
  <si>
    <t>US2457393</t>
  </si>
  <si>
    <t xml:space="preserve">Camera and method with additional evaluation image capture based on scene brightness changes </t>
  </si>
  <si>
    <t>US7903168</t>
  </si>
  <si>
    <t xml:space="preserve">Intelligence security personnel go on patrol machine people </t>
  </si>
  <si>
    <t>CN204871279</t>
  </si>
  <si>
    <t xml:space="preserve">Real time explosive hazard information sensing, processing, and communication for autonomous operation </t>
  </si>
  <si>
    <t>US2012239191</t>
  </si>
  <si>
    <t>US5313854</t>
  </si>
  <si>
    <t xml:space="preserve">Individually Encapsulated Solar Cells and/or Solar Cell Strings </t>
  </si>
  <si>
    <t>US2010297798</t>
  </si>
  <si>
    <t xml:space="preserve">Exterior coatings for golf balls </t>
  </si>
  <si>
    <t>US2007213143</t>
  </si>
  <si>
    <t xml:space="preserve">Unmanned aerial vehicle system and methods for use </t>
  </si>
  <si>
    <t>US2016340006</t>
  </si>
  <si>
    <t xml:space="preserve">Method and System for an Integrated Safe City Environment including E-City Support </t>
  </si>
  <si>
    <t>US2011261202</t>
  </si>
  <si>
    <t>US2007295387</t>
  </si>
  <si>
    <t xml:space="preserve">Analyzing and correlating spectra, identifying samples and their ingredients, and displaying related personalized information </t>
  </si>
  <si>
    <t>US2015036138</t>
  </si>
  <si>
    <t xml:space="preserve">Method of operating a door system and a door system operating by this method </t>
  </si>
  <si>
    <t>US6084367</t>
  </si>
  <si>
    <t>US2005164725</t>
  </si>
  <si>
    <t xml:space="preserve">Means for applying images to other images </t>
  </si>
  <si>
    <t>US2003107585</t>
  </si>
  <si>
    <t xml:space="preserve">Systems, Apparatus, and Methods for the Management and Control of Remotely Controlled Devices </t>
  </si>
  <si>
    <t>US2009281676</t>
  </si>
  <si>
    <t xml:space="preserve">Self-stabilizing walking apparatus that is capable of being reprogrammed or puppeteered </t>
  </si>
  <si>
    <t>US6462498</t>
  </si>
  <si>
    <t xml:space="preserve">Apparatus and method for controlling internet of things devices </t>
  </si>
  <si>
    <t>US2015347114</t>
  </si>
  <si>
    <t xml:space="preserve">Information processing system, information processing method, and computer program product </t>
  </si>
  <si>
    <t>US2010070456</t>
  </si>
  <si>
    <t>WO2009111639</t>
  </si>
  <si>
    <t>US2014012787</t>
  </si>
  <si>
    <t xml:space="preserve">Robot system, robot device, and its cover </t>
  </si>
  <si>
    <t>WO0132366</t>
  </si>
  <si>
    <t xml:space="preserve">Hydrogen species self-balancing system based on the heat source type solid hydrogen reactor </t>
  </si>
  <si>
    <t>CN108426169</t>
  </si>
  <si>
    <t xml:space="preserve">Smart Hybrid Card System Providing Authenticity, Privacy, and Security (APS) </t>
  </si>
  <si>
    <t>US2012249302</t>
  </si>
  <si>
    <t>US2012163981</t>
  </si>
  <si>
    <t>US2004089090</t>
  </si>
  <si>
    <t>WO9807127</t>
  </si>
  <si>
    <t xml:space="preserve">Three-layer airborne flight control device for micro four-rotor aerial vehicle </t>
  </si>
  <si>
    <t>CN102424112</t>
  </si>
  <si>
    <t xml:space="preserve">Method and Apparatus for Automated Fluid Transfer Operations </t>
  </si>
  <si>
    <t>US2009126825</t>
  </si>
  <si>
    <t xml:space="preserve">Rehabilitation by music </t>
  </si>
  <si>
    <t>JP2007520309</t>
  </si>
  <si>
    <t xml:space="preserve">Techniques and apparatus for entertainment sites, amusement parks and other information and/or entertainment dispensing sites </t>
  </si>
  <si>
    <t>WO9908762</t>
  </si>
  <si>
    <t xml:space="preserve">Soft Exosuit for Assistance with Human Motion </t>
  </si>
  <si>
    <t>US2016107309</t>
  </si>
  <si>
    <t xml:space="preserve">Pool cleaner with on-board water analysis, data recording and transmission device </t>
  </si>
  <si>
    <t>WO2004019295</t>
  </si>
  <si>
    <t xml:space="preserve">Apparatus and method for analysing a golf swing </t>
  </si>
  <si>
    <t>CN101918090</t>
  </si>
  <si>
    <t xml:space="preserve">ETHYLENE/Î±-OLEFIN BLOCK INTERPOLYMERS </t>
  </si>
  <si>
    <t>WO2009097565</t>
  </si>
  <si>
    <t>WO2008127316</t>
  </si>
  <si>
    <t xml:space="preserve">Brain stimulation and rehabilitation </t>
  </si>
  <si>
    <t>WO2007138598</t>
  </si>
  <si>
    <t xml:space="preserve">Omnibearing moving manned intelligent robot and running method thereof </t>
  </si>
  <si>
    <t>CN101844586</t>
  </si>
  <si>
    <t xml:space="preserve">Apparatus and Method for Building Linear Solar Collectors Directly from Rolls of Reflective Laminate Material </t>
  </si>
  <si>
    <t>US2010199972</t>
  </si>
  <si>
    <t xml:space="preserve">Mask, vessel, and manufacturing apparatus </t>
  </si>
  <si>
    <t>JP2004307976</t>
  </si>
  <si>
    <t xml:space="preserve">Enhanced hydrocarbon well blowout protection </t>
  </si>
  <si>
    <t>US2011297396</t>
  </si>
  <si>
    <t xml:space="preserve">Robot for assistant exoskeletal power </t>
  </si>
  <si>
    <t>KR100716597</t>
  </si>
  <si>
    <t xml:space="preserve">Microfluid device and trace liquid dilution method </t>
  </si>
  <si>
    <t>JP2007279069</t>
  </si>
  <si>
    <t xml:space="preserve">ADHESIVES MADE FROM INTERPOLYMERS OF ETHYLENE/Î±-OLEFINS </t>
  </si>
  <si>
    <t>WO2009029476</t>
  </si>
  <si>
    <t xml:space="preserve">Self-centering end effector </t>
  </si>
  <si>
    <t>US6012877</t>
  </si>
  <si>
    <t>US2013206837</t>
  </si>
  <si>
    <t xml:space="preserve">Non-contact optical encoding scheme for intelligent automation puck </t>
  </si>
  <si>
    <t>WO2013177163</t>
  </si>
  <si>
    <t xml:space="preserve">device for optical representation of surgical operations </t>
  </si>
  <si>
    <t>EP0359773</t>
  </si>
  <si>
    <t xml:space="preserve">Individually encapsulated solar cells and solar cell strings </t>
  </si>
  <si>
    <t>US8039739</t>
  </si>
  <si>
    <t>WO2006063314</t>
  </si>
  <si>
    <t>US2007295386</t>
  </si>
  <si>
    <t xml:space="preserve">Fire robot and fire fighting system </t>
  </si>
  <si>
    <t>JP2000126324</t>
  </si>
  <si>
    <t>WO2009048875</t>
  </si>
  <si>
    <t xml:space="preserve">Dual blade robot </t>
  </si>
  <si>
    <t>JPH10275848</t>
  </si>
  <si>
    <t>US2013030750</t>
  </si>
  <si>
    <t xml:space="preserve">Electric cable and connector system </t>
  </si>
  <si>
    <t>US5929374</t>
  </si>
  <si>
    <t xml:space="preserve">Motion logging and robotic control and display system </t>
  </si>
  <si>
    <t>GB2400686</t>
  </si>
  <si>
    <t xml:space="preserve">POLYMER BLENDS WITH ETHYLENE/a-OLEFIN INTERPOLYMERS </t>
  </si>
  <si>
    <t>US2010113698</t>
  </si>
  <si>
    <t xml:space="preserve">Method of making multilayer optical film comprising layer-by-layer self-assembled layers and articles </t>
  </si>
  <si>
    <t>WO2014099367</t>
  </si>
  <si>
    <t xml:space="preserve">Rehabilitation robot system for old people with cerebral apoplexy </t>
  </si>
  <si>
    <t>CN104434466</t>
  </si>
  <si>
    <t xml:space="preserve">System and method for collecting and processing data and for utilizing robotic and/or human resources </t>
  </si>
  <si>
    <t>WO2014138472</t>
  </si>
  <si>
    <t xml:space="preserve">Cash dispensing automated banking machine system and method </t>
  </si>
  <si>
    <t>US7669757</t>
  </si>
  <si>
    <t xml:space="preserve">Apparatus and method for estimating and using a predicted vehicle speed in an indirect vision driving task </t>
  </si>
  <si>
    <t>US2014253722</t>
  </si>
  <si>
    <t xml:space="preserve">Micro fluid device and trace liquid diluting method </t>
  </si>
  <si>
    <t>WO2007105584</t>
  </si>
  <si>
    <t xml:space="preserve">FIBERS AND FABRICS MADE FROM ETHYLENE/alpha-OLEFIN INTERPOLYMERS </t>
  </si>
  <si>
    <t>US2011003524</t>
  </si>
  <si>
    <t>US7513419</t>
  </si>
  <si>
    <t xml:space="preserve">Wearable pneumatic lower limb rehabilitation training mechanical device </t>
  </si>
  <si>
    <t>CN203379328</t>
  </si>
  <si>
    <t xml:space="preserve">Apparatus and methods for the production of powders </t>
  </si>
  <si>
    <t>CN1377297</t>
  </si>
  <si>
    <t xml:space="preserve">Thermal image temperature measuring and fault location inspection robot system </t>
  </si>
  <si>
    <t>CN202586115</t>
  </si>
  <si>
    <t xml:space="preserve">System and method of integrating remote services </t>
  </si>
  <si>
    <t>US2013204993</t>
  </si>
  <si>
    <t xml:space="preserve">Sensor Array Spanning Multiple Radial Quadrants to Measure Body Joint Movement </t>
  </si>
  <si>
    <t>US2016202755</t>
  </si>
  <si>
    <t xml:space="preserve">Unmanned vehicles transports airborne robot handing -over goods express delivery device </t>
  </si>
  <si>
    <t>CN206087329</t>
  </si>
  <si>
    <t xml:space="preserve">The outdoor guide robot with automatic location based guidance and navigation </t>
  </si>
  <si>
    <t>KR101638679</t>
  </si>
  <si>
    <t xml:space="preserve">Remote controlled robot for cleaning inner-walls of duct and remote control system using same </t>
  </si>
  <si>
    <t>EP2310148</t>
  </si>
  <si>
    <t xml:space="preserve">Take flying robot of projecting apparatus </t>
  </si>
  <si>
    <t>CN205652330</t>
  </si>
  <si>
    <t xml:space="preserve">Apparatus and system of stand-up assistance device </t>
  </si>
  <si>
    <t>KR101814732</t>
  </si>
  <si>
    <t xml:space="preserve">Distributed Positioning and Collaborative Behavior Determination </t>
  </si>
  <si>
    <t>US2014035725</t>
  </si>
  <si>
    <t xml:space="preserve">Conflict Resolution Based on Object Behavioral Determination and Collaborative Relative Positioning </t>
  </si>
  <si>
    <t>US2014052293</t>
  </si>
  <si>
    <t xml:space="preserve">Feature balancing </t>
  </si>
  <si>
    <t>US2018136470</t>
  </si>
  <si>
    <t xml:space="preserve">Automated hybrid aquaponics and bioreactor system including product processing and storage facilities with integrated robotics, control system, and renewable energy system cross-reference to related applications </t>
  </si>
  <si>
    <t>US2015196002</t>
  </si>
  <si>
    <t xml:space="preserve">Predictively controlling an environmental control system using upper confidence bound for trees </t>
  </si>
  <si>
    <t>US2016201934</t>
  </si>
  <si>
    <t xml:space="preserve">Systems and methods involving diagnostic monitoring, aggregation, classification, analysis and visual insights </t>
  </si>
  <si>
    <t>US2017208151</t>
  </si>
  <si>
    <t xml:space="preserve">Self-propelled robot assistant </t>
  </si>
  <si>
    <t>US2015094879</t>
  </si>
  <si>
    <t>US2015290454</t>
  </si>
  <si>
    <t>JP4087104</t>
  </si>
  <si>
    <t xml:space="preserve">Multifunctional cool-thermo gas jar-a kind of domestic robot </t>
  </si>
  <si>
    <t>CN85106612</t>
  </si>
  <si>
    <t xml:space="preserve">Traffic system, self-propelled vehicle, and traffic system control process </t>
  </si>
  <si>
    <t>WO2018011394</t>
  </si>
  <si>
    <t xml:space="preserve">Satellite type logistics express distribution method </t>
  </si>
  <si>
    <t>CN106845732</t>
  </si>
  <si>
    <t xml:space="preserve">Multi-function lower limb ambulation rehabilitation and walking assist device </t>
  </si>
  <si>
    <t>US9789023</t>
  </si>
  <si>
    <t xml:space="preserve">Transformer substation equipment electrified water-flushing robot system and method based on double-machine cooperative control </t>
  </si>
  <si>
    <t>CN107971266</t>
  </si>
  <si>
    <t xml:space="preserve">System for controlling an automated device </t>
  </si>
  <si>
    <t>EP2690582</t>
  </si>
  <si>
    <t>US2012156049</t>
  </si>
  <si>
    <t xml:space="preserve">Screw driven mobile base </t>
  </si>
  <si>
    <t>US2009044990</t>
  </si>
  <si>
    <t xml:space="preserve">Autonomous mobile robot </t>
  </si>
  <si>
    <t>JP4784381</t>
  </si>
  <si>
    <t xml:space="preserve">Collaborative Spatial Positioning </t>
  </si>
  <si>
    <t>US2014049429</t>
  </si>
  <si>
    <t xml:space="preserve">Active type step assistance apparatus </t>
  </si>
  <si>
    <t>KR101471856</t>
  </si>
  <si>
    <t xml:space="preserve">Group robot system and pheromone robot for use therein </t>
  </si>
  <si>
    <t>JP3986848</t>
  </si>
  <si>
    <t>EP1850824</t>
  </si>
  <si>
    <t xml:space="preserve">Systems and methods for communication </t>
  </si>
  <si>
    <t>US2017223712</t>
  </si>
  <si>
    <t xml:space="preserve">the vibration generator using a self-oscillating power, the vibration generator using torque and vibration in parallel and the vibration generator device using the combination of various kinetic energy </t>
  </si>
  <si>
    <t>KR101464677</t>
  </si>
  <si>
    <t xml:space="preserve">Vibration generator using self-oscillating power or torque-converted vibration force </t>
  </si>
  <si>
    <t>KR101687820</t>
  </si>
  <si>
    <t xml:space="preserve">Apparatus and method for dynamically reconfiguring robot's software components </t>
  </si>
  <si>
    <t>KR101231771</t>
  </si>
  <si>
    <t xml:space="preserve">Apparatus and method for dynamically reconfiguring an internal circumstances </t>
  </si>
  <si>
    <t>KR101384242</t>
  </si>
  <si>
    <t xml:space="preserve">Special hanging clamp for measuring clamping force of fuel rod positioning grillwork </t>
  </si>
  <si>
    <t>CN202350958</t>
  </si>
  <si>
    <t xml:space="preserve">Universal unit body means </t>
  </si>
  <si>
    <t>CN104409106</t>
  </si>
  <si>
    <t xml:space="preserve">Silicon film forming equipment </t>
  </si>
  <si>
    <t>WO2005093119</t>
  </si>
  <si>
    <t xml:space="preserve">Modular robot system </t>
  </si>
  <si>
    <t>EP1059146</t>
  </si>
  <si>
    <t xml:space="preserve">Pod load interface equipment adapted for implementation in a fims system </t>
  </si>
  <si>
    <t>CN1465091</t>
  </si>
  <si>
    <t xml:space="preserve">autonomous cleaning robot for cleaning surfaces dry and wet </t>
  </si>
  <si>
    <t>ES2429138</t>
  </si>
  <si>
    <t xml:space="preserve">Capacitive touch sensor systems and methods </t>
  </si>
  <si>
    <t>JP6392361</t>
  </si>
  <si>
    <t xml:space="preserve">Flood damage adjustment distribution input device </t>
  </si>
  <si>
    <t>KR101799861</t>
  </si>
  <si>
    <t xml:space="preserve">Adaptive electronic design </t>
  </si>
  <si>
    <t>CA2689757</t>
  </si>
  <si>
    <t xml:space="preserve">Multi-function thermostat </t>
  </si>
  <si>
    <t>US2018087793</t>
  </si>
  <si>
    <t xml:space="preserve">â€œHublessâ€ self-balancing human transporter </t>
  </si>
  <si>
    <t>US9010474</t>
  </si>
  <si>
    <t xml:space="preserve">Ice resurfacing machine </t>
  </si>
  <si>
    <t>US3475056</t>
  </si>
  <si>
    <t xml:space="preserve">Personal status physiologic monitor system and architecture and related monitoring methods </t>
  </si>
  <si>
    <t>US7515043</t>
  </si>
  <si>
    <t xml:space="preserve">Passive and active infrared analysis gas sensors and applicable multichannel detector assembles </t>
  </si>
  <si>
    <t>US5721430</t>
  </si>
  <si>
    <t xml:space="preserve">Sol-gel matrices for direct colorimetric detection of analytes </t>
  </si>
  <si>
    <t>US6022748</t>
  </si>
  <si>
    <t xml:space="preserve">Method and apparatus for monitoring and adjusting multiple communication services at a venue </t>
  </si>
  <si>
    <t>US9351182</t>
  </si>
  <si>
    <t xml:space="preserve">Well system </t>
  </si>
  <si>
    <t>US7172038</t>
  </si>
  <si>
    <t xml:space="preserve">Stacked-carrier discrete multiple tone communication technology and combinations with code nulling, interference cancellation, retrodirective communication and adaptive antenna arrays </t>
  </si>
  <si>
    <t>US6128276</t>
  </si>
  <si>
    <t xml:space="preserve">Screeding apparatus and method </t>
  </si>
  <si>
    <t>US4930935</t>
  </si>
  <si>
    <t xml:space="preserve">Apparatus for supporting a load in a dynamically balanced condition </t>
  </si>
  <si>
    <t>US4768744</t>
  </si>
  <si>
    <t xml:space="preserve">Method and apparatus for exchanging communication signals </t>
  </si>
  <si>
    <t>US9461706</t>
  </si>
  <si>
    <t xml:space="preserve">Virtual reality system with enhanced sensory apparatus </t>
  </si>
  <si>
    <t>US5980256</t>
  </si>
  <si>
    <t xml:space="preserve">System for automatic color calibration </t>
  </si>
  <si>
    <t>US6459425</t>
  </si>
  <si>
    <t xml:space="preserve">Autonomous, low-cost, automatic window covering system for daylighting applications </t>
  </si>
  <si>
    <t>US5663621</t>
  </si>
  <si>
    <t xml:space="preserve">Transmission medium having multiple cores and methods for use therewith </t>
  </si>
  <si>
    <t>US9490869</t>
  </si>
  <si>
    <t xml:space="preserve">Electromagnetic systems with double-resonant spiral coil components </t>
  </si>
  <si>
    <t>US7973296</t>
  </si>
  <si>
    <t xml:space="preserve">Methods and apparatus for inducing a fundamental wave mode on a transmission medium </t>
  </si>
  <si>
    <t>US9509415</t>
  </si>
  <si>
    <t xml:space="preserve">Network autonomous wireless location system </t>
  </si>
  <si>
    <t>US8213957</t>
  </si>
  <si>
    <t xml:space="preserve">Printhead tile for use in a printing system </t>
  </si>
  <si>
    <t>US7258415</t>
  </si>
  <si>
    <t xml:space="preserve">Rack sensor controller for asset tracking </t>
  </si>
  <si>
    <t>US7436303</t>
  </si>
  <si>
    <t xml:space="preserve">Digital still camera system and method </t>
  </si>
  <si>
    <t>US6933970</t>
  </si>
  <si>
    <t xml:space="preserve">Intelligent door restraint </t>
  </si>
  <si>
    <t>US8225458</t>
  </si>
  <si>
    <t xml:space="preserve">Digital still camera architecture with red and blue interpolation using green as weighting factors </t>
  </si>
  <si>
    <t>US6836289</t>
  </si>
  <si>
    <t xml:space="preserve">Graphical data flow programming environment with first model of computation that includes a structure supporting second model of computation </t>
  </si>
  <si>
    <t>US7506304</t>
  </si>
  <si>
    <t xml:space="preserve">Heating automatic balance adjustment method and a smart energy monitoring system based on the secondary-side room </t>
  </si>
  <si>
    <t>CN108644887</t>
  </si>
  <si>
    <t xml:space="preserve">Low-cost on-line and in-line spectral sensors based on solid-state source and detectors combinations for monitoring lubricants and functional fluids </t>
  </si>
  <si>
    <t>US7339657</t>
  </si>
  <si>
    <t>US6948328</t>
  </si>
  <si>
    <t xml:space="preserve">Indoor yoga board </t>
  </si>
  <si>
    <t>US8734308</t>
  </si>
  <si>
    <t xml:space="preserve">Model shield tunneling machine starting device capable of achieving counter-force self-balance </t>
  </si>
  <si>
    <t>CN203271748</t>
  </si>
  <si>
    <t xml:space="preserve">Weighing scale apparatus </t>
  </si>
  <si>
    <t>US5894112</t>
  </si>
  <si>
    <t>US6754279</t>
  </si>
  <si>
    <t xml:space="preserve">An automatic car obstacle avoidance </t>
  </si>
  <si>
    <t>CN207889904</t>
  </si>
  <si>
    <t xml:space="preserve">Refrigeration system </t>
  </si>
  <si>
    <t>US6981385</t>
  </si>
  <si>
    <t>US8055907</t>
  </si>
  <si>
    <t xml:space="preserve">Vehicular self-propelled aerial work platform and telescoping parallelogram boom therefor </t>
  </si>
  <si>
    <t>US5249643</t>
  </si>
  <si>
    <t>US6829016</t>
  </si>
  <si>
    <t xml:space="preserve">Digital still camera system and complementary-color-filtered array interpolation method </t>
  </si>
  <si>
    <t>US7330209</t>
  </si>
  <si>
    <t xml:space="preserve">Roofmatesâ„¢ roofing accessories </t>
  </si>
  <si>
    <t>US6926241</t>
  </si>
  <si>
    <t xml:space="preserve">Autonomous transport system </t>
  </si>
  <si>
    <t>US6431078</t>
  </si>
  <si>
    <t xml:space="preserve">Methods and systems for indoor navigation </t>
  </si>
  <si>
    <t>US2012143495</t>
  </si>
  <si>
    <t>US2003222998</t>
  </si>
  <si>
    <t xml:space="preserve">Femtocell local breakout management services </t>
  </si>
  <si>
    <t>US2010130170</t>
  </si>
  <si>
    <t xml:space="preserve">Method and apparatus for mitigating interference affecting a propagation of electromagnetic waves guided by a transmission medium </t>
  </si>
  <si>
    <t>US2016221039</t>
  </si>
  <si>
    <t xml:space="preserve">Implementation of serverless applications over wireless networks </t>
  </si>
  <si>
    <t>US2006030339</t>
  </si>
  <si>
    <t xml:space="preserve">Creating and executing a graphical program with first model of computation that includes a structure supporting second model of computation </t>
  </si>
  <si>
    <t>US2005257195</t>
  </si>
  <si>
    <t xml:space="preserve">Vehicle comprising multi-operating system </t>
  </si>
  <si>
    <t>US2013167159</t>
  </si>
  <si>
    <t xml:space="preserve">Communications hub for resource consumption management </t>
  </si>
  <si>
    <t>US2011063126</t>
  </si>
  <si>
    <t xml:space="preserve">Interfacing to resource consumption management devices </t>
  </si>
  <si>
    <t>US2011061014</t>
  </si>
  <si>
    <t xml:space="preserve">System and method for dynamic multi-objective optimization of machine selection, integration and utilization </t>
  </si>
  <si>
    <t>US2009204267</t>
  </si>
  <si>
    <t>US2002135683</t>
  </si>
  <si>
    <t xml:space="preserve">System for generating topology information and methods thereof </t>
  </si>
  <si>
    <t>US2016149753</t>
  </si>
  <si>
    <t xml:space="preserve">Apparatus for powering a communication device and methods thereof </t>
  </si>
  <si>
    <t>US2016149614</t>
  </si>
  <si>
    <t xml:space="preserve">Apparatus for converting wireless signals and electromagnetic waves and methods thereof </t>
  </si>
  <si>
    <t>US2016149312</t>
  </si>
  <si>
    <t xml:space="preserve">Transmission medium and communication interfaces and methods for use therewith </t>
  </si>
  <si>
    <t>US2016164571</t>
  </si>
  <si>
    <t xml:space="preserve">Method and apparatus for configuring a communication interface </t>
  </si>
  <si>
    <t>US2016164573</t>
  </si>
  <si>
    <t xml:space="preserve">Apparatus for controlling operations of a communication device and methods thereof </t>
  </si>
  <si>
    <t>US2016149636</t>
  </si>
  <si>
    <t>US2009204234</t>
  </si>
  <si>
    <t xml:space="preserve">Microsystems that integrate three-dimensional microarray and multi-layer microfluidics for combinatorial detection of bioagent at single molecule level </t>
  </si>
  <si>
    <t>US2007116607</t>
  </si>
  <si>
    <t xml:space="preserve">Method and apparatus for reducing attenuation of electromagnetic waves guided by a transmission medium </t>
  </si>
  <si>
    <t>US2016276725</t>
  </si>
  <si>
    <t xml:space="preserve">User-friendly, network connected learning thermostat and related systems and methods </t>
  </si>
  <si>
    <t>US2013173064</t>
  </si>
  <si>
    <t xml:space="preserve">Method and apparatus for acquiring local position and overlaying information </t>
  </si>
  <si>
    <t>US2008252527</t>
  </si>
  <si>
    <t xml:space="preserve">Using one-way communications in a market-based resource allocation system </t>
  </si>
  <si>
    <t>US2010106641</t>
  </si>
  <si>
    <t>US2009210081</t>
  </si>
  <si>
    <t xml:space="preserve">Audio-visual system control using a mesh network </t>
  </si>
  <si>
    <t>US2009082888</t>
  </si>
  <si>
    <t xml:space="preserve">Passive electrical coupling device and methods for use therewith </t>
  </si>
  <si>
    <t>US2016315662</t>
  </si>
  <si>
    <t xml:space="preserve">Directional coupling device and methods for use therewith </t>
  </si>
  <si>
    <t>US2016315660</t>
  </si>
  <si>
    <t xml:space="preserve">Magnetic coupling device and methods for use therewith </t>
  </si>
  <si>
    <t>US2016322691</t>
  </si>
  <si>
    <t xml:space="preserve">Method and apparatus for providing security using network traffic adjustments </t>
  </si>
  <si>
    <t>US2016365897</t>
  </si>
  <si>
    <t xml:space="preserve">Transmission medium having an inner waveguide and methods for use therewith </t>
  </si>
  <si>
    <t>US2016365175</t>
  </si>
  <si>
    <t xml:space="preserve">Method and apparatus for authentication and identity management of communicating devices </t>
  </si>
  <si>
    <t>US2016366587</t>
  </si>
  <si>
    <t xml:space="preserve">Host node device and methods for use therewith </t>
  </si>
  <si>
    <t>US2016359547</t>
  </si>
  <si>
    <t xml:space="preserve">Signal fingerprinting for authentication of communicating devices </t>
  </si>
  <si>
    <t>US2016366586</t>
  </si>
  <si>
    <t xml:space="preserve">Transmission medium having a nonconductive material and methods for use therewith </t>
  </si>
  <si>
    <t>US2016336636</t>
  </si>
  <si>
    <t xml:space="preserve">Repeater and methods for use therewith </t>
  </si>
  <si>
    <t>US2016365966</t>
  </si>
  <si>
    <t>US2016359546</t>
  </si>
  <si>
    <t>US2016336996</t>
  </si>
  <si>
    <t xml:space="preserve">Wide-area wireless network topology </t>
  </si>
  <si>
    <t>US2008025208</t>
  </si>
  <si>
    <t xml:space="preserve">Transmission medium having a conductive material and methods for use therewith </t>
  </si>
  <si>
    <t>US2016336092</t>
  </si>
  <si>
    <t xml:space="preserve">Client node device and methods for use therewith </t>
  </si>
  <si>
    <t>US2016359541</t>
  </si>
  <si>
    <t>US2016365916</t>
  </si>
  <si>
    <t xml:space="preserve">Network termination and methods for use therewith </t>
  </si>
  <si>
    <t>US2016360533</t>
  </si>
  <si>
    <t>US2016336091</t>
  </si>
  <si>
    <t xml:space="preserve">Apparatus and method for launching electromagnetic waves </t>
  </si>
  <si>
    <t>US2016351987</t>
  </si>
  <si>
    <t xml:space="preserve">Wireless sensor network with energy efficient protocols </t>
  </si>
  <si>
    <t>US2013128786</t>
  </si>
  <si>
    <t xml:space="preserve">Light control systems and methods </t>
  </si>
  <si>
    <t>US2013293722</t>
  </si>
  <si>
    <t>US2016359542</t>
  </si>
  <si>
    <t>US2016359649</t>
  </si>
  <si>
    <t xml:space="preserve">Flexible functionality partitioning within intelligent-thermostat-controlled hvac systems </t>
  </si>
  <si>
    <t>US2013338839</t>
  </si>
  <si>
    <t xml:space="preserve">Methods and apparatus for inducing a non-fundamental wave mode on a transmission medium </t>
  </si>
  <si>
    <t>US2016380327</t>
  </si>
  <si>
    <t xml:space="preserve">Integration of sample storage and sample management for life science </t>
  </si>
  <si>
    <t>US2006099567</t>
  </si>
  <si>
    <t>US2009204245</t>
  </si>
  <si>
    <t xml:space="preserve">Merchantsellect point-of-entry kiosk loyalty system &amp; prepaid card deposit and loyalty kiosk device </t>
  </si>
  <si>
    <t>US2012203572</t>
  </si>
  <si>
    <t xml:space="preserve">Smart Watch and Human-to-Computer Interface for Monitoring Food Consumption </t>
  </si>
  <si>
    <t>US2014349256</t>
  </si>
  <si>
    <t>US2009204237</t>
  </si>
  <si>
    <t>US2007145138</t>
  </si>
  <si>
    <t xml:space="preserve">Method and apparatus for wireless communications to mitigate interference </t>
  </si>
  <si>
    <t>US2017026063</t>
  </si>
  <si>
    <t>US2016380328</t>
  </si>
  <si>
    <t xml:space="preserve">Node device, repeater and methods for use therewith </t>
  </si>
  <si>
    <t>US2017026129</t>
  </si>
  <si>
    <t xml:space="preserve">Dielectric transmission medium connector and methods for use therewith </t>
  </si>
  <si>
    <t>US2017018833</t>
  </si>
  <si>
    <t xml:space="preserve">Method and apparatus for communicating with premises equipment </t>
  </si>
  <si>
    <t>US2017018174</t>
  </si>
  <si>
    <t xml:space="preserve">Transmission medium and methods for use therewith </t>
  </si>
  <si>
    <t>US2017018332</t>
  </si>
  <si>
    <t xml:space="preserve">Antenna system with dielectric array and methods for use therewith </t>
  </si>
  <si>
    <t>US2017018856</t>
  </si>
  <si>
    <t xml:space="preserve">Antenna support for aligning an antenna </t>
  </si>
  <si>
    <t>US2017025839</t>
  </si>
  <si>
    <t xml:space="preserve">Method and apparatus for exchanging communicaiton signals </t>
  </si>
  <si>
    <t>US2017025728</t>
  </si>
  <si>
    <t>US2017025734</t>
  </si>
  <si>
    <t xml:space="preserve">Audio-visual system energy savings using a mesh network </t>
  </si>
  <si>
    <t>US2009077405</t>
  </si>
  <si>
    <t xml:space="preserve">Radio network node and method for using positioning gap indication for enhancing positioning performance </t>
  </si>
  <si>
    <t>US2012252487</t>
  </si>
  <si>
    <t xml:space="preserve">Method and apparatus for communications management in a neighborhood network </t>
  </si>
  <si>
    <t>US2017033834</t>
  </si>
  <si>
    <t xml:space="preserve">Radial antenna and methods for use therewith </t>
  </si>
  <si>
    <t>US2017033464</t>
  </si>
  <si>
    <t>US2017034042</t>
  </si>
  <si>
    <t xml:space="preserve">Adaptive home and commercial automation devices, methods and systems based on the proximity of controlling elements </t>
  </si>
  <si>
    <t>US2015120000</t>
  </si>
  <si>
    <t xml:space="preserve">Smart Watch and Food Utensil for Monitoring Food Consumption </t>
  </si>
  <si>
    <t>US2014349257</t>
  </si>
  <si>
    <t>US2002015447</t>
  </si>
  <si>
    <t xml:space="preserve">Behavioral fingerprinting with social networking </t>
  </si>
  <si>
    <t>US2013159413</t>
  </si>
  <si>
    <t>US2008176209</t>
  </si>
  <si>
    <t xml:space="preserve">Method and system for prefabricated construction </t>
  </si>
  <si>
    <t>US2004237439</t>
  </si>
  <si>
    <t xml:space="preserve">Secure communication systems and methods </t>
  </si>
  <si>
    <t>US2013263227</t>
  </si>
  <si>
    <t xml:space="preserve">System and Method for Desalinating Water Using Alternative Energy </t>
  </si>
  <si>
    <t>US2008149573</t>
  </si>
  <si>
    <t xml:space="preserve">Smart Watch and Food-Imaging Member for Monitoring Food Consumption </t>
  </si>
  <si>
    <t>US2014347491</t>
  </si>
  <si>
    <t xml:space="preserve">Apparatus and Methods Thereof for Power Consumption Measurement at Circuit Breaker Points </t>
  </si>
  <si>
    <t>US2010264906</t>
  </si>
  <si>
    <t xml:space="preserve">Method and Apparatus for Automated Monitoring and Tracking of the Trajectory of Patients' Center of Gravity Movements </t>
  </si>
  <si>
    <t>US2006293613</t>
  </si>
  <si>
    <t xml:space="preserve">Load balancing in the internet of things </t>
  </si>
  <si>
    <t>US2014359131</t>
  </si>
  <si>
    <t xml:space="preserve">Caloric Intake Measuring System using Spectroscopic and 3D Imaging Analysis </t>
  </si>
  <si>
    <t>US2015168365</t>
  </si>
  <si>
    <t xml:space="preserve">Method and apparatus for managing utilization of wireless resources </t>
  </si>
  <si>
    <t>US2017079024</t>
  </si>
  <si>
    <t xml:space="preserve">Dynamic thermal control for wireless transceivers </t>
  </si>
  <si>
    <t>US2010091747</t>
  </si>
  <si>
    <t xml:space="preserve">Methods of combining a series of more efficient aircraft engines into a unit, or modular units </t>
  </si>
  <si>
    <t>US2010251692</t>
  </si>
  <si>
    <t xml:space="preserve">Cell Size and Shape Estimation in Heterogeneous Networks </t>
  </si>
  <si>
    <t>US2014064247</t>
  </si>
  <si>
    <t xml:space="preserve">Interactive electronic directory service, public information and general content delivery system and method </t>
  </si>
  <si>
    <t>US2002078459</t>
  </si>
  <si>
    <t xml:space="preserve">Amphibious vertical takeoff and landing unmanned system and flying car with multiple aerial and aquatic flight modes for capturing panoramic virtual reality views, interactive video and transportation with mobile and wearable application </t>
  </si>
  <si>
    <t>US2016114887</t>
  </si>
  <si>
    <t xml:space="preserve">Inhibiting deleterious control coupling in an enclosure having multiple hvac regions </t>
  </si>
  <si>
    <t>US2014052300</t>
  </si>
  <si>
    <t xml:space="preserve">Sensor management system in an iot network </t>
  </si>
  <si>
    <t>US2015134954</t>
  </si>
  <si>
    <t xml:space="preserve">Operator supported remote camera positioning and control system </t>
  </si>
  <si>
    <t>US2002067922</t>
  </si>
  <si>
    <t xml:space="preserve">Method and apparatus for communicating network management traffic over a network </t>
  </si>
  <si>
    <t>US2017099079</t>
  </si>
  <si>
    <t xml:space="preserve">Systems and Methods for Presenting Information Associated With a Three-Dimensional Location on a Two-Dimensional Display </t>
  </si>
  <si>
    <t>US2015170256</t>
  </si>
  <si>
    <t xml:space="preserve">Method and apparatus for distributing software updates </t>
  </si>
  <si>
    <t>US2017075677</t>
  </si>
  <si>
    <t xml:space="preserve">Systems and methods for biomechanically-based eye signals for interacting with real and virtual objects </t>
  </si>
  <si>
    <t>US2015338915</t>
  </si>
  <si>
    <t xml:space="preserve">Communication device and antenna assembly with actuated gimbal mount </t>
  </si>
  <si>
    <t>US2017098889</t>
  </si>
  <si>
    <t xml:space="preserve">Method and apparatus for encryption of communications over a network </t>
  </si>
  <si>
    <t>US2017093807</t>
  </si>
  <si>
    <t xml:space="preserve">Enhanced Measurement Gap Configuration Support for Positioning </t>
  </si>
  <si>
    <t>US2014094188</t>
  </si>
  <si>
    <t xml:space="preserve">Communication device and antenna with integrated light assembly </t>
  </si>
  <si>
    <t>US2017098884</t>
  </si>
  <si>
    <t xml:space="preserve">Location tagging </t>
  </si>
  <si>
    <t>US2012191512</t>
  </si>
  <si>
    <t xml:space="preserve">Mobile lock with retractable cable </t>
  </si>
  <si>
    <t>US2014000322</t>
  </si>
  <si>
    <t xml:space="preserve">Communication system, guided wave switch and methods for use therewith </t>
  </si>
  <si>
    <t>US2017098881</t>
  </si>
  <si>
    <t>CN105593648</t>
  </si>
  <si>
    <t xml:space="preserve">Smart seed for indoor air purification absorb robot </t>
  </si>
  <si>
    <t>CN106217346</t>
  </si>
  <si>
    <t xml:space="preserve">One unit with the sound absorbing plate from the suction device based on the principle of balance </t>
  </si>
  <si>
    <t>CN105040940</t>
  </si>
  <si>
    <t xml:space="preserve">Static Load species indoor expansion coefficient measurement saline soil test device </t>
  </si>
  <si>
    <t>CN207662894</t>
  </si>
  <si>
    <t xml:space="preserve">Indoor dynamic and static load saline soil salt expansion coefficient determination experimental device and indoor dynamic and static load saline soil salt expansion coefficient determination experimental method </t>
  </si>
  <si>
    <t>CN107064466</t>
  </si>
  <si>
    <t xml:space="preserve">Earthquake protection consisting of vibration-isolated mounting of buildings and objects using virtual pendulums with long cycles </t>
  </si>
  <si>
    <t>US6966154</t>
  </si>
  <si>
    <t xml:space="preserve">Diagram That Visually Indicates Targeted Execution </t>
  </si>
  <si>
    <t>US2008034310</t>
  </si>
  <si>
    <t xml:space="preserve">Optical sensor array system and method for parallel processing of chemical and biochemical information </t>
  </si>
  <si>
    <t>US2007092407</t>
  </si>
  <si>
    <t xml:space="preserve">Distributed Electricity Metering System </t>
  </si>
  <si>
    <t>US2012062249</t>
  </si>
  <si>
    <t xml:space="preserve">Secure Dynamic Communication Network And Protocol </t>
  </si>
  <si>
    <t>US2016219024</t>
  </si>
  <si>
    <t xml:space="preserve">System And Method To Measure, Aggregate And Analyze Exact Effort And Time Productivity </t>
  </si>
  <si>
    <t>US2014058801</t>
  </si>
  <si>
    <t xml:space="preserve">Space-saving bed </t>
  </si>
  <si>
    <t>US5502850</t>
  </si>
  <si>
    <t xml:space="preserve">Modular patient support system </t>
  </si>
  <si>
    <t>US7562883</t>
  </si>
  <si>
    <t xml:space="preserve">Commercial-scale digital remote network video monitor system </t>
  </si>
  <si>
    <t>CN201160304</t>
  </si>
  <si>
    <t xml:space="preserve">Methods and Arrangements in a Cellular Radio Communication System </t>
  </si>
  <si>
    <t>US2013310077</t>
  </si>
  <si>
    <t xml:space="preserve">Methods, apparatuses and system for asynchronous spread-spectrum communication </t>
  </si>
  <si>
    <t>US2010054131</t>
  </si>
  <si>
    <t xml:space="preserve">Medication management apparatus and system </t>
  </si>
  <si>
    <t>US2010314282</t>
  </si>
  <si>
    <t>US2014206367</t>
  </si>
  <si>
    <t xml:space="preserve">Graphical Indicator which Specifies Parallelization of Iterative Program Code in a Graphical Data Flow Program </t>
  </si>
  <si>
    <t>US2010306736</t>
  </si>
  <si>
    <t xml:space="preserve">Stacked-carrier discrete multiple tone communication technology </t>
  </si>
  <si>
    <t>WO0011823</t>
  </si>
  <si>
    <t xml:space="preserve">High-altitude lighter-than-air stationary platforms including ion engines </t>
  </si>
  <si>
    <t>WO9733790</t>
  </si>
  <si>
    <t xml:space="preserve">Selective deposition modeling method and apparatus for forming three-dimensional objects and supports </t>
  </si>
  <si>
    <t>WO9711837</t>
  </si>
  <si>
    <t xml:space="preserve">Domestic multifunctional intelligent robot </t>
  </si>
  <si>
    <t>CN103984315</t>
  </si>
  <si>
    <t xml:space="preserve">Cross-platform automated perimeter access control system and method adopting selective adapter </t>
  </si>
  <si>
    <t>US2016241999</t>
  </si>
  <si>
    <t xml:space="preserve">Methods and systems for delivery of fluidic samples to sensor arrays </t>
  </si>
  <si>
    <t>US2007092975</t>
  </si>
  <si>
    <t xml:space="preserve">Artificial ski slope </t>
  </si>
  <si>
    <t>US4976422</t>
  </si>
  <si>
    <t xml:space="preserve">Light projection device </t>
  </si>
  <si>
    <t>WO2010044204</t>
  </si>
  <si>
    <t xml:space="preserve">Digital camera system and method </t>
  </si>
  <si>
    <t>EP1111904</t>
  </si>
  <si>
    <t xml:space="preserve">Systems and methods for providing a universal computing system </t>
  </si>
  <si>
    <t>US2012151098</t>
  </si>
  <si>
    <t xml:space="preserve">System, method and apparatus for integrated local area locationing, tracking and communications </t>
  </si>
  <si>
    <t>US2011221635</t>
  </si>
  <si>
    <t xml:space="preserve">Video display modification based on sensor input for a see-through near-to-eye display </t>
  </si>
  <si>
    <t>CN103946732</t>
  </si>
  <si>
    <t xml:space="preserve">Automatically creating parallel iterative program code in a graphical data flow program </t>
  </si>
  <si>
    <t>US8448155</t>
  </si>
  <si>
    <t xml:space="preserve">User equipment, a positioning node and methods therein </t>
  </si>
  <si>
    <t>US2012184302</t>
  </si>
  <si>
    <t xml:space="preserve">Online risk analysis system and method for regional power grid </t>
  </si>
  <si>
    <t>CN102737286</t>
  </si>
  <si>
    <t xml:space="preserve">Hydro service system assembly </t>
  </si>
  <si>
    <t>US5904165</t>
  </si>
  <si>
    <t xml:space="preserve">Information-inducing self-service multi-control cluster-charge intelligent charge server </t>
  </si>
  <si>
    <t>CN101937593</t>
  </si>
  <si>
    <t xml:space="preserve">Multifunctional intelligent shoe cabinet </t>
  </si>
  <si>
    <t>CN101411566</t>
  </si>
  <si>
    <t xml:space="preserve">Enhanced Measurement Gap Configuration Support for Positioning Related Applications </t>
  </si>
  <si>
    <t>US2012184290</t>
  </si>
  <si>
    <t xml:space="preserve">Integrated Credit Exchange System for Incentivizing Conservation </t>
  </si>
  <si>
    <t>US2010274657</t>
  </si>
  <si>
    <t xml:space="preserve">Configuration of Reference Signal Transmission Bandwidth </t>
  </si>
  <si>
    <t>US2012276916</t>
  </si>
  <si>
    <t xml:space="preserve">Intelligent building energy consumption monitoring system based on wireless sensor network </t>
  </si>
  <si>
    <t>CN102176149</t>
  </si>
  <si>
    <t xml:space="preserve">System and method for monitoring device based on cloud computing </t>
  </si>
  <si>
    <t>CN102193525</t>
  </si>
  <si>
    <t xml:space="preserve">Techniques for selective use of light-sensing devices in light-based communication </t>
  </si>
  <si>
    <t>US2015280823</t>
  </si>
  <si>
    <t xml:space="preserve">Magnetic coupling device with reflective plate and methods for use therewith </t>
  </si>
  <si>
    <t>US2017012667</t>
  </si>
  <si>
    <t xml:space="preserve">Automatically Creating Parallel Iterative Program Code in a Data Flow Program </t>
  </si>
  <si>
    <t>US2010306733</t>
  </si>
  <si>
    <t xml:space="preserve">Cloud computing based energy management control system and method </t>
  </si>
  <si>
    <t>CN102193528</t>
  </si>
  <si>
    <t>US3591236</t>
  </si>
  <si>
    <t xml:space="preserve">Self-contained, compact towable facility having maximized balanced water storage, drain water collection and waste water isolation systems </t>
  </si>
  <si>
    <t>US4454613</t>
  </si>
  <si>
    <t xml:space="preserve">WLAN (Wireless Local Area Network) resource sharing method and WLAN network system </t>
  </si>
  <si>
    <t>CN101959196</t>
  </si>
  <si>
    <t xml:space="preserve">Direct-current set-free air conditioner starting control method </t>
  </si>
  <si>
    <t>CN101949570</t>
  </si>
  <si>
    <t xml:space="preserve">System and method for augmented reality gaming </t>
  </si>
  <si>
    <t>US2014302915</t>
  </si>
  <si>
    <t xml:space="preserve">Ski practicing method and apparatus </t>
  </si>
  <si>
    <t>US3047291</t>
  </si>
  <si>
    <t xml:space="preserve">Intelligent cell total management system </t>
  </si>
  <si>
    <t>CN102819258</t>
  </si>
  <si>
    <t xml:space="preserve">Obtaining Reference Time for Positioning When Cells are Unknown </t>
  </si>
  <si>
    <t>US2013017841</t>
  </si>
  <si>
    <t xml:space="preserve">Cruise image based imaging method of water-surface aerial view </t>
  </si>
  <si>
    <t>CN101976429</t>
  </si>
  <si>
    <t xml:space="preserve">Augmenting light-based communication receiver positioning </t>
  </si>
  <si>
    <t>US2015281905</t>
  </si>
  <si>
    <t>US2015023019</t>
  </si>
  <si>
    <t xml:space="preserve">Enhanced measurement gap configuration support for positioning related applications </t>
  </si>
  <si>
    <t>WO2012099514</t>
  </si>
  <si>
    <t xml:space="preserve">Propeller with an interior arrangement to variate the pitch </t>
  </si>
  <si>
    <t>US4571157</t>
  </si>
  <si>
    <t xml:space="preserve">Computer-based method and system for providing active and automatic personal assistance using a robotic device/platform </t>
  </si>
  <si>
    <t>US2014279733</t>
  </si>
  <si>
    <t xml:space="preserve">Techniques for emitting position information from luminaires </t>
  </si>
  <si>
    <t>US2015098709</t>
  </si>
  <si>
    <t xml:space="preserve">Computer system and method for indoor geo-fencing and access control </t>
  </si>
  <si>
    <t>WO2014113882</t>
  </si>
  <si>
    <t xml:space="preserve">Parking management system based on cloud platform and management method thereof </t>
  </si>
  <si>
    <t>CN104809913</t>
  </si>
  <si>
    <t xml:space="preserve">System and method for digital still camera </t>
  </si>
  <si>
    <t>JP2002010277</t>
  </si>
  <si>
    <t>US2016066137</t>
  </si>
  <si>
    <t>US2013203490</t>
  </si>
  <si>
    <t xml:space="preserve">Method and apparatus for golf instruction </t>
  </si>
  <si>
    <t>US6743111</t>
  </si>
  <si>
    <t>US8244296</t>
  </si>
  <si>
    <t xml:space="preserve">Modular regulator platform </t>
  </si>
  <si>
    <t>US2008258098</t>
  </si>
  <si>
    <t xml:space="preserve">System, Method, and Computer Program Product For Probabilistically Derived Predictive Location Based Targeted Promotion </t>
  </si>
  <si>
    <t>US2014222570</t>
  </si>
  <si>
    <t xml:space="preserve">Multilayer carrier discrete multitone communication technology </t>
  </si>
  <si>
    <t>CN1841953</t>
  </si>
  <si>
    <t xml:space="preserve">Novel radio access network method and system based on G-RAN (green-radio access network) </t>
  </si>
  <si>
    <t>CN102186181</t>
  </si>
  <si>
    <t xml:space="preserve">Electrical large strain control type ring shearing apparatus </t>
  </si>
  <si>
    <t>CN102680328</t>
  </si>
  <si>
    <t xml:space="preserve">Ecological slope protection substrate </t>
  </si>
  <si>
    <t>CN101037598</t>
  </si>
  <si>
    <t>EP2172887</t>
  </si>
  <si>
    <t xml:space="preserve">Techniques for adaptive light modulation in light-based communication </t>
  </si>
  <si>
    <t>US2015280820</t>
  </si>
  <si>
    <t>US9013301</t>
  </si>
  <si>
    <t xml:space="preserve">Timing advance information for adapting neighbor relations </t>
  </si>
  <si>
    <t>US2014071856</t>
  </si>
  <si>
    <t xml:space="preserve">Method and appts. for providing computer services </t>
  </si>
  <si>
    <t>CN1448017</t>
  </si>
  <si>
    <t xml:space="preserve">Three-in-one intelligent power distribution cabinet </t>
  </si>
  <si>
    <t>CN101777797</t>
  </si>
  <si>
    <t xml:space="preserve">Triaxial rheological testing apparatus and testing method of electro-hydraulic servo rock </t>
  </si>
  <si>
    <t>CN102890033</t>
  </si>
  <si>
    <t xml:space="preserve">Highly clean environmental system </t>
  </si>
  <si>
    <t>WO2012011547</t>
  </si>
  <si>
    <t xml:space="preserve">Overshooting cell detection for self optimizing network applications </t>
  </si>
  <si>
    <t>US2014162682</t>
  </si>
  <si>
    <t xml:space="preserve">Information guidance networking suspended self-service intelligent quick charge server </t>
  </si>
  <si>
    <t>CN101937596</t>
  </si>
  <si>
    <t xml:space="preserve">Time domain combined synchronization method for orthogonal frequency division multiplexing (OFDM) ultra wide band system receiver </t>
  </si>
  <si>
    <t>CN101599938</t>
  </si>
  <si>
    <t xml:space="preserve">Device and method for detecting dynamic properties of two-dimensional directional mirror </t>
  </si>
  <si>
    <t>CN102023082</t>
  </si>
  <si>
    <t xml:space="preserve">Method for constructing and operating live webcast service platform </t>
  </si>
  <si>
    <t>CN102238018</t>
  </si>
  <si>
    <t xml:space="preserve">Systems and methods for obtaining accurate 3d modeling data using multiple cameras </t>
  </si>
  <si>
    <t>US2017134963</t>
  </si>
  <si>
    <t xml:space="preserve">Wireless coded communication (WCC) devices with power harvesting power sources for WiFi communication </t>
  </si>
  <si>
    <t>US9888337</t>
  </si>
  <si>
    <t xml:space="preserve">Heat supply network heat balance control method and system </t>
  </si>
  <si>
    <t>CN104141982</t>
  </si>
  <si>
    <t xml:space="preserve">Trajectory controlled indoor four-rotor unmanned aerial vehicle formation demonstration verification platform and method </t>
  </si>
  <si>
    <t>CN107807661</t>
  </si>
  <si>
    <t xml:space="preserve">Variable form electric skate board balance car </t>
  </si>
  <si>
    <t>CN206476002</t>
  </si>
  <si>
    <t xml:space="preserve">Intelligent household doorbell system based on cloud and IoT (Internet of Things) technologies </t>
  </si>
  <si>
    <t>CN204231419</t>
  </si>
  <si>
    <t xml:space="preserve">Sk8fit - The Safe Indoor Board - Interactive Gaming System </t>
  </si>
  <si>
    <t>US2013296147</t>
  </si>
  <si>
    <t xml:space="preserve">Methods and apparatus for early sensory integration and robust acquisition of real world knowledge </t>
  </si>
  <si>
    <t>WO2014190208</t>
  </si>
  <si>
    <t xml:space="preserve">Method and system for coordinating cellular networks operation </t>
  </si>
  <si>
    <t>US2015031354</t>
  </si>
  <si>
    <t xml:space="preserve">Three-dimension cable shooting platform and three-dimension cable shooting system using the platform </t>
  </si>
  <si>
    <t>CN103873848</t>
  </si>
  <si>
    <t xml:space="preserve">Online inductive berth standing self-service quick charging intelligent server </t>
  </si>
  <si>
    <t>CN102222393</t>
  </si>
  <si>
    <t xml:space="preserve">All-weather clean energy comprehensive electricity generating and energy saving method and facility manufacturing method thereof </t>
  </si>
  <si>
    <t>CN104295448</t>
  </si>
  <si>
    <t xml:space="preserve">Intelligence disinfecting equipment </t>
  </si>
  <si>
    <t>CN204910199</t>
  </si>
  <si>
    <t xml:space="preserve">Method and system for providing social media ecosystem classified listings </t>
  </si>
  <si>
    <t>US2015066673</t>
  </si>
  <si>
    <t xml:space="preserve">RFID (Radio Frequency Identification) device </t>
  </si>
  <si>
    <t>CN102496042</t>
  </si>
  <si>
    <t xml:space="preserve">Intelligent home doorbell system based on cloud technology and Internet of Things technology </t>
  </si>
  <si>
    <t>CN104320494</t>
  </si>
  <si>
    <t xml:space="preserve">Equipment is put to intelligence biological activity thing cloth </t>
  </si>
  <si>
    <t>CN204907628</t>
  </si>
  <si>
    <t xml:space="preserve">Systems and methods for balancing an electrical grid with networked buildings </t>
  </si>
  <si>
    <t>US2014379139</t>
  </si>
  <si>
    <t>US2014012429</t>
  </si>
  <si>
    <t xml:space="preserve">Intelligence equipment of giving medicine to poor free of charge </t>
  </si>
  <si>
    <t>CN204907629</t>
  </si>
  <si>
    <t xml:space="preserve">Low flow fluid controller apparatus and system </t>
  </si>
  <si>
    <t>US2017045255</t>
  </si>
  <si>
    <t xml:space="preserve">Mobility Device </t>
  </si>
  <si>
    <t>US2017259811</t>
  </si>
  <si>
    <t>US2018056985</t>
  </si>
  <si>
    <t xml:space="preserve">Cloud-based system for water analysis </t>
  </si>
  <si>
    <t>US2015310634</t>
  </si>
  <si>
    <t xml:space="preserve">Multicell beamforming system and methods for OFDMA small-cell networks </t>
  </si>
  <si>
    <t>US9521560</t>
  </si>
  <si>
    <t xml:space="preserve">Rail traffic signal comprehensive operation and maintenance method and system based on cloud computing </t>
  </si>
  <si>
    <t>CN104077552</t>
  </si>
  <si>
    <t xml:space="preserve">Interference and mobility management in uav-assisted wireless networks </t>
  </si>
  <si>
    <t>US2017171761</t>
  </si>
  <si>
    <t xml:space="preserve">Multi-function environment simulation chamber </t>
  </si>
  <si>
    <t>CN105182889</t>
  </si>
  <si>
    <t xml:space="preserve">Obtaining 3D modeling data using UAVs for cell sites </t>
  </si>
  <si>
    <t>US9881416</t>
  </si>
  <si>
    <t xml:space="preserve">Method for treating urinary incontinence </t>
  </si>
  <si>
    <t>US2013116726</t>
  </si>
  <si>
    <t xml:space="preserve">Systems and methods for obtaining accurate 3d modeling data using uavs for cell sites </t>
  </si>
  <si>
    <t>US2017046873</t>
  </si>
  <si>
    <t xml:space="preserve">Foundation system for receiving the load of a housing or of at least one housing module of a self-service machine </t>
  </si>
  <si>
    <t>WO2011047401</t>
  </si>
  <si>
    <t>WO2014161083</t>
  </si>
  <si>
    <t xml:space="preserve">Wheel cylinder type oil pumping machine </t>
  </si>
  <si>
    <t>CN202047797</t>
  </si>
  <si>
    <t xml:space="preserve">High-speed double-ended vessel free from sinking, capable of turning around without swinging rudder and capable of traversing by means of left and right displacement </t>
  </si>
  <si>
    <t>CN102530187</t>
  </si>
  <si>
    <t xml:space="preserve">Multi -functional environmental simulation cabin </t>
  </si>
  <si>
    <t>CN204904049</t>
  </si>
  <si>
    <t xml:space="preserve">Smart mirror </t>
  </si>
  <si>
    <t>US10052026</t>
  </si>
  <si>
    <t xml:space="preserve">Multipurpose intelligence car reaches intelligence equipment of giving medicine to poor free of charge including this car </t>
  </si>
  <si>
    <t>CN205220854</t>
  </si>
  <si>
    <t xml:space="preserve">Biomolecule processing platform and uses thereof </t>
  </si>
  <si>
    <t>CN105026002</t>
  </si>
  <si>
    <t xml:space="preserve">System and method of social cash withdrawal </t>
  </si>
  <si>
    <t>US2016140521</t>
  </si>
  <si>
    <t xml:space="preserve">A home and small business phone system for operation on a single internal twisted pair line </t>
  </si>
  <si>
    <t>CN1076551</t>
  </si>
  <si>
    <t>WO2016118776</t>
  </si>
  <si>
    <t xml:space="preserve">Self-Powered Wireless Switch and Application Thereof </t>
  </si>
  <si>
    <t>US2018131371</t>
  </si>
  <si>
    <t xml:space="preserve">Allocated for the connection of the frame device </t>
  </si>
  <si>
    <t>CN104871172</t>
  </si>
  <si>
    <t xml:space="preserve">Multipurpose intelligent vehicle </t>
  </si>
  <si>
    <t>CN106135175</t>
  </si>
  <si>
    <t xml:space="preserve">Self-adaptive adjustment method for indoor sound reinforcement system </t>
  </si>
  <si>
    <t>CN103414991</t>
  </si>
  <si>
    <t xml:space="preserve">Kind of super-dense mobile network load balancing method </t>
  </si>
  <si>
    <t>CN105072648</t>
  </si>
  <si>
    <t xml:space="preserve">Method for configurating indoor base station and mobile telecommunication system for the same </t>
  </si>
  <si>
    <t>KR101449768</t>
  </si>
  <si>
    <t xml:space="preserve">Cson-aided small cell load balancing based on backhaul information </t>
  </si>
  <si>
    <t>US2016057679</t>
  </si>
  <si>
    <t xml:space="preserve">Method for bandwidth sharing in a multiple access system for communications networks </t>
  </si>
  <si>
    <t>US6327254</t>
  </si>
  <si>
    <t xml:space="preserve">Method for admitting new connections based on usage priorities in a multiple access system for communications networks </t>
  </si>
  <si>
    <t>US6226277</t>
  </si>
  <si>
    <t xml:space="preserve">Method for overload control in a multiple access system for communication networks </t>
  </si>
  <si>
    <t>US6469991</t>
  </si>
  <si>
    <t xml:space="preserve">Bandwidth reservation and collision resolution method for multiple access communication networks where remote hosts send reservation requests to a base station for randomly chosen minislots </t>
  </si>
  <si>
    <t>US6115390</t>
  </si>
  <si>
    <t xml:space="preserve">Method for admitting new connections based on measured quantities in a multiple access system for communications networks </t>
  </si>
  <si>
    <t>US6377548</t>
  </si>
  <si>
    <t xml:space="preserve">Method for establishment of the power level for uplink data transmission in a multiple access system for communications networks </t>
  </si>
  <si>
    <t>US6285665</t>
  </si>
  <si>
    <t xml:space="preserve">Method for paging a device in a wireless network </t>
  </si>
  <si>
    <t>US7197025</t>
  </si>
  <si>
    <t xml:space="preserve">Method of reselecting cell and handover based on self-organazing operation in wireless communication system </t>
  </si>
  <si>
    <t>KR20100062862</t>
  </si>
  <si>
    <t xml:space="preserve">System and method of controlling delivery and/or usage of a commodity </t>
  </si>
  <si>
    <t>US7949615</t>
  </si>
  <si>
    <t xml:space="preserve">System and method for determining the geographic location of internet hosts </t>
  </si>
  <si>
    <t>US7296088</t>
  </si>
  <si>
    <t xml:space="preserve">Method of interconnecting a printhead with an ink supply manifold and a combined structure resulting therefrom </t>
  </si>
  <si>
    <t>US6312114</t>
  </si>
  <si>
    <t xml:space="preserve">Printhead assembly for an ink jet printer </t>
  </si>
  <si>
    <t>US6652082</t>
  </si>
  <si>
    <t xml:space="preserve">Intelligent indoor air treatment system </t>
  </si>
  <si>
    <t>CN204404424</t>
  </si>
  <si>
    <t xml:space="preserve">Temperature regulation of fluid ejection printheads </t>
  </si>
  <si>
    <t>US6634735</t>
  </si>
  <si>
    <t xml:space="preserve">Inkjet printhead with spillage pits </t>
  </si>
  <si>
    <t>US7556351</t>
  </si>
  <si>
    <t xml:space="preserve">Double-wheel balance car with Bluetooth sound box </t>
  </si>
  <si>
    <t>CN204110220</t>
  </si>
  <si>
    <t xml:space="preserve">Method and apparatus for wireless communication in a mesh network </t>
  </si>
  <si>
    <t>US7701858</t>
  </si>
  <si>
    <t xml:space="preserve">Inkjet printhead incorporating interleaved actuator tails </t>
  </si>
  <si>
    <t>US7748827</t>
  </si>
  <si>
    <t xml:space="preserve">Ink supply system for a portable printer </t>
  </si>
  <si>
    <t>US6824257</t>
  </si>
  <si>
    <t xml:space="preserve">Method and system for video processing to determine digital pulse recognition tones </t>
  </si>
  <si>
    <t>US8520065</t>
  </si>
  <si>
    <t xml:space="preserve">High nozzle density printhead ejecting low drop volumes </t>
  </si>
  <si>
    <t>US7677686</t>
  </si>
  <si>
    <t xml:space="preserve">Printhead of an inkjet printer having densely spaced nozzles </t>
  </si>
  <si>
    <t>US7661797</t>
  </si>
  <si>
    <t xml:space="preserve">Micro-electromechanical fluid ejection device with control logic circuitry </t>
  </si>
  <si>
    <t>US6832828</t>
  </si>
  <si>
    <t xml:space="preserve">Inkjet printheads </t>
  </si>
  <si>
    <t>US6588882</t>
  </si>
  <si>
    <t xml:space="preserve">Synthetically expedient water-dispersible IR dyes having improved lightfastness </t>
  </si>
  <si>
    <t>US7148345</t>
  </si>
  <si>
    <t xml:space="preserve">Micro-electromechanical integrated circuit device with laminated actuators </t>
  </si>
  <si>
    <t>US7556358</t>
  </si>
  <si>
    <t xml:space="preserve">Ink jet printhead having thermal bend actuator heating element electrically isolated from nozzle chamber ink </t>
  </si>
  <si>
    <t>US6623108</t>
  </si>
  <si>
    <t xml:space="preserve">Power control system of femto cell connected with mobile communication cell for energy-saving and control method thereof, femto cell control apparatus comprised in the power control system and control method thereof </t>
  </si>
  <si>
    <t>KR20110136424</t>
  </si>
  <si>
    <t xml:space="preserve">Pagewidth printhead having small print zone </t>
  </si>
  <si>
    <t>US7384131</t>
  </si>
  <si>
    <t xml:space="preserve">Micromechanical device with ribbed bend actuator </t>
  </si>
  <si>
    <t>US6378989</t>
  </si>
  <si>
    <t xml:space="preserve">Inkjet printhead having thermal bend actuator with separate heater element </t>
  </si>
  <si>
    <t>US6443558</t>
  </si>
  <si>
    <t xml:space="preserve">Pressure self-balancing ear defenders </t>
  </si>
  <si>
    <t>CN207605064</t>
  </si>
  <si>
    <t xml:space="preserve">Hybrid spread spectrum radio system </t>
  </si>
  <si>
    <t>US7656931</t>
  </si>
  <si>
    <t xml:space="preserve">Method and system for digital pulse recognition demodulation </t>
  </si>
  <si>
    <t>US8416290</t>
  </si>
  <si>
    <t xml:space="preserve">Manufacture of electronics enclosure having a metallized shielding layer </t>
  </si>
  <si>
    <t>US6763576</t>
  </si>
  <si>
    <t>US8968195</t>
  </si>
  <si>
    <t xml:space="preserve">Printhead incorporating rows of ink ejection nozzles </t>
  </si>
  <si>
    <t>US7735963</t>
  </si>
  <si>
    <t xml:space="preserve">Systems and methods for providing interoperability among healthcare devices </t>
  </si>
  <si>
    <t>US2008004904</t>
  </si>
  <si>
    <t xml:space="preserve">Image making medium </t>
  </si>
  <si>
    <t>US2003035917</t>
  </si>
  <si>
    <t xml:space="preserve">Wireless stroke monitoring </t>
  </si>
  <si>
    <t>US2008294019</t>
  </si>
  <si>
    <t xml:space="preserve">Methods of providing cell grouping for positioning and related networks and devices </t>
  </si>
  <si>
    <t>US2012040696</t>
  </si>
  <si>
    <t xml:space="preserve">Methods and apparatus for monitoring patients and delivering therapeutic stimuli </t>
  </si>
  <si>
    <t>US2011004072</t>
  </si>
  <si>
    <t xml:space="preserve">Beamforming and distributed opportunistic scheduling in wireless networks </t>
  </si>
  <si>
    <t>US2006221920</t>
  </si>
  <si>
    <t xml:space="preserve">Sorption method, device, and system </t>
  </si>
  <si>
    <t>US2009018668</t>
  </si>
  <si>
    <t xml:space="preserve">Self-interference cancellation </t>
  </si>
  <si>
    <t>US2014348018</t>
  </si>
  <si>
    <t xml:space="preserve">Enhancement and Improvement for Hetnet Deployments </t>
  </si>
  <si>
    <t>US2013084910</t>
  </si>
  <si>
    <t xml:space="preserve">Systems and methods for usage-based radio resource management of self-optimizing cells </t>
  </si>
  <si>
    <t>US2010216477</t>
  </si>
  <si>
    <t xml:space="preserve">Systems and methods for calibration based indoor geolocation </t>
  </si>
  <si>
    <t>US2014018095</t>
  </si>
  <si>
    <t xml:space="preserve">Systems and methods for calibration of indoor geolocation </t>
  </si>
  <si>
    <t>US2013162481</t>
  </si>
  <si>
    <t xml:space="preserve">Hollow backlight with structured films </t>
  </si>
  <si>
    <t>US2011051047</t>
  </si>
  <si>
    <t xml:space="preserve">Self-interference cancellation for mimo radios </t>
  </si>
  <si>
    <t>US2016226653</t>
  </si>
  <si>
    <t xml:space="preserve">Ink supply unit structure </t>
  </si>
  <si>
    <t>US6439699</t>
  </si>
  <si>
    <t xml:space="preserve">Ink formulations comprising gallium naphthalocyanines </t>
  </si>
  <si>
    <t>US2008006177</t>
  </si>
  <si>
    <t xml:space="preserve">Pagewidth inkjet printhead assembly with longitudinally extending sets of nozzles </t>
  </si>
  <si>
    <t>US2006098047</t>
  </si>
  <si>
    <t xml:space="preserve">Automated facilities management system </t>
  </si>
  <si>
    <t>US8751432</t>
  </si>
  <si>
    <t xml:space="preserve">Method of ejecting liquid from a micro-electromechanical device </t>
  </si>
  <si>
    <t>US7001007</t>
  </si>
  <si>
    <t xml:space="preserve">Method and system for wireless coverage redundancy </t>
  </si>
  <si>
    <t>US2010190533</t>
  </si>
  <si>
    <t xml:space="preserve">Medium access control for wireless systems </t>
  </si>
  <si>
    <t>US2011075604</t>
  </si>
  <si>
    <t xml:space="preserve">Gallium naphthalocyanine salts for use as improved infrared dyes </t>
  </si>
  <si>
    <t>US7658792</t>
  </si>
  <si>
    <t xml:space="preserve">Imprint lithography processes and systems </t>
  </si>
  <si>
    <t>JP2005533393</t>
  </si>
  <si>
    <t>WO9810538</t>
  </si>
  <si>
    <t>US2010043633</t>
  </si>
  <si>
    <t xml:space="preserve">Improvements relating to inkjet printers </t>
  </si>
  <si>
    <t>WO0023279</t>
  </si>
  <si>
    <t xml:space="preserve">Monitoring System and Device with Sensors and User Profiles Based on Biometric User Information </t>
  </si>
  <si>
    <t>US2014249853</t>
  </si>
  <si>
    <t xml:space="preserve">Autonomous and controllable systems of sensors and methods of using such systems </t>
  </si>
  <si>
    <t>US2013222115</t>
  </si>
  <si>
    <t xml:space="preserve">Energy control of a nozzle of an inkjet printhead </t>
  </si>
  <si>
    <t>US7669950</t>
  </si>
  <si>
    <t xml:space="preserve">Method and device for selecting/interrupting load in consumer </t>
  </si>
  <si>
    <t>JP2008125295</t>
  </si>
  <si>
    <t xml:space="preserve">Relay Node Configuration in Preparation for Handover </t>
  </si>
  <si>
    <t>US2013337811</t>
  </si>
  <si>
    <t xml:space="preserve">Evolutionary algorithms for geographic load balancing using a distributed antenna system </t>
  </si>
  <si>
    <t>US2014057627</t>
  </si>
  <si>
    <t xml:space="preserve">Mobile Information Gateway for Use by Medical Personnel </t>
  </si>
  <si>
    <t>US2015088546</t>
  </si>
  <si>
    <t xml:space="preserve">Indoor positioning system based on wireless sensor network and implementing method </t>
  </si>
  <si>
    <t>CN101459870</t>
  </si>
  <si>
    <t xml:space="preserve">Mobile Information Gateway for Use in Emergency Situations or with Special Equipment </t>
  </si>
  <si>
    <t>US2015087257</t>
  </si>
  <si>
    <t xml:space="preserve">Mobile Information Gateway for Service Provider Cooperation </t>
  </si>
  <si>
    <t>US2015059002</t>
  </si>
  <si>
    <t xml:space="preserve">Isolated operation method and system of low voltage system </t>
  </si>
  <si>
    <t>JP2008125290</t>
  </si>
  <si>
    <t xml:space="preserve">Gallium naphthalocyanine dye </t>
  </si>
  <si>
    <t>US2007299257</t>
  </si>
  <si>
    <t xml:space="preserve">Power storage device and method for charging the same </t>
  </si>
  <si>
    <t>US2014176076</t>
  </si>
  <si>
    <t xml:space="preserve">Low oxygen concentration fire prevention systems and fire suppression systems and breathable extinguishing composition manned environment </t>
  </si>
  <si>
    <t>JP2003530922</t>
  </si>
  <si>
    <t xml:space="preserve">Navigation Using Portable Reading Machine </t>
  </si>
  <si>
    <t>US2010049431</t>
  </si>
  <si>
    <t xml:space="preserve">Pressure differential distribution system </t>
  </si>
  <si>
    <t>US6983757</t>
  </si>
  <si>
    <t xml:space="preserve">Table top golf game apparatus </t>
  </si>
  <si>
    <t>US4239217</t>
  </si>
  <si>
    <t>US2015125832</t>
  </si>
  <si>
    <t xml:space="preserve">Radio sensor network data collection method based on multi-agent negotiation </t>
  </si>
  <si>
    <t>CN101035040</t>
  </si>
  <si>
    <t xml:space="preserve">Handover Control for Networks with Several Types of Backhaul Connections </t>
  </si>
  <si>
    <t>US2013229939</t>
  </si>
  <si>
    <t xml:space="preserve">The article handling system and method using autonomous mobile drive units and movable inventory trays </t>
  </si>
  <si>
    <t>JP2006518322</t>
  </si>
  <si>
    <t xml:space="preserve">Frequency sweep and mobile phone measurement report-based method for automatic frequency optimization </t>
  </si>
  <si>
    <t>CN101547449</t>
  </si>
  <si>
    <t xml:space="preserve">Carrier sense adaptive transmission (csat) in unlicensed spectrum </t>
  </si>
  <si>
    <t>US2015085684</t>
  </si>
  <si>
    <t xml:space="preserve">Printhead and ink distribution system </t>
  </si>
  <si>
    <t>US6598964</t>
  </si>
  <si>
    <t xml:space="preserve">Printhead wafer with individual ink feed to each nozzle </t>
  </si>
  <si>
    <t>US2005099466</t>
  </si>
  <si>
    <t xml:space="preserve">Display device and its manufacturing method </t>
  </si>
  <si>
    <t>JP2003157029</t>
  </si>
  <si>
    <t xml:space="preserve">Controlling routing operations in communication networks </t>
  </si>
  <si>
    <t>EP1610503</t>
  </si>
  <si>
    <t xml:space="preserve">Controlling queuing in a defined location </t>
  </si>
  <si>
    <t>US8612278</t>
  </si>
  <si>
    <t xml:space="preserve">Network communication using diversity </t>
  </si>
  <si>
    <t>US2014328423</t>
  </si>
  <si>
    <t>US2016287166</t>
  </si>
  <si>
    <t xml:space="preserve">Wearable Spectroscopic Sensor to Measure Food Consumption Based on Interaction Between Light and the Human Body </t>
  </si>
  <si>
    <t>US2016073886</t>
  </si>
  <si>
    <t xml:space="preserve">Fabrication of a printhead chip incorporating a plurality of nozzle arrangements </t>
  </si>
  <si>
    <t>US7052114</t>
  </si>
  <si>
    <t xml:space="preserve">Opportunistic supplemental downlink in unlicensed spectrum </t>
  </si>
  <si>
    <t>US2015063151</t>
  </si>
  <si>
    <t>US2014257889</t>
  </si>
  <si>
    <t xml:space="preserve">Cooperative Relay System </t>
  </si>
  <si>
    <t>US2013172000</t>
  </si>
  <si>
    <t xml:space="preserve">System and method for managing interference in a network environment based on user presence </t>
  </si>
  <si>
    <t>US2016295521</t>
  </si>
  <si>
    <t xml:space="preserve">Scalable cellular communications system </t>
  </si>
  <si>
    <t>WO0106801</t>
  </si>
  <si>
    <t xml:space="preserve">Apparatus and method for controlling transmit power of indoor base station in a broadband wireless communication system </t>
  </si>
  <si>
    <t>US2011230226</t>
  </si>
  <si>
    <t xml:space="preserve">Method and system for energy saving and minimizing interference level in a radio access node network deployment </t>
  </si>
  <si>
    <t>US2015319688</t>
  </si>
  <si>
    <t>CN1310894</t>
  </si>
  <si>
    <t xml:space="preserve">Intelligent appliance system and intelligent appliance control method </t>
  </si>
  <si>
    <t>CN104360607</t>
  </si>
  <si>
    <t xml:space="preserve">Radial turbine engine </t>
  </si>
  <si>
    <t>CN101956606</t>
  </si>
  <si>
    <t xml:space="preserve">System for apparatus of control a flood disaster using potential energy of water </t>
  </si>
  <si>
    <t>KR20120112315</t>
  </si>
  <si>
    <t xml:space="preserve">Performance of a user equipment (ue) in unlicensed spectrum </t>
  </si>
  <si>
    <t>US2015085792</t>
  </si>
  <si>
    <t xml:space="preserve">Method and apparatus for requesting inter-cell interference coordination and method and apparatus for processing inter-cell interference coordination request </t>
  </si>
  <si>
    <t>US2013303152</t>
  </si>
  <si>
    <t xml:space="preserve">Information processor and method, recording medium and program </t>
  </si>
  <si>
    <t>JP2006285833</t>
  </si>
  <si>
    <t xml:space="preserve">Signalling for Interference Management in HETNETs </t>
  </si>
  <si>
    <t>US2013242744</t>
  </si>
  <si>
    <t xml:space="preserve">Method and Arrangement for Load Management in Heterogeneous Networks with Interference Suppression Capable Receivers </t>
  </si>
  <si>
    <t>US2012140656</t>
  </si>
  <si>
    <t xml:space="preserve">Seamless cell reconfiguration in broadband wireless networks </t>
  </si>
  <si>
    <t>US2011216741</t>
  </si>
  <si>
    <t>CN103201958</t>
  </si>
  <si>
    <t xml:space="preserve">Mobile underwater dwelling house </t>
  </si>
  <si>
    <t>RU2399550</t>
  </si>
  <si>
    <t xml:space="preserve">System And Method Of Measuring Distances Related To An Object Utilizing Ancillary Objects </t>
  </si>
  <si>
    <t>US2016012611</t>
  </si>
  <si>
    <t xml:space="preserve">Wound cleaning devices using heat </t>
  </si>
  <si>
    <t>JP2007509681</t>
  </si>
  <si>
    <t>US8618696</t>
  </si>
  <si>
    <t>US8461719</t>
  </si>
  <si>
    <t xml:space="preserve">Robotic vacuum cleaner </t>
  </si>
  <si>
    <t>US7167775</t>
  </si>
  <si>
    <t>US7079923</t>
  </si>
  <si>
    <t xml:space="preserve">Cuffless blood pressure monitoring appliance </t>
  </si>
  <si>
    <t>US7539532</t>
  </si>
  <si>
    <t xml:space="preserve">Fluidic optical devices </t>
  </si>
  <si>
    <t>US7646544</t>
  </si>
  <si>
    <t xml:space="preserve">Electronic techniques for analyte detection </t>
  </si>
  <si>
    <t>US6627154</t>
  </si>
  <si>
    <t xml:space="preserve">Robot-aided system for surgery </t>
  </si>
  <si>
    <t>US4979949</t>
  </si>
  <si>
    <t xml:space="preserve">In-mold labelling a coextruded, stretched and annealed label </t>
  </si>
  <si>
    <t>US5435963</t>
  </si>
  <si>
    <t xml:space="preserve">Miniature isometric joystick </t>
  </si>
  <si>
    <t>US5889507</t>
  </si>
  <si>
    <t xml:space="preserve">Implantable medical device having flat electrolytic capacitor with porous gas vent within electrolyte fill tube </t>
  </si>
  <si>
    <t>US6493212</t>
  </si>
  <si>
    <t xml:space="preserve">In-mold label film and method </t>
  </si>
  <si>
    <t>US6004682</t>
  </si>
  <si>
    <t>US5242650</t>
  </si>
  <si>
    <t xml:space="preserve">Compact architecture for holographic systems </t>
  </si>
  <si>
    <t>US5959747</t>
  </si>
  <si>
    <t xml:space="preserve">Oligonucleotide synthesizer </t>
  </si>
  <si>
    <t>US6663832</t>
  </si>
  <si>
    <t xml:space="preserve">Aerial robot </t>
  </si>
  <si>
    <t>US7510142</t>
  </si>
  <si>
    <t xml:space="preserve">Self-service transaction apparatus and method using a robot for article transport and repair of internal article handling devices </t>
  </si>
  <si>
    <t>US5183999</t>
  </si>
  <si>
    <t xml:space="preserve">Omnibearing movable manned intelligent robot </t>
  </si>
  <si>
    <t>CN201677940</t>
  </si>
  <si>
    <t xml:space="preserve">Two-wheel self-balance vehicle's machine learning control method </t>
  </si>
  <si>
    <t>CN107065561</t>
  </si>
  <si>
    <t xml:space="preserve">Bundle draw based processing of nanofibers and method of making </t>
  </si>
  <si>
    <t>US2003135971</t>
  </si>
  <si>
    <t xml:space="preserve">Methods and arrangements for identifying objects </t>
  </si>
  <si>
    <t>US2013223673</t>
  </si>
  <si>
    <t xml:space="preserve">Mobile phone extension and data interface via an audio headset connection </t>
  </si>
  <si>
    <t>US2006229108</t>
  </si>
  <si>
    <t xml:space="preserve">Sub room level indoor location system using wideband power line positioning </t>
  </si>
  <si>
    <t>US2010109842</t>
  </si>
  <si>
    <t xml:space="preserve">Systems For a Shared Vehicle </t>
  </si>
  <si>
    <t>US2014222298</t>
  </si>
  <si>
    <t>US2014052555</t>
  </si>
  <si>
    <t xml:space="preserve">Intelligent absorbing mechanical arm special for indoor air purification robot </t>
  </si>
  <si>
    <t>CN105999913</t>
  </si>
  <si>
    <t>US2004198159</t>
  </si>
  <si>
    <t xml:space="preserve">Automated Inventory Management </t>
  </si>
  <si>
    <t>US2014344118</t>
  </si>
  <si>
    <t>US2002044894</t>
  </si>
  <si>
    <t xml:space="preserve">Power management apparatus, power management system including the power management apparatus, and method for controlling the power management system </t>
  </si>
  <si>
    <t>US2012101652</t>
  </si>
  <si>
    <t xml:space="preserve">Sub-room-level indoor location system using power line positioning </t>
  </si>
  <si>
    <t>US2008091345</t>
  </si>
  <si>
    <t xml:space="preserve">Indoor intelligent cleaning robot </t>
  </si>
  <si>
    <t>CN102490172</t>
  </si>
  <si>
    <t xml:space="preserve">Methods and apparatus for autonomously managing communications using an intelligent intermediary </t>
  </si>
  <si>
    <t>US2007127704</t>
  </si>
  <si>
    <t xml:space="preserve">Apparatus and method for interaction phenomena with world modules in data-flow-based simulation </t>
  </si>
  <si>
    <t>US2003079207</t>
  </si>
  <si>
    <t xml:space="preserve">Systems and methods for controlling a legged robot using a two-phase disturbance response strategy </t>
  </si>
  <si>
    <t>US2006241809</t>
  </si>
  <si>
    <t xml:space="preserve">Customizable Embedded Sensors </t>
  </si>
  <si>
    <t>US2013079693</t>
  </si>
  <si>
    <t xml:space="preserve">Humanoid robot control method based on artificial intelligence, system and the humanoid robot </t>
  </si>
  <si>
    <t>CN105093986</t>
  </si>
  <si>
    <t>WO2013033442</t>
  </si>
  <si>
    <t xml:space="preserve">Defibrillator having electrolytic capacitor with cold-welded electrode layers </t>
  </si>
  <si>
    <t>WO9951302</t>
  </si>
  <si>
    <t xml:space="preserve">Multifunctional all-terrain bio-robot </t>
  </si>
  <si>
    <t>CN103273982</t>
  </si>
  <si>
    <t>US8500636</t>
  </si>
  <si>
    <t xml:space="preserve">Pharmacy automation using autonomous robot </t>
  </si>
  <si>
    <t>US2013204430</t>
  </si>
  <si>
    <t xml:space="preserve">Low ac resistance conductor designs </t>
  </si>
  <si>
    <t>US2014175898</t>
  </si>
  <si>
    <t xml:space="preserve">Polymer alloy fiber </t>
  </si>
  <si>
    <t>JP2004169261</t>
  </si>
  <si>
    <t xml:space="preserve">Biomarker for ovarian and endometrial cancer: HEPCIDIN </t>
  </si>
  <si>
    <t>CN101189516</t>
  </si>
  <si>
    <t>US2015099941</t>
  </si>
  <si>
    <t xml:space="preserve">Apparatus and method for providing a conscious patient relief from pain and anxiety associated with medical or surgical procedures </t>
  </si>
  <si>
    <t>CN1311644</t>
  </si>
  <si>
    <t xml:space="preserve">Composite heating system for use in a web printing system </t>
  </si>
  <si>
    <t>US7712886</t>
  </si>
  <si>
    <t xml:space="preserve">Automated pharmacy admixture system (apas) </t>
  </si>
  <si>
    <t>CN101501693</t>
  </si>
  <si>
    <t xml:space="preserve">A method and apparatus for forming a high quality low temperature silicon nitride layer </t>
  </si>
  <si>
    <t>CN1732288</t>
  </si>
  <si>
    <t xml:space="preserve">Patient monitoring appliance </t>
  </si>
  <si>
    <t>US2015269825</t>
  </si>
  <si>
    <t xml:space="preserve">Vacuum cleaner and device </t>
  </si>
  <si>
    <t>JP2003153831</t>
  </si>
  <si>
    <t xml:space="preserve">Wallpaper printer with cutter and dryer modules </t>
  </si>
  <si>
    <t>US7581495</t>
  </si>
  <si>
    <t xml:space="preserve">Wireless Power System Including Impedance matching network </t>
  </si>
  <si>
    <t>US2015270719</t>
  </si>
  <si>
    <t xml:space="preserve">Lifting telescopic corridor cleaning robot </t>
  </si>
  <si>
    <t>CN102631172</t>
  </si>
  <si>
    <t xml:space="preserve">Engineered liver tissues, arrays thereof, and methods of making the same </t>
  </si>
  <si>
    <t>US2014287960</t>
  </si>
  <si>
    <t>US2014225449</t>
  </si>
  <si>
    <t xml:space="preserve">Cameras for emergency rescue </t>
  </si>
  <si>
    <t>US2014342331</t>
  </si>
  <si>
    <t xml:space="preserve">Intelligent indoor temperature adjusting system </t>
  </si>
  <si>
    <t>CN104295517</t>
  </si>
  <si>
    <t xml:space="preserve">Air flight and omnibearing adsorption micro-robot </t>
  </si>
  <si>
    <t>CN102390528</t>
  </si>
  <si>
    <t xml:space="preserve">Mobile web printer </t>
  </si>
  <si>
    <t>US7484841</t>
  </si>
  <si>
    <t xml:space="preserve">Indoor simultaneous locating and environment modeling method for unmanned aerial vehicle </t>
  </si>
  <si>
    <t>CN103926933</t>
  </si>
  <si>
    <t xml:space="preserve">Dust collection device </t>
  </si>
  <si>
    <t>WO2013105431</t>
  </si>
  <si>
    <t xml:space="preserve">Scheme for discovery in a communication network </t>
  </si>
  <si>
    <t>US2014341132</t>
  </si>
  <si>
    <t>JP2009509673</t>
  </si>
  <si>
    <t>US2014361627</t>
  </si>
  <si>
    <t xml:space="preserve">Combined cutter and slitter module for a printer </t>
  </si>
  <si>
    <t>US7163287</t>
  </si>
  <si>
    <t xml:space="preserve">Printhead assembly with communications module </t>
  </si>
  <si>
    <t>US7322677</t>
  </si>
  <si>
    <t xml:space="preserve">An atomic reactor equipment and nuclea waste management using there with of a nuclear explosion prevention rule of duplication structure tank block </t>
  </si>
  <si>
    <t>KR20120095337</t>
  </si>
  <si>
    <t xml:space="preserve">Printhead assembly for a web printing system </t>
  </si>
  <si>
    <t>US2005157120</t>
  </si>
  <si>
    <t xml:space="preserve">Web printing system </t>
  </si>
  <si>
    <t>US2005046687</t>
  </si>
  <si>
    <t xml:space="preserve">Communication in a wireless power transmission system </t>
  </si>
  <si>
    <t>US2016087687</t>
  </si>
  <si>
    <t xml:space="preserve">Prosthetic device and system and method for implanting prosthetic device </t>
  </si>
  <si>
    <t>CN101431968</t>
  </si>
  <si>
    <t xml:space="preserve">Integrated Repeaters For Cell Phone Applications </t>
  </si>
  <si>
    <t>US2015236546</t>
  </si>
  <si>
    <t xml:space="preserve">Measuring system for determining the 3D coordinates of an object surface </t>
  </si>
  <si>
    <t>EP2511656</t>
  </si>
  <si>
    <t xml:space="preserve">Intelligent transportation robot of electric power storehouse </t>
  </si>
  <si>
    <t>CN102990640</t>
  </si>
  <si>
    <t xml:space="preserve">Droplet discharging head, discharging method and device thereof, electro optic device, production method and device thereof, color filter, production method and device thereof, and device comprising base materials, production method and device thereof </t>
  </si>
  <si>
    <t>KR20030065347</t>
  </si>
  <si>
    <t xml:space="preserve">Charging apparatus for electric energy stores, supply station, and method for charging electric energy stores </t>
  </si>
  <si>
    <t>US2012206093</t>
  </si>
  <si>
    <t xml:space="preserve">Network robot service system </t>
  </si>
  <si>
    <t>JP2005111637</t>
  </si>
  <si>
    <t xml:space="preserve">Method and device for controlling actuator </t>
  </si>
  <si>
    <t>JPH06222816</t>
  </si>
  <si>
    <t>CN101807265</t>
  </si>
  <si>
    <t xml:space="preserve">Follow kinds of spherical robot control method and follow </t>
  </si>
  <si>
    <t>CN108297108</t>
  </si>
  <si>
    <t xml:space="preserve">Intelligent exhaust hood robot capable of automatically cleaning and filtering cooking fumes </t>
  </si>
  <si>
    <t>CN103673023</t>
  </si>
  <si>
    <t xml:space="preserve">Intelligent home environment cooperative control method and system based on emotion robot </t>
  </si>
  <si>
    <t>CN104965552</t>
  </si>
  <si>
    <t xml:space="preserve">Self-propelled vacuum cleaner </t>
  </si>
  <si>
    <t>JP2013223650</t>
  </si>
  <si>
    <t xml:space="preserve">Intelligent cleaning robot capable of realizing automatic navigation, floor mopping, charging and rag cleaning </t>
  </si>
  <si>
    <t>CN104586324</t>
  </si>
  <si>
    <t xml:space="preserve">Method and System for Using Indirect Paths of Ultra Wideband Signals to Localize a Wireless Communication Node on a Body. </t>
  </si>
  <si>
    <t>US2013222185</t>
  </si>
  <si>
    <t xml:space="preserve">Central information processing system and method of mobile service robot having indoor information of hierarchical structure according to level of recognition/reasoning </t>
  </si>
  <si>
    <t>JP2008254167</t>
  </si>
  <si>
    <t xml:space="preserve">Robot grid sub-map amalgamation method based on immune self-adapted genetic algorithm </t>
  </si>
  <si>
    <t>CN101266659</t>
  </si>
  <si>
    <t xml:space="preserve">Robot to be mounted on movable body and movable body with the robot </t>
  </si>
  <si>
    <t>JP2002166379</t>
  </si>
  <si>
    <t xml:space="preserve">System and Method for Mediating Representations With Respect to User Preferences </t>
  </si>
  <si>
    <t>US2016014568</t>
  </si>
  <si>
    <t xml:space="preserve">Intelligent household service robot system and service method based on leapfrogging algorithm </t>
  </si>
  <si>
    <t>CN103699136</t>
  </si>
  <si>
    <t xml:space="preserve">Map generating device, map generation method, movement method of mobile, and robot device </t>
  </si>
  <si>
    <t>JP2012064131</t>
  </si>
  <si>
    <t xml:space="preserve">Coating apparatus </t>
  </si>
  <si>
    <t>JP2011088052</t>
  </si>
  <si>
    <t xml:space="preserve">Horizontal-motion rotating leg type stair cleaning robot and stair go-up-and-down method </t>
  </si>
  <si>
    <t>CN103895728</t>
  </si>
  <si>
    <t xml:space="preserve">Indoor scene image classification method facing service robot </t>
  </si>
  <si>
    <t>CN104809469</t>
  </si>
  <si>
    <t xml:space="preserve">Intelligent cleaning robot realizing automatic navigation, floor wiping, charging and rag cleaning </t>
  </si>
  <si>
    <t>CN204379173</t>
  </si>
  <si>
    <t xml:space="preserve">Self-traveling cleaner </t>
  </si>
  <si>
    <t>WO2013157324</t>
  </si>
  <si>
    <t xml:space="preserve">AGV robot of large -scale work piece of intelligent transport </t>
  </si>
  <si>
    <t>CN205662058</t>
  </si>
  <si>
    <t xml:space="preserve">Building configuration and management system with reconfigurable building components </t>
  </si>
  <si>
    <t>US9353514</t>
  </si>
  <si>
    <t xml:space="preserve">Wet and autonomous surface cleaning robot for dry cleaning </t>
  </si>
  <si>
    <t>JP2008529752</t>
  </si>
  <si>
    <t xml:space="preserve">Wireless power transfer in a vehicle </t>
  </si>
  <si>
    <t>WO2014152004</t>
  </si>
  <si>
    <t xml:space="preserve">Synchronous rotary transformer, rotary transformer and angle detection device </t>
  </si>
  <si>
    <t>CN202855522</t>
  </si>
  <si>
    <t xml:space="preserve">Predictively controlling an environmental control system </t>
  </si>
  <si>
    <t>US2016201933</t>
  </si>
  <si>
    <t xml:space="preserve">Computer terminal system with automatic recharging type robot </t>
  </si>
  <si>
    <t>KR20040066348</t>
  </si>
  <si>
    <t xml:space="preserve">Mobile robotic vehicle with tracks and rear flippers and method for operating such a vehicle </t>
  </si>
  <si>
    <t>WO2010068198</t>
  </si>
  <si>
    <t xml:space="preserve">Cleaning robot </t>
  </si>
  <si>
    <t>JP5357941</t>
  </si>
  <si>
    <t>KR101519685</t>
  </si>
  <si>
    <t xml:space="preserve">Underground thermal balance maintenance system for air-conditioning ground source heat pump </t>
  </si>
  <si>
    <t>CN203586452</t>
  </si>
  <si>
    <t xml:space="preserve">Intelligent robot for prevention of school violence and protection of children </t>
  </si>
  <si>
    <t>KR101184012</t>
  </si>
  <si>
    <t xml:space="preserve">Robot equipment removing self adhesive sheeting from supply roll </t>
  </si>
  <si>
    <t>DE19718204</t>
  </si>
  <si>
    <t>JP2010182287</t>
  </si>
  <si>
    <t xml:space="preserve">Moving device </t>
  </si>
  <si>
    <t>JP2006199108</t>
  </si>
  <si>
    <t xml:space="preserve">Multifunctional rescue and transport robotic bed for outdoor and indoor use </t>
  </si>
  <si>
    <t>WO2017059830</t>
  </si>
  <si>
    <t xml:space="preserve">Robotic mobility device </t>
  </si>
  <si>
    <t>US2018014988</t>
  </si>
  <si>
    <t xml:space="preserve">Basic station and cleaning machines people system </t>
  </si>
  <si>
    <t>CN206612752</t>
  </si>
  <si>
    <t xml:space="preserve">Impedance or admittance circuit ohmic loss measuring method, involves feeding current portion into measuring impedance/admittance of circuit as power source to reduce ideal conductive value that refers to circuit inductivity/capacitance </t>
  </si>
  <si>
    <t>DE102004020282</t>
  </si>
  <si>
    <t xml:space="preserve">Dust collection mechanism on air duct cleaning robot and air duct cleaning robot </t>
  </si>
  <si>
    <t>CN101700522</t>
  </si>
  <si>
    <t xml:space="preserve">Multifunctional input fully automatic robot </t>
  </si>
  <si>
    <t>JP2012210703</t>
  </si>
  <si>
    <t xml:space="preserve">Mechanical energy water resource development device </t>
  </si>
  <si>
    <t>CN1263210</t>
  </si>
  <si>
    <t xml:space="preserve">To neutralize and transform negative oscillation fields, from objects and instruments and appliances in everyday life, counter measures are taken as appropriate for the source </t>
  </si>
  <si>
    <t>DE102004013179</t>
  </si>
  <si>
    <t xml:space="preserve">Robotic athletic training or sporting method, apparatus, system, and computer program product </t>
  </si>
  <si>
    <t>US2018093133</t>
  </si>
  <si>
    <t xml:space="preserve">Wet wipes and a fibrous structure and the liquid composition </t>
  </si>
  <si>
    <t>JP2016539178</t>
  </si>
  <si>
    <t xml:space="preserve">Flexible manufacturing system for aircraft structures </t>
  </si>
  <si>
    <t>KR20150125571</t>
  </si>
  <si>
    <t>US2018087795</t>
  </si>
  <si>
    <t>CN1130969</t>
  </si>
  <si>
    <t xml:space="preserve">Intelligent pesticide applying equipment </t>
  </si>
  <si>
    <t>CN106135174</t>
  </si>
  <si>
    <t xml:space="preserve">Simple and easy cleaning machines people of glass curtain wall </t>
  </si>
  <si>
    <t>CN206586881</t>
  </si>
  <si>
    <t xml:space="preserve">Experimental platform for indoor multipurpose mobile robot </t>
  </si>
  <si>
    <t>CN102681542</t>
  </si>
  <si>
    <t xml:space="preserve">Tourist guidance robot based on image processing </t>
  </si>
  <si>
    <t>CN201273999</t>
  </si>
  <si>
    <t xml:space="preserve">Indoor motion supporting robot system for old people and application method thereof </t>
  </si>
  <si>
    <t>CN107877493</t>
  </si>
  <si>
    <t xml:space="preserve">Indoor tour device of suspension type transformer substation </t>
  </si>
  <si>
    <t>CN205378108</t>
  </si>
  <si>
    <t xml:space="preserve">Tour supervisory -controlled robot based on vision -guided </t>
  </si>
  <si>
    <t>CN204650272</t>
  </si>
  <si>
    <t xml:space="preserve">Indoor multipurpose experimental platform for mobile robot </t>
  </si>
  <si>
    <t>CN202582585</t>
  </si>
  <si>
    <t xml:space="preserve">Indoor window-inspection robot system and method </t>
  </si>
  <si>
    <t>CN106313114</t>
  </si>
  <si>
    <t xml:space="preserve">Domestic service robot having touring and security guard functions </t>
  </si>
  <si>
    <t>CN107186734</t>
  </si>
  <si>
    <t xml:space="preserve">Small animal detecting system and detecting method of a robot before inspection burglary </t>
  </si>
  <si>
    <t>CN108597169</t>
  </si>
  <si>
    <t xml:space="preserve">Robot location and navigation method, robot location and navigation system, storage medium and robot </t>
  </si>
  <si>
    <t>CN107655480</t>
  </si>
  <si>
    <t xml:space="preserve">Transformer substation remote monitoring system based on indoor transformer substation polling robot </t>
  </si>
  <si>
    <t>CN107657680</t>
  </si>
  <si>
    <t xml:space="preserve">Indoor concentrated tour device of transformer substation </t>
  </si>
  <si>
    <t>CN205375734</t>
  </si>
  <si>
    <t xml:space="preserve">A domestic tour intelligent robots </t>
  </si>
  <si>
    <t>CN103419202</t>
  </si>
  <si>
    <t xml:space="preserve">Novel robot </t>
  </si>
  <si>
    <t>CN105082137</t>
  </si>
  <si>
    <t xml:space="preserve">Electronic auxiliary system used for indoor mobile robot to perform preliminary localization of charging socket </t>
  </si>
  <si>
    <t>CN203070100</t>
  </si>
  <si>
    <t xml:space="preserve">Indoor navigation with wearable passive sensors </t>
  </si>
  <si>
    <t>US6323807</t>
  </si>
  <si>
    <t xml:space="preserve">Method and apparatus for automatically tracking the location of vehicles </t>
  </si>
  <si>
    <t>US5961571</t>
  </si>
  <si>
    <t xml:space="preserve">Electronic auxiliary system of indoor movable robot primary positioning charging stand </t>
  </si>
  <si>
    <t>CN103149934</t>
  </si>
  <si>
    <t xml:space="preserve">Indoor service robot positioning system based on IBeacon </t>
  </si>
  <si>
    <t>CN206710590</t>
  </si>
  <si>
    <t xml:space="preserve">Indoor intelligent robots and inspection systems </t>
  </si>
  <si>
    <t>CN108262736</t>
  </si>
  <si>
    <t xml:space="preserve">Indoor scene capture system </t>
  </si>
  <si>
    <t>US2014320661</t>
  </si>
  <si>
    <t xml:space="preserve">Indoor multidimensional-rail type intelligent patrolling robot based on limited relay-chamber bends </t>
  </si>
  <si>
    <t>CN105252515</t>
  </si>
  <si>
    <t>US7066291</t>
  </si>
  <si>
    <t xml:space="preserve">Navigational control system for an autonomous vehicle </t>
  </si>
  <si>
    <t>US5111401</t>
  </si>
  <si>
    <t xml:space="preserve">Multi-function robotic device </t>
  </si>
  <si>
    <t>US7555363</t>
  </si>
  <si>
    <t xml:space="preserve">System and method for locating and communicating with personnel and equipment in a facility </t>
  </si>
  <si>
    <t>US7323991</t>
  </si>
  <si>
    <t xml:space="preserve">Managing interactions between computer users' context models </t>
  </si>
  <si>
    <t>US6801223</t>
  </si>
  <si>
    <t xml:space="preserve">Supplying enhanced computer user's context data </t>
  </si>
  <si>
    <t>US6812937</t>
  </si>
  <si>
    <t xml:space="preserve">Supplying notifications related to supply and consumption of user context data </t>
  </si>
  <si>
    <t>US6791580</t>
  </si>
  <si>
    <t xml:space="preserve">Multifunctional mobile appliance </t>
  </si>
  <si>
    <t>US6338013</t>
  </si>
  <si>
    <t>US6345112</t>
  </si>
  <si>
    <t xml:space="preserve">Mediating conflicts in computer user's context data </t>
  </si>
  <si>
    <t>US6747675</t>
  </si>
  <si>
    <t xml:space="preserve">Dual-mode automatic window covering system responsive to AC-induced flicker in ambient illumination </t>
  </si>
  <si>
    <t>US5598000</t>
  </si>
  <si>
    <t xml:space="preserve">Food preparation robot </t>
  </si>
  <si>
    <t>US4922435</t>
  </si>
  <si>
    <t xml:space="preserve">Food preparation system and method </t>
  </si>
  <si>
    <t>US5132914</t>
  </si>
  <si>
    <t xml:space="preserve">Method and apparatus for providing perceived video viewing experiences using still images </t>
  </si>
  <si>
    <t>US5764276</t>
  </si>
  <si>
    <t xml:space="preserve">Mobile communication device </t>
  </si>
  <si>
    <t>US6429812</t>
  </si>
  <si>
    <t>US6611738</t>
  </si>
  <si>
    <t xml:space="preserve">Photo-based mobile deixis system and related techniques </t>
  </si>
  <si>
    <t>US7872669</t>
  </si>
  <si>
    <t xml:space="preserve">Positioning system and method </t>
  </si>
  <si>
    <t>US5815114</t>
  </si>
  <si>
    <t xml:space="preserve">System and method for measuring image similarity based on semantic meaning </t>
  </si>
  <si>
    <t>US7478091</t>
  </si>
  <si>
    <t xml:space="preserve">Guiding an unmanned vehicle by reference to overhead features </t>
  </si>
  <si>
    <t>US5155684</t>
  </si>
  <si>
    <t xml:space="preserve">Immersive video, including video hypermosaicing to generate from multiple video views of a scene a three-dimensional video mosaic from which diverse virtual video scene images are synthesized, including panoramic, scene interactive and stereoscopic images </t>
  </si>
  <si>
    <t>US5850352</t>
  </si>
  <si>
    <t xml:space="preserve">Methods and apparatus for integration of interactive toys with interactive television and cellular communication systems </t>
  </si>
  <si>
    <t>US6773344</t>
  </si>
  <si>
    <t xml:space="preserve">Multi-piece solid golf ball </t>
  </si>
  <si>
    <t>US7175542</t>
  </si>
  <si>
    <t>US7298289</t>
  </si>
  <si>
    <t xml:space="preserve">Robot overload detection device </t>
  </si>
  <si>
    <t>US5086901</t>
  </si>
  <si>
    <t>US7268700</t>
  </si>
  <si>
    <t xml:space="preserve">Robotic ordering and delivery apparatuses, systems and methods </t>
  </si>
  <si>
    <t>US8010230</t>
  </si>
  <si>
    <t>US6256061</t>
  </si>
  <si>
    <t xml:space="preserve">Inflatable habitation volumes in space </t>
  </si>
  <si>
    <t>US6439508</t>
  </si>
  <si>
    <t xml:space="preserve">Tiling of map data </t>
  </si>
  <si>
    <t>US8849308</t>
  </si>
  <si>
    <t xml:space="preserve">Solid golf ball </t>
  </si>
  <si>
    <t>US7344455</t>
  </si>
  <si>
    <t xml:space="preserve">Requesting computer user's context data </t>
  </si>
  <si>
    <t>US7046263</t>
  </si>
  <si>
    <t xml:space="preserve">Dynamically exchanging computer user's context </t>
  </si>
  <si>
    <t>US7647400</t>
  </si>
  <si>
    <t xml:space="preserve">Method of detecting and tracking groups of people </t>
  </si>
  <si>
    <t>US7688349</t>
  </si>
  <si>
    <t xml:space="preserve">Projection exposure apparatus, projection exposure method and catadioptric optical system </t>
  </si>
  <si>
    <t>US6707616</t>
  </si>
  <si>
    <t xml:space="preserve">3D navigation system using complementary head-mounted and stationary infrared beam detection units </t>
  </si>
  <si>
    <t>US6424410</t>
  </si>
  <si>
    <t xml:space="preserve">Network architecture for controlling patrol robot of indoor substation </t>
  </si>
  <si>
    <t>CN107538506</t>
  </si>
  <si>
    <t xml:space="preserve">Mecanum wheel inspection robot and inspection method thereof </t>
  </si>
  <si>
    <t>CN107943026</t>
  </si>
  <si>
    <t xml:space="preserve">Inspection method species robot, and a robot apparatus </t>
  </si>
  <si>
    <t>CN108255167</t>
  </si>
  <si>
    <t xml:space="preserve">Communication robot and communication system </t>
  </si>
  <si>
    <t>WO2018074475</t>
  </si>
  <si>
    <t xml:space="preserve">Monitoring system, its method, monitoring robot and program </t>
  </si>
  <si>
    <t>JP2006000999</t>
  </si>
  <si>
    <t xml:space="preserve">Mobile robot system </t>
  </si>
  <si>
    <t>US9014848</t>
  </si>
  <si>
    <t xml:space="preserve">Chain-like self-moving robot and control system therefor </t>
  </si>
  <si>
    <t>US4621532</t>
  </si>
  <si>
    <t>US7271737</t>
  </si>
  <si>
    <t xml:space="preserve">System and method for creation, processing and visualization of omni-directional images </t>
  </si>
  <si>
    <t>US6754400</t>
  </si>
  <si>
    <t xml:space="preserve">Multi-layer golf ball </t>
  </si>
  <si>
    <t>US6213892</t>
  </si>
  <si>
    <t xml:space="preserve">Adaptive multi-vehicle area coverage optimization system and method </t>
  </si>
  <si>
    <t>US8260485</t>
  </si>
  <si>
    <t xml:space="preserve">Information communication method </t>
  </si>
  <si>
    <t>US8922666</t>
  </si>
  <si>
    <t xml:space="preserve">Automated pushing of computer user's context data to clients </t>
  </si>
  <si>
    <t>US7225229</t>
  </si>
  <si>
    <t xml:space="preserve">Monitoring device </t>
  </si>
  <si>
    <t>JP2003296855</t>
  </si>
  <si>
    <t xml:space="preserve">Interface for exchanging context data </t>
  </si>
  <si>
    <t>US6920616</t>
  </si>
  <si>
    <t xml:space="preserve">Special effects elevator </t>
  </si>
  <si>
    <t>US6076638</t>
  </si>
  <si>
    <t xml:space="preserve">Arrangement for and a method of managing a herd of freely walking animals </t>
  </si>
  <si>
    <t>US6019061</t>
  </si>
  <si>
    <t xml:space="preserve">System and method for integrating air and ground transportation of passengers and cargo </t>
  </si>
  <si>
    <t>US7344109</t>
  </si>
  <si>
    <t xml:space="preserve">Interactive vending system(s) featuring product customization, multimedia, education and entertainment, with business opportunities, models, and methods </t>
  </si>
  <si>
    <t>US2005211768</t>
  </si>
  <si>
    <t xml:space="preserve">System, method and process for order and delivery of classified goods and services through an amalgamated drive-thru complex </t>
  </si>
  <si>
    <t>US2004249497</t>
  </si>
  <si>
    <t xml:space="preserve">Systems and methods for mobile and online payment systems for purchases related to mobile and online promotions or offers provided using impressions tracking and analysis, location information, 2d and 3d mapping, mobile mapping, social media, and user behavior and information for generating mobile and internet posted promotions or offers for, and/or sales of, products and/or services in a social network, online or via a mobile device </t>
  </si>
  <si>
    <t>US2014006129</t>
  </si>
  <si>
    <t xml:space="preserve">Security scoring in a smart-sensored home </t>
  </si>
  <si>
    <t>US2015061859</t>
  </si>
  <si>
    <t xml:space="preserve">Devices, methods, and associated information processing for security in a smart-sensored home </t>
  </si>
  <si>
    <t>US2014266669</t>
  </si>
  <si>
    <t xml:space="preserve">System and method for obtaining georeferenced mapping data </t>
  </si>
  <si>
    <t>US2009262974</t>
  </si>
  <si>
    <t xml:space="preserve">Methods and systems for automated property insurance inspection </t>
  </si>
  <si>
    <t>US2009265193</t>
  </si>
  <si>
    <t xml:space="preserve">Method and system for wireless lan-based indoor position location </t>
  </si>
  <si>
    <t>US2010150117</t>
  </si>
  <si>
    <t xml:space="preserve">Planar waveguide apparatus with diffraction element(s) and system employing same </t>
  </si>
  <si>
    <t>US2015016777</t>
  </si>
  <si>
    <t xml:space="preserve">System and method for multi-analyte detection </t>
  </si>
  <si>
    <t>US2005123445</t>
  </si>
  <si>
    <t xml:space="preserve">Electronic device and control method thereof </t>
  </si>
  <si>
    <t>US2011037712</t>
  </si>
  <si>
    <t>US2014286644</t>
  </si>
  <si>
    <t xml:space="preserve">Environmental sensing with a doorbell at a smart-home </t>
  </si>
  <si>
    <t>US2015156031</t>
  </si>
  <si>
    <t xml:space="preserve">Security System, crime prevention methods, and robot </t>
  </si>
  <si>
    <t>JP6402219</t>
  </si>
  <si>
    <t xml:space="preserve">Autonomous vehicle and systems and methods for the operation thereof </t>
  </si>
  <si>
    <t>US2008027599</t>
  </si>
  <si>
    <t xml:space="preserve">Indoor personnel positioning system and method based on path rule and prediction </t>
  </si>
  <si>
    <t>CN102752855</t>
  </si>
  <si>
    <t>US2014186050</t>
  </si>
  <si>
    <t xml:space="preserve">System and method of aerial surveillance </t>
  </si>
  <si>
    <t>US2008144884</t>
  </si>
  <si>
    <t xml:space="preserve">Time-dependent navigation of telepresence robots </t>
  </si>
  <si>
    <t>US2013325244</t>
  </si>
  <si>
    <t xml:space="preserve">3D image data publishing method and 3D image production system </t>
  </si>
  <si>
    <t>US2003030636</t>
  </si>
  <si>
    <t xml:space="preserve">Wearable electronic image acquisition and enhancement system and method for image acquisition and visual enhancement </t>
  </si>
  <si>
    <t>US2013131985</t>
  </si>
  <si>
    <t xml:space="preserve">System and method for creating interactive panoramic walk-through applications </t>
  </si>
  <si>
    <t>US2011211040</t>
  </si>
  <si>
    <t xml:space="preserve">Method and apparatus for decision tree based marketing and selling for a retail store </t>
  </si>
  <si>
    <t>US2008249870</t>
  </si>
  <si>
    <t>US2014186049</t>
  </si>
  <si>
    <t xml:space="preserve">Agent system, agent selling method, information providing device, and data recorded medium </t>
  </si>
  <si>
    <t>US2003126031</t>
  </si>
  <si>
    <t xml:space="preserve">Immersive video presentations </t>
  </si>
  <si>
    <t>US2005062869</t>
  </si>
  <si>
    <t xml:space="preserve">Software Architecture and Database for Integrated Travel Itinerary and Related Reservation System Components </t>
  </si>
  <si>
    <t>US2007260495</t>
  </si>
  <si>
    <t>US2014207517</t>
  </si>
  <si>
    <t xml:space="preserve">Systems and methods for processing mapping and modeling data </t>
  </si>
  <si>
    <t>US2011282622</t>
  </si>
  <si>
    <t xml:space="preserve">Creation and use of virtual places </t>
  </si>
  <si>
    <t>US2011301760</t>
  </si>
  <si>
    <t xml:space="preserve">Polymer compositions and golf balls with reduced yellowing </t>
  </si>
  <si>
    <t>US2008090678</t>
  </si>
  <si>
    <t>US2014186026</t>
  </si>
  <si>
    <t>US2014186055</t>
  </si>
  <si>
    <t xml:space="preserve">Apparatus and method for locating, tracking, controlling and recognizing tagged objects using active rfid technology </t>
  </si>
  <si>
    <t>US2014240088</t>
  </si>
  <si>
    <t xml:space="preserve">System and method for model-free position estimation and tracking </t>
  </si>
  <si>
    <t>US2007139269</t>
  </si>
  <si>
    <t xml:space="preserve">Robot system, method and computer program product </t>
  </si>
  <si>
    <t>US2007100496</t>
  </si>
  <si>
    <t xml:space="preserve">Method and system for controlling a mobile robot </t>
  </si>
  <si>
    <t>US2009030551</t>
  </si>
  <si>
    <t xml:space="preserve">Automated warehousing using robotic forklifts </t>
  </si>
  <si>
    <t>US2014277691</t>
  </si>
  <si>
    <t xml:space="preserve">Virtual and Augmented Reality Cockpit and Operational Control Systems </t>
  </si>
  <si>
    <t>US2015346722</t>
  </si>
  <si>
    <t>US2008312008</t>
  </si>
  <si>
    <t xml:space="preserve">Information collection during game play </t>
  </si>
  <si>
    <t>US2009054123</t>
  </si>
  <si>
    <t xml:space="preserve">System for managing bowden cables in articulating instruments </t>
  </si>
  <si>
    <t>US2009099420</t>
  </si>
  <si>
    <t xml:space="preserve">Handling specific visitor behavior at an entryway to a smart-home </t>
  </si>
  <si>
    <t>US2015156030</t>
  </si>
  <si>
    <t xml:space="preserve">Handling security services visitor at a smart-home </t>
  </si>
  <si>
    <t>US2015127712</t>
  </si>
  <si>
    <t xml:space="preserve">Compact robotic painting booth </t>
  </si>
  <si>
    <t>US2006292308</t>
  </si>
  <si>
    <t xml:space="preserve">Indoor surveying apparatus </t>
  </si>
  <si>
    <t>US2013314688</t>
  </si>
  <si>
    <t xml:space="preserve">System, method and process for computer controlled delivery of classified goods and services through an amalgamated drive-thru complex </t>
  </si>
  <si>
    <t>US2007187183</t>
  </si>
  <si>
    <t xml:space="preserve">3D point locator system </t>
  </si>
  <si>
    <t>US2005102063</t>
  </si>
  <si>
    <t>US2008194359</t>
  </si>
  <si>
    <t xml:space="preserve">Flight inspection tour system and method performing navigation by utilizing 360-degree laser scanner </t>
  </si>
  <si>
    <t>CN106052695</t>
  </si>
  <si>
    <t xml:space="preserve">Distribution of Targeted Messages and the Serving, Collecting, Managing, and Analyzing and Reporting of Information relating to Mobile and other Electronic Devices </t>
  </si>
  <si>
    <t>US2007262860</t>
  </si>
  <si>
    <t xml:space="preserve">Tour robot </t>
  </si>
  <si>
    <t>CN206551004</t>
  </si>
  <si>
    <t xml:space="preserve">Methods for object recognition and related arrangements </t>
  </si>
  <si>
    <t>US2015016712</t>
  </si>
  <si>
    <t xml:space="preserve">Mediating conflicts in computer users context data </t>
  </si>
  <si>
    <t>US2009055752</t>
  </si>
  <si>
    <t xml:space="preserve">Method and apparatus for obtaining panoramic and rectilinear images using rotationally symmetric wide-angle lens </t>
  </si>
  <si>
    <t>US2010208032</t>
  </si>
  <si>
    <t xml:space="preserve">Composite metallic ultrafine particles and process for producing the same </t>
  </si>
  <si>
    <t>US2002018896</t>
  </si>
  <si>
    <t>US2010263948</t>
  </si>
  <si>
    <t xml:space="preserve">System and process for synthesizing location-referenced panoramic images and video </t>
  </si>
  <si>
    <t>US2008106593</t>
  </si>
  <si>
    <t xml:space="preserve">System and method for robust navigation and geolocation using measurements of opportunity </t>
  </si>
  <si>
    <t>US2012081248</t>
  </si>
  <si>
    <t xml:space="preserve">Generating and supplying user context data </t>
  </si>
  <si>
    <t>US7464153</t>
  </si>
  <si>
    <t xml:space="preserve">Method and system to produce customizable information guides based on individual customer preferences </t>
  </si>
  <si>
    <t>US2002026459</t>
  </si>
  <si>
    <t xml:space="preserve">Secure handling of unsupervised package drop off at a smart-home </t>
  </si>
  <si>
    <t>US2015145643</t>
  </si>
  <si>
    <t xml:space="preserve">Doll Companion Integrating Child Self-Directed Execution of Applications with Cell Phone Communication, Education, Entertainment, Alert and Monitoring Systems </t>
  </si>
  <si>
    <t>US2012295510</t>
  </si>
  <si>
    <t xml:space="preserve">System and method for deploying portable landmarks </t>
  </si>
  <si>
    <t>US2011153338</t>
  </si>
  <si>
    <t xml:space="preserve">Tour inspection method for pipe gallery comprehensive cabin, system and tour inspection robot </t>
  </si>
  <si>
    <t>CN107358675</t>
  </si>
  <si>
    <t xml:space="preserve">Patrol robot </t>
  </si>
  <si>
    <t>CN107797558</t>
  </si>
  <si>
    <t xml:space="preserve">Detecting Energy and Environmental Leaks In Indoor Environments Using a Mobile Robot </t>
  </si>
  <si>
    <t>US2012078417</t>
  </si>
  <si>
    <t xml:space="preserve">Leveraging neighborhood to handle potential visitor at a smart-home </t>
  </si>
  <si>
    <t>US2015154850</t>
  </si>
  <si>
    <t xml:space="preserve">High-precision indoor and outdoor fusion positioning system and method </t>
  </si>
  <si>
    <t>CN107094319</t>
  </si>
  <si>
    <t xml:space="preserve">Mobile platform, mobile platform system and indoor viewing mobile robot </t>
  </si>
  <si>
    <t>CN107807639</t>
  </si>
  <si>
    <t xml:space="preserve">Traffic-tour and position information transmission inquery system </t>
  </si>
  <si>
    <t>CN101071436</t>
  </si>
  <si>
    <t xml:space="preserve">Effective substation intelligent tour inspection robot </t>
  </si>
  <si>
    <t>CN106863301</t>
  </si>
  <si>
    <t xml:space="preserve">Method, medium, and apparatus for performing path planning of mobile robot </t>
  </si>
  <si>
    <t>US2009149990</t>
  </si>
  <si>
    <t xml:space="preserve">Method and system for determining user input based on gesture </t>
  </si>
  <si>
    <t>US2015234477</t>
  </si>
  <si>
    <t xml:space="preserve">Wide area augmented reality location-based services </t>
  </si>
  <si>
    <t>US2015109338</t>
  </si>
  <si>
    <t xml:space="preserve">Smart invitation handling at a smart-home </t>
  </si>
  <si>
    <t>US2015109104</t>
  </si>
  <si>
    <t>US2008020863</t>
  </si>
  <si>
    <t xml:space="preserve">Security patrol robot system and control method </t>
  </si>
  <si>
    <t>CN102096413</t>
  </si>
  <si>
    <t xml:space="preserve">System, method and apparatus for providing navigational assistance </t>
  </si>
  <si>
    <t>US2006293839</t>
  </si>
  <si>
    <t xml:space="preserve">System and method for area coverage using sector decomposition </t>
  </si>
  <si>
    <t>US2011153136</t>
  </si>
  <si>
    <t>US2008214325</t>
  </si>
  <si>
    <t xml:space="preserve">Hand-Held Positioning Interface for Spatial Query </t>
  </si>
  <si>
    <t>US2010102980</t>
  </si>
  <si>
    <t xml:space="preserve">Robot control system, robot, program, and information storage medium </t>
  </si>
  <si>
    <t>US2011118870</t>
  </si>
  <si>
    <t>US2010298976</t>
  </si>
  <si>
    <t xml:space="preserve">Ground truth estimation for autonomous navigation </t>
  </si>
  <si>
    <t>US2015185027</t>
  </si>
  <si>
    <t xml:space="preserve">Method and apparatus for determining roles for media generation and compilation </t>
  </si>
  <si>
    <t>US2012077522</t>
  </si>
  <si>
    <t xml:space="preserve">Concept for localizing a position on a path </t>
  </si>
  <si>
    <t>US2010097269</t>
  </si>
  <si>
    <t xml:space="preserve">An arrangement for producing a charging contact from fully or partially electrically powered road vehicles </t>
  </si>
  <si>
    <t>DE202009000259</t>
  </si>
  <si>
    <t xml:space="preserve">Method for obtaining a composite image using rotationally symmetrical wide-angle lenses, imaging system for same, and cmos image sensor for image-processing using hardware </t>
  </si>
  <si>
    <t>US2012098926</t>
  </si>
  <si>
    <t xml:space="preserve">Method and apparatus for controlling device and computer readable medium storing the method </t>
  </si>
  <si>
    <t>US2012078959</t>
  </si>
  <si>
    <t xml:space="preserve">Method and system for fast and robust identification of specific product images </t>
  </si>
  <si>
    <t>US2013202213</t>
  </si>
  <si>
    <t xml:space="preserve">Preparation of golf balls </t>
  </si>
  <si>
    <t>US6213897</t>
  </si>
  <si>
    <t xml:space="preserve">Method and system for monitoring and reducing ruminant methane production </t>
  </si>
  <si>
    <t>US2011192213</t>
  </si>
  <si>
    <t xml:space="preserve">Method and apparatus for positioning system enhancement with visible light communication </t>
  </si>
  <si>
    <t>US2015373503</t>
  </si>
  <si>
    <t xml:space="preserve">Golf ball with softer feel and high iron spin </t>
  </si>
  <si>
    <t>US2009176601</t>
  </si>
  <si>
    <t xml:space="preserve">Systems and methods for context-aware application control </t>
  </si>
  <si>
    <t>US2015331711</t>
  </si>
  <si>
    <t xml:space="preserve">Device for determining the position and/or orientation of a creature relative to an environment </t>
  </si>
  <si>
    <t>US7061429</t>
  </si>
  <si>
    <t xml:space="preserve">Method and apparatus for mobile tag reading </t>
  </si>
  <si>
    <t>WO0106401</t>
  </si>
  <si>
    <t xml:space="preserve">Robot manipulated spray gun </t>
  </si>
  <si>
    <t>EP0579417</t>
  </si>
  <si>
    <t xml:space="preserve">3d virtual manufacturing process </t>
  </si>
  <si>
    <t>US2006155402</t>
  </si>
  <si>
    <t>EP0366350</t>
  </si>
  <si>
    <t xml:space="preserve">Charging room for intelligent inspection robot of substation </t>
  </si>
  <si>
    <t>CN202333477</t>
  </si>
  <si>
    <t>JP2007234066</t>
  </si>
  <si>
    <t xml:space="preserve">Movement monitoring system </t>
  </si>
  <si>
    <t>JP2002092761</t>
  </si>
  <si>
    <t xml:space="preserve">Robot control system, remote management device, robot, robot control and remote management methods, and robot control and remote management programs </t>
  </si>
  <si>
    <t>JP2010064154</t>
  </si>
  <si>
    <t>JP2002254374</t>
  </si>
  <si>
    <t xml:space="preserve">Intelligent energy and space management </t>
  </si>
  <si>
    <t>US2014288714</t>
  </si>
  <si>
    <t xml:space="preserve">Self-propelled tilling device e.g. robot, navigating method, involves determining driving direction by evaluating determined vectors and by controlling distance to preceding tracks, and forming meander/spiral shaped preset track </t>
  </si>
  <si>
    <t>DE102007016802</t>
  </si>
  <si>
    <t xml:space="preserve">Map generation apparatus, map generation method, moving method for moving body, and robot apparatus </t>
  </si>
  <si>
    <t>US2013216098</t>
  </si>
  <si>
    <t xml:space="preserve">Device and method for biochip multiplexing </t>
  </si>
  <si>
    <t>JP2007187677</t>
  </si>
  <si>
    <t xml:space="preserve">Charging type autonomous moving system </t>
  </si>
  <si>
    <t>JP2003330543</t>
  </si>
  <si>
    <t xml:space="preserve">Carrying robot system </t>
  </si>
  <si>
    <t>JPH09267276</t>
  </si>
  <si>
    <t xml:space="preserve">Device and method for composition based on small quad-rotor unmanned aerial vehicle </t>
  </si>
  <si>
    <t>CN103941750</t>
  </si>
  <si>
    <t xml:space="preserve">Networked interactive toy system </t>
  </si>
  <si>
    <t>WO0169830</t>
  </si>
  <si>
    <t xml:space="preserve">Method for automatically charging e.g. automated rented passenger car in multi-storey car park, involves connecting charging contact of vehicle with charging contact of charging station at charging place, and controlling place by vehicle </t>
  </si>
  <si>
    <t>DE102008055881</t>
  </si>
  <si>
    <t xml:space="preserve">Wireless positioning systems </t>
  </si>
  <si>
    <t>US2016018508</t>
  </si>
  <si>
    <t xml:space="preserve">Movable robot and service providing system through server using the acquired image </t>
  </si>
  <si>
    <t>JP2003006532</t>
  </si>
  <si>
    <t xml:space="preserve">System for visual monitoring of operational indicators in an electric power system </t>
  </si>
  <si>
    <t>US5805813</t>
  </si>
  <si>
    <t xml:space="preserve">Collaborative navigation techniques for mobile devices </t>
  </si>
  <si>
    <t>US2013335273</t>
  </si>
  <si>
    <t xml:space="preserve">Autonomous data machines and systems </t>
  </si>
  <si>
    <t>US2015205298</t>
  </si>
  <si>
    <t xml:space="preserve">Dfstination setting device and agent device </t>
  </si>
  <si>
    <t>JP2000266551</t>
  </si>
  <si>
    <t xml:space="preserve">Vision-based combined navigation robot and navigation method </t>
  </si>
  <si>
    <t>CN102789233</t>
  </si>
  <si>
    <t xml:space="preserve">Method and System for Localization Using One-Way Ranging Technique </t>
  </si>
  <si>
    <t>US2010008270</t>
  </si>
  <si>
    <t xml:space="preserve">Mobile equipment </t>
  </si>
  <si>
    <t>JPH10143243</t>
  </si>
  <si>
    <t xml:space="preserve">Method for realizing geomagnetic indoor positioning and navigation by utilization of smartphone sensors </t>
  </si>
  <si>
    <t>CN103363988</t>
  </si>
  <si>
    <t xml:space="preserve">Method for automatically charging full-time or part-time electric vehicles, and arrangement for establishing a charging contact </t>
  </si>
  <si>
    <t>WO2010060720</t>
  </si>
  <si>
    <t xml:space="preserve">Method and device for manufacturing electronic urban vehicles with electric propulsion and evolutive structure </t>
  </si>
  <si>
    <t>FR2684606</t>
  </si>
  <si>
    <t xml:space="preserve">Adaptive updating of indoor navigation assistance data for use by a mobile device </t>
  </si>
  <si>
    <t>US9081079</t>
  </si>
  <si>
    <t xml:space="preserve">Device Power and Resource Management </t>
  </si>
  <si>
    <t>US2015323974</t>
  </si>
  <si>
    <t xml:space="preserve">Navigation Portals for a Remote Vehicle Control User Interface </t>
  </si>
  <si>
    <t>US2012072052</t>
  </si>
  <si>
    <t xml:space="preserve">Error-eliminating rapid ultrasonic firing </t>
  </si>
  <si>
    <t>US5239515</t>
  </si>
  <si>
    <t xml:space="preserve">Automated system with suspended robot for treating surfaces, in particular of aircraft </t>
  </si>
  <si>
    <t>WO2007101475</t>
  </si>
  <si>
    <t xml:space="preserve">Discovery and monitoring of an environment using a plurality of robots </t>
  </si>
  <si>
    <t>US8751043</t>
  </si>
  <si>
    <t xml:space="preserve">Novel practical remotely-controlled fishing biomimetic robotic fish </t>
  </si>
  <si>
    <t>CN102442417</t>
  </si>
  <si>
    <t xml:space="preserve">3d point location system </t>
  </si>
  <si>
    <t>WO2006052259</t>
  </si>
  <si>
    <t xml:space="preserve">Article handling system and article handling server </t>
  </si>
  <si>
    <t>JP2007111854</t>
  </si>
  <si>
    <t xml:space="preserve">Error detection and correction device for position of wafer and its method </t>
  </si>
  <si>
    <t>JPH1064971</t>
  </si>
  <si>
    <t>US2010234137</t>
  </si>
  <si>
    <t xml:space="preserve">Virtual planogram management, systems, and methods </t>
  </si>
  <si>
    <t>US2014129393</t>
  </si>
  <si>
    <t xml:space="preserve">Determining position of a vehicle with reference to a landmark </t>
  </si>
  <si>
    <t>US7826969</t>
  </si>
  <si>
    <t xml:space="preserve">Visitor options at an entryway to a smart-home </t>
  </si>
  <si>
    <t>US2015116108</t>
  </si>
  <si>
    <t xml:space="preserve">Systems and methods for programming, controlling and monitoring wireless networks </t>
  </si>
  <si>
    <t>US2015097669</t>
  </si>
  <si>
    <t xml:space="preserve">Multifunctional home service robot </t>
  </si>
  <si>
    <t>CN105034002</t>
  </si>
  <si>
    <t xml:space="preserve">Visitor feedback to visitor interaction with a doorbell at a smart-home </t>
  </si>
  <si>
    <t>US2015109128</t>
  </si>
  <si>
    <t xml:space="preserve">Adaptive passive scanning and/or active probing techniques for mobile device positioning </t>
  </si>
  <si>
    <t>US2013337847</t>
  </si>
  <si>
    <t xml:space="preserve">Control system of sanitation robot </t>
  </si>
  <si>
    <t>CN101770236</t>
  </si>
  <si>
    <t xml:space="preserve">Electronic commerce system in the virtual reality space and method thereof </t>
  </si>
  <si>
    <t>KR19990078775</t>
  </si>
  <si>
    <t xml:space="preserve">Indoor wireless omni-directional positioning guide system </t>
  </si>
  <si>
    <t>CN103191006</t>
  </si>
  <si>
    <t xml:space="preserve">Robot apparatus </t>
  </si>
  <si>
    <t>JP2005103678</t>
  </si>
  <si>
    <t xml:space="preserve">Finished multi-sensor units </t>
  </si>
  <si>
    <t>US2016365825</t>
  </si>
  <si>
    <t xml:space="preserve">Composition for producing golf balls and multi-piece golf balls </t>
  </si>
  <si>
    <t>US2005277488</t>
  </si>
  <si>
    <t xml:space="preserve">Method for determining the position and/or orientation of a creature relative to an environment </t>
  </si>
  <si>
    <t>US7236880</t>
  </si>
  <si>
    <t xml:space="preserve">Enhanced data exchange and functionality control system and method </t>
  </si>
  <si>
    <t>US2008155006</t>
  </si>
  <si>
    <t xml:space="preserve">Tracking of a package delivery to a smart-home </t>
  </si>
  <si>
    <t>US2015120598</t>
  </si>
  <si>
    <t xml:space="preserve">Automatic guide and obstacle avoidance method for robot </t>
  </si>
  <si>
    <t>CN103576686</t>
  </si>
  <si>
    <t xml:space="preserve">Information communication robot device, information communication method, and information communication robot system </t>
  </si>
  <si>
    <t>JP2001246580</t>
  </si>
  <si>
    <t xml:space="preserve">Topological-based localization and navigation </t>
  </si>
  <si>
    <t>US2010312386</t>
  </si>
  <si>
    <t xml:space="preserve">Reception guide system </t>
  </si>
  <si>
    <t>JP2004299026</t>
  </si>
  <si>
    <t xml:space="preserve">Transformer substation intelligent auxiliary monitoring inspection system in regulation and control integration mode </t>
  </si>
  <si>
    <t>CN103944275</t>
  </si>
  <si>
    <t xml:space="preserve">Intelligent early warning and fire extinguishing robot </t>
  </si>
  <si>
    <t>CN104299351</t>
  </si>
  <si>
    <t xml:space="preserve">Putting/chipping trainer </t>
  </si>
  <si>
    <t>US8267812</t>
  </si>
  <si>
    <t xml:space="preserve">Machine vision calibration with cloud computing systems </t>
  </si>
  <si>
    <t>US8965104</t>
  </si>
  <si>
    <t xml:space="preserve">Robot system for polling transformer substation </t>
  </si>
  <si>
    <t>CN203232463</t>
  </si>
  <si>
    <t xml:space="preserve">Method of accurate mapping with mobile robots </t>
  </si>
  <si>
    <t>US2010274387</t>
  </si>
  <si>
    <t>US2015062292</t>
  </si>
  <si>
    <t xml:space="preserve">Robotic assistance in security monitoring </t>
  </si>
  <si>
    <t>US2016266577</t>
  </si>
  <si>
    <t xml:space="preserve">Earth positioning system </t>
  </si>
  <si>
    <t>US2014094136</t>
  </si>
  <si>
    <t xml:space="preserve">Punch and die optimization </t>
  </si>
  <si>
    <t>US2003018401</t>
  </si>
  <si>
    <t xml:space="preserve">Visual-content-based method for establishing multi-level semantic map </t>
  </si>
  <si>
    <t>CN103712617</t>
  </si>
  <si>
    <t xml:space="preserve">Underwater pipeline connection joined to a riser </t>
  </si>
  <si>
    <t>WO02103153</t>
  </si>
  <si>
    <t xml:space="preserve">Mobile human interface robot </t>
  </si>
  <si>
    <t>WO2011146254</t>
  </si>
  <si>
    <t xml:space="preserve">Wireless sensor network ranging method facing round-trip time of time asynchronous node </t>
  </si>
  <si>
    <t>CN101320090</t>
  </si>
  <si>
    <t xml:space="preserve">Assembly line for automobile first-generation hub bearing </t>
  </si>
  <si>
    <t>CN101858387</t>
  </si>
  <si>
    <t xml:space="preserve">Man-controlled machine fish </t>
  </si>
  <si>
    <t>CN1413877</t>
  </si>
  <si>
    <t xml:space="preserve">Transmission and query system for traffic tour and location information </t>
  </si>
  <si>
    <t>CN1845089</t>
  </si>
  <si>
    <t xml:space="preserve">Floor cleaning robot </t>
  </si>
  <si>
    <t>JP2010017428</t>
  </si>
  <si>
    <t>US2010190575</t>
  </si>
  <si>
    <t xml:space="preserve">Distance estimation method between two sensor nodes using round trip time delay </t>
  </si>
  <si>
    <t>KR20080050981</t>
  </si>
  <si>
    <t xml:space="preserve">Systems and methods for automated cloud-based analytics for security and/or surveillance </t>
  </si>
  <si>
    <t>US2015290808</t>
  </si>
  <si>
    <t xml:space="preserve">Systems and Methods for Providing Information Pertaining to Physical Infrastructure of a Building or Property </t>
  </si>
  <si>
    <t>US2013205257</t>
  </si>
  <si>
    <t xml:space="preserve">Structural design of inspection robot of transformer substation </t>
  </si>
  <si>
    <t>CN102169602</t>
  </si>
  <si>
    <t xml:space="preserve">Dynamic map rendering as function of user parameter </t>
  </si>
  <si>
    <t>CN101606039</t>
  </si>
  <si>
    <t xml:space="preserve">Practical Time Machine Using Dynamic Efficient Virtual And Real Robots </t>
  </si>
  <si>
    <t>US2009234788</t>
  </si>
  <si>
    <t xml:space="preserve">Conversation system </t>
  </si>
  <si>
    <t>JPH11346267</t>
  </si>
  <si>
    <t>US2013331195</t>
  </si>
  <si>
    <t xml:space="preserve">Dialog system and conversational method thereof </t>
  </si>
  <si>
    <t>KR20110066357</t>
  </si>
  <si>
    <t>US2011092314</t>
  </si>
  <si>
    <t xml:space="preserve">Occupant notification of visitor interaction with a doorbell at a smart-home </t>
  </si>
  <si>
    <t>US2015109112</t>
  </si>
  <si>
    <t xml:space="preserve">Transformer substation indoor screen cabinet detection device based on inspection robot </t>
  </si>
  <si>
    <t>CN204209692</t>
  </si>
  <si>
    <t xml:space="preserve">Transformer substation indoor screen cabinet detection device based on inspection robot and detection method of transformer substation indoor screen cabinet detection device </t>
  </si>
  <si>
    <t>CN104385277</t>
  </si>
  <si>
    <t xml:space="preserve">Industrial robot system with a portable operator control device </t>
  </si>
  <si>
    <t>CN1972782</t>
  </si>
  <si>
    <t xml:space="preserve">Transformer station guide rail type inspection robot </t>
  </si>
  <si>
    <t>CN104391506</t>
  </si>
  <si>
    <t xml:space="preserve">Self-traveling robot and its control method </t>
  </si>
  <si>
    <t>JP2005339408</t>
  </si>
  <si>
    <t xml:space="preserve">Symbiotic Unmanned Aerial Vehicle and Unmanned Surface Vehicle System </t>
  </si>
  <si>
    <t>US2016018224</t>
  </si>
  <si>
    <t xml:space="preserve">Information processing apparatus and recording medium </t>
  </si>
  <si>
    <t>JP2014127987</t>
  </si>
  <si>
    <t xml:space="preserve">Dining room path navigation system and method of robot </t>
  </si>
  <si>
    <t>CN103335652</t>
  </si>
  <si>
    <t xml:space="preserve">Initially detecting a visitor at a smart-home </t>
  </si>
  <si>
    <t>US2015116107</t>
  </si>
  <si>
    <t xml:space="preserve">Field intelligent guide service system and method with preliminary human thinking </t>
  </si>
  <si>
    <t>CN102750274</t>
  </si>
  <si>
    <t xml:space="preserve">System and method for graphically allocating robot's working space </t>
  </si>
  <si>
    <t>US8160746</t>
  </si>
  <si>
    <t xml:space="preserve">Interacting with a detected visitor at an entryway to a smart-home </t>
  </si>
  <si>
    <t>US2015116109</t>
  </si>
  <si>
    <t xml:space="preserve">Sweeping robot and walking control method for same </t>
  </si>
  <si>
    <t>CN101916110</t>
  </si>
  <si>
    <t xml:space="preserve">Routing optimization for package delivery to a smart-home </t>
  </si>
  <si>
    <t>US2015120596</t>
  </si>
  <si>
    <t xml:space="preserve">Moving body position estimation apparatus, position estimation method, and position estimation program </t>
  </si>
  <si>
    <t>WO2004011881</t>
  </si>
  <si>
    <t xml:space="preserve">Hybrid-approach for localizaton of an agent </t>
  </si>
  <si>
    <t>US2012316784</t>
  </si>
  <si>
    <t xml:space="preserve">Method for Guide Service for Person using Moving Robot </t>
  </si>
  <si>
    <t>KR101170686</t>
  </si>
  <si>
    <t xml:space="preserve">Indoor scene identifying method based on point cloud fragment division </t>
  </si>
  <si>
    <t>CN102930246</t>
  </si>
  <si>
    <t xml:space="preserve">Method and system for estimating a path of a mobile element or body </t>
  </si>
  <si>
    <t>WO2012072957</t>
  </si>
  <si>
    <t>WO2006126996</t>
  </si>
  <si>
    <t xml:space="preserve">ATM with stack transporter for bulk note deposit </t>
  </si>
  <si>
    <t>CN101213553</t>
  </si>
  <si>
    <t xml:space="preserve">Method and apparatus of path planning for a mobile robot </t>
  </si>
  <si>
    <t>KR20090077547</t>
  </si>
  <si>
    <t xml:space="preserve">Electronic device and method for providing map service </t>
  </si>
  <si>
    <t>US2016148417</t>
  </si>
  <si>
    <t xml:space="preserve">Handling visitor interaction at a smart-home in a do not disturb mode </t>
  </si>
  <si>
    <t>US2015116106</t>
  </si>
  <si>
    <t xml:space="preserve">Systems and Methods for Performing Three-Dimensional Semantic Parsing of Indoor Spaces </t>
  </si>
  <si>
    <t>US2017358087</t>
  </si>
  <si>
    <t xml:space="preserve">Motion control for robots elastic structures. </t>
  </si>
  <si>
    <t>ES2360912</t>
  </si>
  <si>
    <t xml:space="preserve">System for control of the evolution of remote controls gear </t>
  </si>
  <si>
    <t>FR3052084</t>
  </si>
  <si>
    <t xml:space="preserve">Kinds of indoor unmanned substation inspection robot special situations </t>
  </si>
  <si>
    <t>CN108628321</t>
  </si>
  <si>
    <t xml:space="preserve">Automated lane and route network discovery for robotic actors </t>
  </si>
  <si>
    <t>US9945677</t>
  </si>
  <si>
    <t xml:space="preserve">Robotic systems and methods </t>
  </si>
  <si>
    <t>US2017028564</t>
  </si>
  <si>
    <t>CN204288415</t>
  </si>
  <si>
    <t xml:space="preserve">Household elder nursing and guarding robot </t>
  </si>
  <si>
    <t>CN203485200</t>
  </si>
  <si>
    <t xml:space="preserve">Wireless indoor orientation method based on automatic learning of wireless signal acceptance strength distribution </t>
  </si>
  <si>
    <t>CN101466070</t>
  </si>
  <si>
    <t xml:space="preserve">Intelligent service robot in waiting hall </t>
  </si>
  <si>
    <t>CN104375417</t>
  </si>
  <si>
    <t xml:space="preserve">industrial robot </t>
  </si>
  <si>
    <t>FR2521056</t>
  </si>
  <si>
    <t xml:space="preserve">Robot system, and flapping device and flapping flight controller used therein </t>
  </si>
  <si>
    <t>JP2003118697</t>
  </si>
  <si>
    <t>CN1493379</t>
  </si>
  <si>
    <t xml:space="preserve">Method and System for Golf Ball Fitting Analysis </t>
  </si>
  <si>
    <t>US2012016599</t>
  </si>
  <si>
    <t xml:space="preserve">Human-machine interface for a robotic containerization system </t>
  </si>
  <si>
    <t>EP1136192</t>
  </si>
  <si>
    <t xml:space="preserve">Intelligent robot inspection system used for cable tunnel </t>
  </si>
  <si>
    <t>CN104991488</t>
  </si>
  <si>
    <t xml:space="preserve">Meteorological popular science robot system </t>
  </si>
  <si>
    <t>CN102306234</t>
  </si>
  <si>
    <t xml:space="preserve">Multi function robot for moving on wall using indoor global positioning system </t>
  </si>
  <si>
    <t>KR100812724</t>
  </si>
  <si>
    <t xml:space="preserve">Indoor intelligent patrol device </t>
  </si>
  <si>
    <t>CN204375021</t>
  </si>
  <si>
    <t xml:space="preserve">Pleasant and Realistic Virtual/Augmented/Mixed Reality Experience </t>
  </si>
  <si>
    <t>US2016267720</t>
  </si>
  <si>
    <t xml:space="preserve">Scaling vector field slam to large environments </t>
  </si>
  <si>
    <t>WO2013071190</t>
  </si>
  <si>
    <t xml:space="preserve">Method for localisation in indoor areas, based on detection and pairing of lighting points </t>
  </si>
  <si>
    <t>WO2015059330</t>
  </si>
  <si>
    <t xml:space="preserve">Household intelligent patrolling robot </t>
  </si>
  <si>
    <t>CN203485197</t>
  </si>
  <si>
    <t xml:space="preserve">City underground railway inspection robot system and detection method </t>
  </si>
  <si>
    <t>CN104122890</t>
  </si>
  <si>
    <t xml:space="preserve">Autonomous robot </t>
  </si>
  <si>
    <t>WO2017130649</t>
  </si>
  <si>
    <t xml:space="preserve">Indoor mobile support device </t>
  </si>
  <si>
    <t>JP5312659</t>
  </si>
  <si>
    <t xml:space="preserve">Indoor security escort robot </t>
  </si>
  <si>
    <t>CN207780562</t>
  </si>
  <si>
    <t xml:space="preserve">High voltage switch cabinet online temperature detection device, method and system </t>
  </si>
  <si>
    <t>CN106197681</t>
  </si>
  <si>
    <t xml:space="preserve">Cloud robotics system, information processor, program, and method for controlling or supporting robot in cloud robotics system </t>
  </si>
  <si>
    <t>JP2017047519</t>
  </si>
  <si>
    <t xml:space="preserve">Super realistic three-dimensional holographic intelligent dummy human system and method </t>
  </si>
  <si>
    <t>CN101145238</t>
  </si>
  <si>
    <t xml:space="preserve">Electrode assembly for an electrostatic sprayer </t>
  </si>
  <si>
    <t>DE102009013979</t>
  </si>
  <si>
    <t xml:space="preserve">System for guiding blind in exhibition </t>
  </si>
  <si>
    <t>CN101073531</t>
  </si>
  <si>
    <t xml:space="preserve">Takeoff/landing assisting mechanism, takeoff/landing assisting device and levitating device subjected to takeoff/landing assistance </t>
  </si>
  <si>
    <t>JP2003127995</t>
  </si>
  <si>
    <t xml:space="preserve">Systems and methods to determine the locations of packages and provide navigational guidance to reach the packages </t>
  </si>
  <si>
    <t>US9894483</t>
  </si>
  <si>
    <t xml:space="preserve">Self-propelled cleaner </t>
  </si>
  <si>
    <t>JP2005275899</t>
  </si>
  <si>
    <t xml:space="preserve">Method, system, and apparatus for analyzing a sporting apparatus </t>
  </si>
  <si>
    <t>US2017274256</t>
  </si>
  <si>
    <t xml:space="preserve">Community as a whole Intelligent Service System </t>
  </si>
  <si>
    <t>CN202160198</t>
  </si>
  <si>
    <t xml:space="preserve">Image information transmitting-receiving system </t>
  </si>
  <si>
    <t>JP2004040736</t>
  </si>
  <si>
    <t xml:space="preserve">Robot and a robot control method </t>
  </si>
  <si>
    <t>US2005222711</t>
  </si>
  <si>
    <t xml:space="preserve">Cable tunnel robot </t>
  </si>
  <si>
    <t>CN204631521</t>
  </si>
  <si>
    <t xml:space="preserve">Method and accessories to enhance riding experience on vehicles with human propulsion </t>
  </si>
  <si>
    <t>US2016023081</t>
  </si>
  <si>
    <t xml:space="preserve">Indoor mobile location system </t>
  </si>
  <si>
    <t>CN205540275</t>
  </si>
  <si>
    <t>JP5606653</t>
  </si>
  <si>
    <t xml:space="preserve">Airship system </t>
  </si>
  <si>
    <t>CN1464856</t>
  </si>
  <si>
    <t xml:space="preserve">Substrate processing system and substrate processing program </t>
  </si>
  <si>
    <t>CN1812051</t>
  </si>
  <si>
    <t xml:space="preserve">Intelligent infrared thermography imaging system </t>
  </si>
  <si>
    <t>CN101999882</t>
  </si>
  <si>
    <t xml:space="preserve">Downhole BVR(beyond visual range) vision robot patrol monitoring system </t>
  </si>
  <si>
    <t>CN203720654</t>
  </si>
  <si>
    <t xml:space="preserve">Automated worship system of indoor tomb </t>
  </si>
  <si>
    <t>CN202866371</t>
  </si>
  <si>
    <t xml:space="preserve">Service providing system, robot support device, robot device, robot management device, and program </t>
  </si>
  <si>
    <t>JP2005186220</t>
  </si>
  <si>
    <t xml:space="preserve">Indoor producing of high-resolution images of the commonly viewed with the same background view </t>
  </si>
  <si>
    <t>US8830320</t>
  </si>
  <si>
    <t xml:space="preserve">Method and device for structurizing concept and device provided with concept structure </t>
  </si>
  <si>
    <t>JP2001282539</t>
  </si>
  <si>
    <t xml:space="preserve">Point cloud compression and inertial navigation based mobile context real-time three-dimensional reconstruction method </t>
  </si>
  <si>
    <t>CN105261060</t>
  </si>
  <si>
    <t xml:space="preserve">Device and method for locationing using laser scanner and landmark matching </t>
  </si>
  <si>
    <t>KR101272422</t>
  </si>
  <si>
    <t xml:space="preserve">Indoor surveying apparatus and method </t>
  </si>
  <si>
    <t>US2015116691</t>
  </si>
  <si>
    <t xml:space="preserve">Concentrated control system for city underground railway intelligent detection robots and realization method </t>
  </si>
  <si>
    <t>CN104122843</t>
  </si>
  <si>
    <t xml:space="preserve">Patrol robot and patrol method </t>
  </si>
  <si>
    <t>JP2006072612</t>
  </si>
  <si>
    <t xml:space="preserve">Location-based image retrieval </t>
  </si>
  <si>
    <t>WO2014108907</t>
  </si>
  <si>
    <t xml:space="preserve">Household robot supervising device based on IoT (Internet of Things) </t>
  </si>
  <si>
    <t>CN204287943</t>
  </si>
  <si>
    <t xml:space="preserve">Robotic systems and methods in prediction and presentation of resource availability </t>
  </si>
  <si>
    <t>US10016897</t>
  </si>
  <si>
    <t xml:space="preserve">Prevent retaining device of toy entering in power station </t>
  </si>
  <si>
    <t>CN206461228</t>
  </si>
  <si>
    <t xml:space="preserve">Omnidirectional movement platform control system based on internet of things </t>
  </si>
  <si>
    <t>CN204856222</t>
  </si>
  <si>
    <t xml:space="preserve">Dining room service robot system based on IGPS and inside communication </t>
  </si>
  <si>
    <t>CN205608521</t>
  </si>
  <si>
    <t xml:space="preserve">Method for generating a target trajectory of a camera embarked on a drone and corresponding system </t>
  </si>
  <si>
    <t>US2016117811</t>
  </si>
  <si>
    <t xml:space="preserve">Open digital integrated automation system for transformer substation </t>
  </si>
  <si>
    <t>CN205911826</t>
  </si>
  <si>
    <t xml:space="preserve">Restaurant service robot system based on iGPS and internal communication </t>
  </si>
  <si>
    <t>CN105807773</t>
  </si>
  <si>
    <t xml:space="preserve">Location estimation system </t>
  </si>
  <si>
    <t>US9810767</t>
  </si>
  <si>
    <t xml:space="preserve">Anti -terrorism robot </t>
  </si>
  <si>
    <t>CN204856206</t>
  </si>
  <si>
    <t xml:space="preserve">Wireless charging device of robot </t>
  </si>
  <si>
    <t>CN206077080</t>
  </si>
  <si>
    <t xml:space="preserve">One kind of tourism robot chassis </t>
  </si>
  <si>
    <t>CN207889856</t>
  </si>
  <si>
    <t xml:space="preserve">Four -wheel tour robot of sweeping floor of riding instead of walk </t>
  </si>
  <si>
    <t>CN206261558</t>
  </si>
  <si>
    <t>JP5536293</t>
  </si>
  <si>
    <t xml:space="preserve">Rectilinear mirror and imaging system having the same </t>
  </si>
  <si>
    <t>KR100552367</t>
  </si>
  <si>
    <t xml:space="preserve">Indoor scene scanning reconstruction method and apparatus </t>
  </si>
  <si>
    <t>WO2017079918</t>
  </si>
  <si>
    <t xml:space="preserve">Robot system is tourd to traction substation intelligence </t>
  </si>
  <si>
    <t>CN206712306</t>
  </si>
  <si>
    <t>CN207344563</t>
  </si>
  <si>
    <t xml:space="preserve">Systems and methods to provide searchable content related to a plurality of locations in a region in connection with navigational guidance to the locations in the region </t>
  </si>
  <si>
    <t>US2017075962</t>
  </si>
  <si>
    <t xml:space="preserve">Suitable for car mobile robot indoor coverage area method </t>
  </si>
  <si>
    <t>CN104714551</t>
  </si>
  <si>
    <t xml:space="preserve">Photographing device </t>
  </si>
  <si>
    <t>JP2005010244</t>
  </si>
  <si>
    <t>CN105427293</t>
  </si>
  <si>
    <t xml:space="preserve">Maritime patrol control system booster station </t>
  </si>
  <si>
    <t>CN108375962</t>
  </si>
  <si>
    <t xml:space="preserve">Tour robot and inspection system </t>
  </si>
  <si>
    <t>CN206282412</t>
  </si>
  <si>
    <t xml:space="preserve">Inspection system and inspection method of valve hall robot based on video monitoring linkage system </t>
  </si>
  <si>
    <t>CN106444588</t>
  </si>
  <si>
    <t xml:space="preserve">Kinds of Internet-based intelligent monitoring system for substation inspection robot </t>
  </si>
  <si>
    <t>CN108527399</t>
  </si>
  <si>
    <t xml:space="preserve">System and method of valve hall intelligent robot inspection system based on power carrier mode </t>
  </si>
  <si>
    <t>CN106787177</t>
  </si>
  <si>
    <t xml:space="preserve">Navigation system for unmanned aerial vehicle in an indoor enclosure </t>
  </si>
  <si>
    <t>ES2684847</t>
  </si>
  <si>
    <t xml:space="preserve">Power inspection tour flying robot air route planning method based on three-dimensional digital map </t>
  </si>
  <si>
    <t>CN104965518</t>
  </si>
  <si>
    <t xml:space="preserve">ROS based service robot and indoor navigation method thereof </t>
  </si>
  <si>
    <t>CN107145153</t>
  </si>
  <si>
    <t xml:space="preserve">Cubicle switch cabinet protection setting of transformer substation changes handling robot </t>
  </si>
  <si>
    <t>CN206982675</t>
  </si>
  <si>
    <t xml:space="preserve">Unattended substation protection device operation machine people </t>
  </si>
  <si>
    <t>CN204883369</t>
  </si>
  <si>
    <t xml:space="preserve">Indoor Producing of High-Resolution Images of the Commonly Viewed Exterior Surfaces of Vehicles, Each with the Same Background View </t>
  </si>
  <si>
    <t>US2015077564</t>
  </si>
  <si>
    <t xml:space="preserve">Electroninc device for providing map information </t>
  </si>
  <si>
    <t>KR20160003553</t>
  </si>
  <si>
    <t>CN105759743</t>
  </si>
  <si>
    <t>EP0955132</t>
  </si>
  <si>
    <t xml:space="preserve">Route planning for a mobile robot using configuration-based preferences </t>
  </si>
  <si>
    <t>US10012996</t>
  </si>
  <si>
    <t xml:space="preserve">System and method for toy adoption and marketing </t>
  </si>
  <si>
    <t>US9947023</t>
  </si>
  <si>
    <t xml:space="preserve">Vedio tape picture and text data generating and coding method and picture and text data playback device </t>
  </si>
  <si>
    <t>CN1420488</t>
  </si>
  <si>
    <t xml:space="preserve">Wheeled wheeled robot who removes structure and contain it </t>
  </si>
  <si>
    <t>CN207028823</t>
  </si>
  <si>
    <t xml:space="preserve">Device is tourd in indoor control of transformer substation </t>
  </si>
  <si>
    <t>CN205378109</t>
  </si>
  <si>
    <t xml:space="preserve">Longmen truss -like indoor substation patrols and examines robot </t>
  </si>
  <si>
    <t>CN205685324</t>
  </si>
  <si>
    <t xml:space="preserve">Smart inspection robot for converter stations </t>
  </si>
  <si>
    <t>CN207835156</t>
  </si>
  <si>
    <t xml:space="preserve">Portable and transportable isolatable robotic evacuation medical module </t>
  </si>
  <si>
    <t>RU2658466</t>
  </si>
  <si>
    <t>CA2928262</t>
  </si>
  <si>
    <t xml:space="preserve">Method for providing a virtual world presentation </t>
  </si>
  <si>
    <t>JP4367862</t>
  </si>
  <si>
    <t xml:space="preserve">Image-processing-based digital panÂ·tiltÂ·zoomÂ·slide camera whereof the principal direction of vision of rectilinear image plane is periodically scanned along a predetermined trace </t>
  </si>
  <si>
    <t>KR101762475</t>
  </si>
  <si>
    <t xml:space="preserve">Method of obtaining stereoscopic panoramic images, playing the same and stereoscopic panoramic camera </t>
  </si>
  <si>
    <t>KR101889225</t>
  </si>
  <si>
    <t xml:space="preserve">Control method and control system of wisdom platform </t>
  </si>
  <si>
    <t>CN106325245</t>
  </si>
  <si>
    <t xml:space="preserve">Wheel type moving structure and wheel type robot containing it </t>
  </si>
  <si>
    <t>CN106891716</t>
  </si>
  <si>
    <t xml:space="preserve">Control system for full-intelligent inspection robot for electric system machine room </t>
  </si>
  <si>
    <t>CN106078745</t>
  </si>
  <si>
    <t xml:space="preserve">Robot monitoring system with image recognition and automatic patrol route setting function </t>
  </si>
  <si>
    <t>CN104144326</t>
  </si>
  <si>
    <t xml:space="preserve">Intelligent patrol robot system for traction substation </t>
  </si>
  <si>
    <t>CN107425454</t>
  </si>
  <si>
    <t xml:space="preserve">Interactive tour system </t>
  </si>
  <si>
    <t>US2018206069</t>
  </si>
  <si>
    <t xml:space="preserve">Tour and alarm management system </t>
  </si>
  <si>
    <t>CN205666910</t>
  </si>
  <si>
    <t xml:space="preserve">Open type digital integrated automation system applied to transformer substation </t>
  </si>
  <si>
    <t>CN105871071</t>
  </si>
  <si>
    <t xml:space="preserve">Robot charging method and device </t>
  </si>
  <si>
    <t>CN106980320</t>
  </si>
  <si>
    <t xml:space="preserve">Robot path planning system and method </t>
  </si>
  <si>
    <t>CN107677285</t>
  </si>
  <si>
    <t xml:space="preserve">Arrow-shooting robot system </t>
  </si>
  <si>
    <t>CN100574835</t>
  </si>
  <si>
    <t xml:space="preserve">Apparatus and method of internet-based control for underwater robot </t>
  </si>
  <si>
    <t>KR20050108583</t>
  </si>
  <si>
    <t xml:space="preserve">Robot obstacle avoidance control system and method, robot, and storage medium </t>
  </si>
  <si>
    <t>WO2018176668</t>
  </si>
  <si>
    <t xml:space="preserve">Positioning method based on location base point, specific mark, and related device and method </t>
  </si>
  <si>
    <t>CN106507285</t>
  </si>
  <si>
    <t xml:space="preserve">Then device is tourd to room of guarantor </t>
  </si>
  <si>
    <t>CN206552145</t>
  </si>
  <si>
    <t xml:space="preserve">Dynamic experience show display system </t>
  </si>
  <si>
    <t>CN104088477</t>
  </si>
  <si>
    <t xml:space="preserve">Autonomous navigation positioning kinds of three-dimensional inspection robot Pipe Gallery </t>
  </si>
  <si>
    <t>CN108247634</t>
  </si>
  <si>
    <t>US2018033244</t>
  </si>
  <si>
    <t xml:space="preserve">Brick laying system </t>
  </si>
  <si>
    <t>WO2012021732</t>
  </si>
  <si>
    <t xml:space="preserve">Localizing a movable object using an inertial measurement system </t>
  </si>
  <si>
    <t>WO2016018170</t>
  </si>
  <si>
    <t xml:space="preserve">Specific mark capable of being perceptively identified based on computer vision, and use method </t>
  </si>
  <si>
    <t>CN106557582</t>
  </si>
  <si>
    <t xml:space="preserve">Game system and program </t>
  </si>
  <si>
    <t>JP2018108171</t>
  </si>
  <si>
    <t xml:space="preserve">High output hexagon-shaped piezoelectric element consolidated power generation circuit for making the world bank of agriculture fishery forestry small and medium-sized enterprises joint venture on the self-sufficient society and corporate assets which follows from the Communist Party era of the things that rub the country of full debt repayment and agriculture fishery forestry small and medium-sized enterprises type coil-free light rail motor system device. </t>
  </si>
  <si>
    <t>JP3206065</t>
  </si>
  <si>
    <t xml:space="preserve">Fire mask </t>
  </si>
  <si>
    <t>CN207323872</t>
  </si>
  <si>
    <t>JP2018057461</t>
  </si>
  <si>
    <t>JP2018108170</t>
  </si>
  <si>
    <t>JP2018057460</t>
  </si>
  <si>
    <t xml:space="preserve">Autonomous travel apparatus </t>
  </si>
  <si>
    <t>JP2017049694</t>
  </si>
  <si>
    <t>JP2018057459</t>
  </si>
  <si>
    <t xml:space="preserve">High -speed railway pulls institute's pavilion intelligence and patrols survey system </t>
  </si>
  <si>
    <t>CN206031396</t>
  </si>
  <si>
    <t xml:space="preserve">Systems and methods to predict resource availability </t>
  </si>
  <si>
    <t>WO2018022896</t>
  </si>
  <si>
    <t xml:space="preserve">Chinese and Bahasa Melayu bilingual parallel text automatic acquisition system and realizing method thereof </t>
  </si>
  <si>
    <t>CN104933193</t>
  </si>
  <si>
    <t xml:space="preserve">Lifetime care system </t>
  </si>
  <si>
    <t>JP2013234571</t>
  </si>
  <si>
    <t xml:space="preserve">Information processing device, information processing method and sound processing system </t>
  </si>
  <si>
    <t>JP2017229002</t>
  </si>
  <si>
    <t xml:space="preserve">Linear aberration correcting mirror and a video system comprising it </t>
  </si>
  <si>
    <t>JP2008517320</t>
  </si>
  <si>
    <t xml:space="preserve">Substrate processing system of equipment information for managing substrate processing equipment </t>
  </si>
  <si>
    <t>CN100385609</t>
  </si>
  <si>
    <t xml:space="preserve">Methods and apparatus for locating rfid tags </t>
  </si>
  <si>
    <t>WO2018183571</t>
  </si>
  <si>
    <t xml:space="preserve">Robot monitoring system possessing image identification and patrol path automatic setting functions </t>
  </si>
  <si>
    <t>CN204131634</t>
  </si>
  <si>
    <t xml:space="preserve">Imaging apparatus </t>
  </si>
  <si>
    <t>CN105577997</t>
  </si>
  <si>
    <t xml:space="preserve">Virtual honor room three-dimensional display system </t>
  </si>
  <si>
    <t>CN108416845</t>
  </si>
  <si>
    <t xml:space="preserve">Mobile units for furnishing, repairing and refurbishing residences </t>
  </si>
  <si>
    <t>US2017364924</t>
  </si>
  <si>
    <t xml:space="preserve">Cruth type mechanical leg sitting aiding to walk appliance </t>
  </si>
  <si>
    <t>CN2452487</t>
  </si>
  <si>
    <t xml:space="preserve">Airborne haptic feedback device </t>
  </si>
  <si>
    <t>US2017322628</t>
  </si>
  <si>
    <t xml:space="preserve">Of using the China and South Korea and the partnership business profits paid as promised last resort for rub prior art confirm repay the full debt repayment of the country, Japan improvements copyright original of fully automatic machine system of the last means of full debt repayment . </t>
  </si>
  <si>
    <t>JP3217135</t>
  </si>
  <si>
    <t>CN1784685</t>
  </si>
  <si>
    <t xml:space="preserve">Method of Operating a Mobile Robot </t>
  </si>
  <si>
    <t>GB2509814</t>
  </si>
  <si>
    <t xml:space="preserve">Water dispenser </t>
  </si>
  <si>
    <t>CN207390984</t>
  </si>
  <si>
    <t xml:space="preserve">Truss -like loading and unloading car robot </t>
  </si>
  <si>
    <t>CN205870514</t>
  </si>
  <si>
    <t xml:space="preserve">And a body controller of the control system of the explosion-proof inspection robot </t>
  </si>
  <si>
    <t>CN108508886</t>
  </si>
  <si>
    <t xml:space="preserve">Intelligent ventilation system </t>
  </si>
  <si>
    <t>CN207365293</t>
  </si>
  <si>
    <t xml:space="preserve">Photogrammetric methods and devices related thereto </t>
  </si>
  <si>
    <t>EP3210165</t>
  </si>
  <si>
    <t xml:space="preserve">Moving object tracks robot </t>
  </si>
  <si>
    <t>CN207240184</t>
  </si>
  <si>
    <t xml:space="preserve">Information processing apparatus, information processing method, and program </t>
  </si>
  <si>
    <t>US2017097985</t>
  </si>
  <si>
    <t xml:space="preserve">Moving body, information processing device, moving body system, information processing method, and information processing program </t>
  </si>
  <si>
    <t>WO2017029982</t>
  </si>
  <si>
    <t xml:space="preserve">Automatic acquisition system of Chinese and Lao bilingual parallel texts and implementation method </t>
  </si>
  <si>
    <t>CN105022728</t>
  </si>
  <si>
    <t xml:space="preserve">Device for treatment of objects </t>
  </si>
  <si>
    <t>DE102015002090</t>
  </si>
  <si>
    <t xml:space="preserve">Automatic following type explains device </t>
  </si>
  <si>
    <t>CN207424681</t>
  </si>
  <si>
    <t xml:space="preserve">System for automatically acquiring bilingual parallel corpus of Chinese-foreign languages and realization method </t>
  </si>
  <si>
    <t>CN105045862</t>
  </si>
  <si>
    <t xml:space="preserve">Robot with damping function </t>
  </si>
  <si>
    <t>CN108015810</t>
  </si>
  <si>
    <t xml:space="preserve">Data Processing Method and Device </t>
  </si>
  <si>
    <t>US2017185873</t>
  </si>
  <si>
    <t xml:space="preserve">System for automatically collecting Chinese-Thai bilingual parallel corpus and implementation method </t>
  </si>
  <si>
    <t>CN105138548</t>
  </si>
  <si>
    <t xml:space="preserve">Chinese and Vietnamese bilingual parallel text automatic acquisition system and realizing method thereof </t>
  </si>
  <si>
    <t>CN104933194</t>
  </si>
  <si>
    <t xml:space="preserve">Explicit obligations and patent rights number of foreign countries for the overseas export commodities of national patent rights number of for products that have been sold in Japan for the country's full debt repayment and the full debt repayment of prefectures, cities, towns, and villages District explicit obligations and brochures patent number described instructions of goods to the explicit and without complete product sales the number of overseas request for examination in the product itself and the Internet patent number described obligation and review invoice obligations and newspaper flyers of any many of the collection of income taxes of the country as an explicit obligation of the number of intellectual property property against patent number listed obligations as set forth obligations and television stations propaganda Department intellectual property rights of patent rights data collection management manual of the patent number and if it is not free of patent number published of measures to so as not be fooled against unfair price of goods of personal property, the current penalties of unfair competition prevention Law, Japan national tax collecting 100 times the fine of unfair competition shortage Parliament in national tax and usually decided to get decided as personal compensation as of the first of the copyright holder of low-cost TV's new panel of the television image to the national tax collection and source of the main countries of tax with respect to technology embezzlement Acts making products described starting from the new technology patent rights out of copyright contract for the patent rights out. </t>
  </si>
  <si>
    <t>JP3203105</t>
  </si>
  <si>
    <t xml:space="preserve">Automatic Chinese-Khmer bilingual parallel text acquisition system and implementation method </t>
  </si>
  <si>
    <t>CN104965925</t>
  </si>
  <si>
    <t xml:space="preserve">System for automatically collecting Hanyu and Bahasa Indonesia bilingualism parallel texts, and implementation method </t>
  </si>
  <si>
    <t>CN105045861</t>
  </si>
  <si>
    <t xml:space="preserve">Chinese and Burmese bilingual parallel text automatic acquisition system and realizing method thereof </t>
  </si>
  <si>
    <t>CN104933195</t>
  </si>
  <si>
    <t>JP2018108172</t>
  </si>
  <si>
    <t xml:space="preserve">Apparatus and method of sensor deployment </t>
  </si>
  <si>
    <t>US2017246742</t>
  </si>
  <si>
    <t xml:space="preserve">Barrier board device preventing small animals from entering power station </t>
  </si>
  <si>
    <t>CN106848856</t>
  </si>
  <si>
    <t xml:space="preserve">Method for obtaining stereoscopic panoramic image and method for playing same and stereoscopic panoramic camera </t>
  </si>
  <si>
    <t>WO2018048185</t>
  </si>
  <si>
    <t>WO2016065063</t>
  </si>
  <si>
    <t xml:space="preserve">High-output, high-image quality power generation video television system </t>
  </si>
  <si>
    <t>JP2013093896</t>
  </si>
  <si>
    <t xml:space="preserve">Carrying cart controlled by Android smart phone </t>
  </si>
  <si>
    <t>CN106477257</t>
  </si>
  <si>
    <t xml:space="preserve">Intelligent robot of yellow meal worm raises </t>
  </si>
  <si>
    <t>CN207341030</t>
  </si>
  <si>
    <t xml:space="preserve">Automatic Chinese and Filipino bilingual parallel text collection system and implementation method </t>
  </si>
  <si>
    <t>CN104933192</t>
  </si>
  <si>
    <t xml:space="preserve">Rail mounted harmful gas monitoring devices based on thing networking </t>
  </si>
  <si>
    <t>CN207115707</t>
  </si>
  <si>
    <t xml:space="preserve">Copyright editing machine </t>
  </si>
  <si>
    <t>JP2013242882</t>
  </si>
  <si>
    <t>CN105835059</t>
  </si>
  <si>
    <t xml:space="preserve">Building or Varation Building </t>
  </si>
  <si>
    <t>KR20170041670</t>
  </si>
  <si>
    <t>CN106664265</t>
  </si>
  <si>
    <t xml:space="preserve">Method of interaction by gaze and associated device </t>
  </si>
  <si>
    <t>EP3058444</t>
  </si>
  <si>
    <t xml:space="preserve">Display method and display device </t>
  </si>
  <si>
    <t>WO2018083999</t>
  </si>
  <si>
    <t xml:space="preserve">Device systems and mechanisms for turbine type a, turbine type b, turbine-bob transporting unit, vehicle floating aircrafts, has propeller-radius-arm-rim-wheel-control-network-management-systems </t>
  </si>
  <si>
    <t>DE102006038182</t>
  </si>
  <si>
    <t xml:space="preserve">Smartest cities </t>
  </si>
  <si>
    <t>CA2929508</t>
  </si>
  <si>
    <t xml:space="preserve">Panoramic electronic map-based virtual tourism platform system </t>
  </si>
  <si>
    <t>CN101937535</t>
  </si>
  <si>
    <t xml:space="preserve">Real-scene tour simulation system and method of the same </t>
  </si>
  <si>
    <t>US6716106</t>
  </si>
  <si>
    <t xml:space="preserve">Indoor-outdoor tour guiding device based on multi-mode hybrid location technology </t>
  </si>
  <si>
    <t>CN203118400</t>
  </si>
  <si>
    <t xml:space="preserve">Tour guide system based on the wisdom of the smart phone platform </t>
  </si>
  <si>
    <t>CN103442329</t>
  </si>
  <si>
    <t xml:space="preserve">Multiuser real-scene tour simulation system and method of the same </t>
  </si>
  <si>
    <t>US2003214530</t>
  </si>
  <si>
    <t xml:space="preserve">Indoor exhibition guiding system based on circumstance perception </t>
  </si>
  <si>
    <t>CN104156897</t>
  </si>
  <si>
    <t xml:space="preserve">Quickly mountable and demountable accessory </t>
  </si>
  <si>
    <t>US3601825</t>
  </si>
  <si>
    <t xml:space="preserve">Tour cars of station wagon type </t>
  </si>
  <si>
    <t>US3165350</t>
  </si>
  <si>
    <t xml:space="preserve">System and method for proactive content delivery by situational location </t>
  </si>
  <si>
    <t>US7187997</t>
  </si>
  <si>
    <t xml:space="preserve">Wireless network device </t>
  </si>
  <si>
    <t>US9030964</t>
  </si>
  <si>
    <t xml:space="preserve">Location-based caching for mobile devices </t>
  </si>
  <si>
    <t>US7519470</t>
  </si>
  <si>
    <t xml:space="preserve">Real time simulation using position sensing </t>
  </si>
  <si>
    <t>US6152856</t>
  </si>
  <si>
    <t xml:space="preserve">Apparatus for the production of freshwater from extremely hot and humid air </t>
  </si>
  <si>
    <t>US6684648</t>
  </si>
  <si>
    <t xml:space="preserve">Audiovisual content distribution system </t>
  </si>
  <si>
    <t>US6366914</t>
  </si>
  <si>
    <t xml:space="preserve">Location mapping for key-point based services </t>
  </si>
  <si>
    <t>US7751971</t>
  </si>
  <si>
    <t xml:space="preserve">Low spin golf ball comprising a mantle having a hollow interior </t>
  </si>
  <si>
    <t>US6120393</t>
  </si>
  <si>
    <t xml:space="preserve">Digital system </t>
  </si>
  <si>
    <t>US6553404</t>
  </si>
  <si>
    <t xml:space="preserve">Method of operating a navigation system using images </t>
  </si>
  <si>
    <t>US7460953</t>
  </si>
  <si>
    <t xml:space="preserve">Method of game play using RFID tracking device </t>
  </si>
  <si>
    <t>US6761637</t>
  </si>
  <si>
    <t>US6526335</t>
  </si>
  <si>
    <t xml:space="preserve">Method and apparatus for operating the overlay of computer-generated effects onto a live image </t>
  </si>
  <si>
    <t>US6175343</t>
  </si>
  <si>
    <t xml:space="preserve">System and method for anonymous location based services </t>
  </si>
  <si>
    <t>US8060389</t>
  </si>
  <si>
    <t xml:space="preserve">Wayfinding </t>
  </si>
  <si>
    <t>US7496445</t>
  </si>
  <si>
    <t xml:space="preserve">Using internet content as a means to establish live social networks by linking internet users to each other who are simultaneously engaged in the same and/or similar content </t>
  </si>
  <si>
    <t>US8117281</t>
  </si>
  <si>
    <t xml:space="preserve">System and method for alerting a first mobile data processing system nearby a second mobile data processing system </t>
  </si>
  <si>
    <t>US8073565</t>
  </si>
  <si>
    <t xml:space="preserve">Personal safety mobile notification system </t>
  </si>
  <si>
    <t>US8624727</t>
  </si>
  <si>
    <t xml:space="preserve">Low latency handling of transmission control protocol messages in a broadband satellite communications system </t>
  </si>
  <si>
    <t>US6961539</t>
  </si>
  <si>
    <t xml:space="preserve">Method and apparatus for total situational awareness and monitoring </t>
  </si>
  <si>
    <t>US8289390</t>
  </si>
  <si>
    <t xml:space="preserve">Skiing simulator system combining ski training and exercise </t>
  </si>
  <si>
    <t>US5536225</t>
  </si>
  <si>
    <t xml:space="preserve">Method, system and apparatus for creating and accessing a hierarchical database in a format optimally suited to real estate listings </t>
  </si>
  <si>
    <t>US6985902</t>
  </si>
  <si>
    <t xml:space="preserve">System for connecting users with location specific information from official and unofficial sources </t>
  </si>
  <si>
    <t>US7218941</t>
  </si>
  <si>
    <t xml:space="preserve">Golf ball with soft core </t>
  </si>
  <si>
    <t>US6315684</t>
  </si>
  <si>
    <t xml:space="preserve">BeyondguideTM method and system </t>
  </si>
  <si>
    <t>US2002183072</t>
  </si>
  <si>
    <t xml:space="preserve">Human guard enhancing multiple site integrated security system </t>
  </si>
  <si>
    <t>US6894617</t>
  </si>
  <si>
    <t xml:space="preserve">Methods and system for reduced attenuation in tracking objects using RF technology </t>
  </si>
  <si>
    <t>US7561048</t>
  </si>
  <si>
    <t xml:space="preserve">Providing interactive services to enhance information presentation experiences using wireless technologies </t>
  </si>
  <si>
    <t>US2012102409</t>
  </si>
  <si>
    <t xml:space="preserve">Wireless self-help guide system based on WSN technical platform </t>
  </si>
  <si>
    <t>CN101572720</t>
  </si>
  <si>
    <t xml:space="preserve">Method of generating a three-dimensional interactive tour of a geographic location </t>
  </si>
  <si>
    <t>US2008033641</t>
  </si>
  <si>
    <t xml:space="preserve">System and method for authoring and providing information relevant to a physical world </t>
  </si>
  <si>
    <t>US2003155413</t>
  </si>
  <si>
    <t xml:space="preserve">Golf ball </t>
  </si>
  <si>
    <t>US6431999</t>
  </si>
  <si>
    <t xml:space="preserve">Distributed color coordination system </t>
  </si>
  <si>
    <t>US7193632</t>
  </si>
  <si>
    <t xml:space="preserve">Color selection and coordination kiosk and system </t>
  </si>
  <si>
    <t>US7330585</t>
  </si>
  <si>
    <t xml:space="preserve">Storage and transporatation trunk for lighting equipment </t>
  </si>
  <si>
    <t>US5454477</t>
  </si>
  <si>
    <t xml:space="preserve">Interactive real-scene tour simulation system and method of the same </t>
  </si>
  <si>
    <t>US2003212536</t>
  </si>
  <si>
    <t xml:space="preserve">Completing Obligations Associated With Transactions Performed Via Mobile User Platforms Based on Digital Interactive Tickets </t>
  </si>
  <si>
    <t>US2011208418</t>
  </si>
  <si>
    <t xml:space="preserve">Motivation and enhancement of physical and mental exercise, rehabilitation, health and social interaction </t>
  </si>
  <si>
    <t>US8306635</t>
  </si>
  <si>
    <t xml:space="preserve">Anatomically correct bicycle seat </t>
  </si>
  <si>
    <t>US6019423</t>
  </si>
  <si>
    <t xml:space="preserve">Integration of location logs, GPS signals, and spatial resources for identifying user activities, goals, and context </t>
  </si>
  <si>
    <t>US7925995</t>
  </si>
  <si>
    <t xml:space="preserve">System, device, and method for distributing audio signals for an audio/video presentation </t>
  </si>
  <si>
    <t>US8505054</t>
  </si>
  <si>
    <t xml:space="preserve">System and method of three-dimensional image capture and modeling </t>
  </si>
  <si>
    <t>US7474803</t>
  </si>
  <si>
    <t xml:space="preserve">Services and applications for a communications network </t>
  </si>
  <si>
    <t>US2012058775</t>
  </si>
  <si>
    <t xml:space="preserve">Pre-fetching information based on gesture and/or location </t>
  </si>
  <si>
    <t>US2011306304</t>
  </si>
  <si>
    <t xml:space="preserve">System and Method for Creating an Environment and for Sharing a Location Based Experience in an Environment </t>
  </si>
  <si>
    <t>US2013222369</t>
  </si>
  <si>
    <t xml:space="preserve">Location quality of service indicator </t>
  </si>
  <si>
    <t>US2009005061</t>
  </si>
  <si>
    <t xml:space="preserve">Wide area gaming and retail player tracking </t>
  </si>
  <si>
    <t>US2005054439</t>
  </si>
  <si>
    <t xml:space="preserve">System And Method For Injecting Sensed Presence Into Social Networking Applications </t>
  </si>
  <si>
    <t>US2010299615</t>
  </si>
  <si>
    <t xml:space="preserve">Location of a mobile station in a telecommunications system </t>
  </si>
  <si>
    <t>US2003148774</t>
  </si>
  <si>
    <t xml:space="preserve">Location based consumer interface for retail environment </t>
  </si>
  <si>
    <t>US2011178863</t>
  </si>
  <si>
    <t xml:space="preserve">Systems and method for triggering location based voice and/or data communications to or from mobile ratio terminals </t>
  </si>
  <si>
    <t>US2010291907</t>
  </si>
  <si>
    <t xml:space="preserve">Apparatus, Systems and Methods for Targeted Content Delivery </t>
  </si>
  <si>
    <t>US2008235351</t>
  </si>
  <si>
    <t xml:space="preserve">Apparatus and methods for static and semi-static displays </t>
  </si>
  <si>
    <t>US2006020469</t>
  </si>
  <si>
    <t xml:space="preserve">Systems, Methods and Apparatus for Providing a Geotagged Media Experience </t>
  </si>
  <si>
    <t>US2012221687</t>
  </si>
  <si>
    <t xml:space="preserve">Automated Parking Policy Enforcement System </t>
  </si>
  <si>
    <t>US2011099126</t>
  </si>
  <si>
    <t xml:space="preserve">System and Method for Collaborative Shopping, Business and Entertainment </t>
  </si>
  <si>
    <t>US2013215116</t>
  </si>
  <si>
    <t xml:space="preserve">Access control for macrocell to femtocell handover </t>
  </si>
  <si>
    <t>US2010278141</t>
  </si>
  <si>
    <t xml:space="preserve">System and method for collaborative shopping, business and entertainment </t>
  </si>
  <si>
    <t>US2010030578</t>
  </si>
  <si>
    <t xml:space="preserve">Femto-Cell Location by Direct Methods </t>
  </si>
  <si>
    <t>US2010120447</t>
  </si>
  <si>
    <t xml:space="preserve">Regulation of service in restricted telecommunication service area </t>
  </si>
  <si>
    <t>US2011086614</t>
  </si>
  <si>
    <t xml:space="preserve">Location-based promotion for a mobile communication network </t>
  </si>
  <si>
    <t>US2010331016</t>
  </si>
  <si>
    <t xml:space="preserve">Method of collecting information for a geographic database for use with a navigation system </t>
  </si>
  <si>
    <t>US2006002590</t>
  </si>
  <si>
    <t xml:space="preserve">System and methods for providing location based discount retailing </t>
  </si>
  <si>
    <t>US2011313840</t>
  </si>
  <si>
    <t xml:space="preserve">Systems and methods for providing interactive guest resources </t>
  </si>
  <si>
    <t>US2004116115</t>
  </si>
  <si>
    <t xml:space="preserve">Systems and Methods for Storing and Analyzing Golf Data, Including Community and Individual Golf Data Collection and Storage at a Central Hub </t>
  </si>
  <si>
    <t>US2011230986</t>
  </si>
  <si>
    <t xml:space="preserve">Transactional advertising </t>
  </si>
  <si>
    <t>US2009292599</t>
  </si>
  <si>
    <t xml:space="preserve">Location discovery system and method </t>
  </si>
  <si>
    <t>US2010302056</t>
  </si>
  <si>
    <t xml:space="preserve">Contextually intelligent communication systems and processes </t>
  </si>
  <si>
    <t>US2014171039</t>
  </si>
  <si>
    <t>US2011230273</t>
  </si>
  <si>
    <t xml:space="preserve">Method and apparatus for managing location-based transactions </t>
  </si>
  <si>
    <t>US2011313874</t>
  </si>
  <si>
    <t xml:space="preserve">Mobile Device Indoor Navigation </t>
  </si>
  <si>
    <t>US2012214515</t>
  </si>
  <si>
    <t>US2013285855</t>
  </si>
  <si>
    <t xml:space="preserve">Systems and methods for demand aggregation for proposed future items </t>
  </si>
  <si>
    <t>US2009006184</t>
  </si>
  <si>
    <t xml:space="preserve">Geo-location systems and methods </t>
  </si>
  <si>
    <t>US2012271883</t>
  </si>
  <si>
    <t xml:space="preserve">User interactive exercise system </t>
  </si>
  <si>
    <t>US2006229163</t>
  </si>
  <si>
    <t xml:space="preserve">Visual Travel Guide </t>
  </si>
  <si>
    <t>US2009143977</t>
  </si>
  <si>
    <t xml:space="preserve">Method and system for organizing and disseminating information on products featured in entertainment productions </t>
  </si>
  <si>
    <t>US2006020523</t>
  </si>
  <si>
    <t xml:space="preserve">Method and protocol for real time security system </t>
  </si>
  <si>
    <t>US2003206100</t>
  </si>
  <si>
    <t xml:space="preserve">Location based services platform </t>
  </si>
  <si>
    <t>US2009177603</t>
  </si>
  <si>
    <t xml:space="preserve">Systems and Method of Network Operation and Information Processing, Including Data Acquisition, Processing and Provision, Including Data Acquisition, Processing and Provision and/or Interoperability Features </t>
  </si>
  <si>
    <t>US2008262901</t>
  </si>
  <si>
    <t xml:space="preserve">Smart optical sensor (SOS) hardware and software platform </t>
  </si>
  <si>
    <t>US2006072014</t>
  </si>
  <si>
    <t>US2011230274</t>
  </si>
  <si>
    <t xml:space="preserve">Mobile Device Locating In Conjunction With Localized Enviornments </t>
  </si>
  <si>
    <t>US2011081919</t>
  </si>
  <si>
    <t xml:space="preserve">Wireless handheld portabel navigation system and method for visually impaired pedestrians </t>
  </si>
  <si>
    <t>US2003179133</t>
  </si>
  <si>
    <t>US2011230985</t>
  </si>
  <si>
    <t xml:space="preserve">Systems and methods for managing location data and providing a privacy framework </t>
  </si>
  <si>
    <t>US2014059695</t>
  </si>
  <si>
    <t xml:space="preserve">Method and System for Determining Position of Mobile Communication Device Using Ratio Metric </t>
  </si>
  <si>
    <t>US2008261622</t>
  </si>
  <si>
    <t xml:space="preserve">Indoor competitive survey of wireless networks </t>
  </si>
  <si>
    <t>US2010246544</t>
  </si>
  <si>
    <t xml:space="preserve">Methods and systems for zone creation and adaption </t>
  </si>
  <si>
    <t>US2010248640</t>
  </si>
  <si>
    <t>US2016210602</t>
  </si>
  <si>
    <t xml:space="preserve">Method of Operating a Navigation System Using Images </t>
  </si>
  <si>
    <t>US2012059720</t>
  </si>
  <si>
    <t xml:space="preserve">Concurrent Wireless Transmitter Mapping And Mobile Station Positioning </t>
  </si>
  <si>
    <t>US2011059752</t>
  </si>
  <si>
    <t xml:space="preserve">Methods and systems for providing location based services in a venue </t>
  </si>
  <si>
    <t>US2014162693</t>
  </si>
  <si>
    <t xml:space="preserve">Binning Venues Into Categories Based On Propagation Characteristics </t>
  </si>
  <si>
    <t>US2011090123</t>
  </si>
  <si>
    <t xml:space="preserve">Radio model updating </t>
  </si>
  <si>
    <t>US2011246148</t>
  </si>
  <si>
    <t xml:space="preserve">Methods and apparatuses for use in determining that a mobile station is at one or more particular indoor regions </t>
  </si>
  <si>
    <t>US2012028649</t>
  </si>
  <si>
    <t xml:space="preserve">Integrated patient room </t>
  </si>
  <si>
    <t>US2010212087</t>
  </si>
  <si>
    <t xml:space="preserve">Electronically capturing consumer location data for analyzing consumer behavior </t>
  </si>
  <si>
    <t>US2011099047</t>
  </si>
  <si>
    <t xml:space="preserve">Uspa: systems and methods for ems device communication interface </t>
  </si>
  <si>
    <t>US2011172550</t>
  </si>
  <si>
    <t xml:space="preserve">Venue application for mobile station position estimation </t>
  </si>
  <si>
    <t>US2011081918</t>
  </si>
  <si>
    <t xml:space="preserve">Systems and methods for collection, organization and display of ems information </t>
  </si>
  <si>
    <t>US2012191476</t>
  </si>
  <si>
    <t xml:space="preserve">Location relevance processing system and method </t>
  </si>
  <si>
    <t>US2010305855</t>
  </si>
  <si>
    <t xml:space="preserve">Color selection and coordination system </t>
  </si>
  <si>
    <t>US2006001677</t>
  </si>
  <si>
    <t xml:space="preserve">Method and system for classifying one or more images </t>
  </si>
  <si>
    <t>US2012039539</t>
  </si>
  <si>
    <t xml:space="preserve">Indoor likelihood heatmap </t>
  </si>
  <si>
    <t>US2012044265</t>
  </si>
  <si>
    <t xml:space="preserve">Generating and using a location fingerprinting map </t>
  </si>
  <si>
    <t>US2014335893</t>
  </si>
  <si>
    <t>US2011178862</t>
  </si>
  <si>
    <t xml:space="preserve">Method and apparatus for storage and distribution of real estate related data </t>
  </si>
  <si>
    <t>US2006190285</t>
  </si>
  <si>
    <t xml:space="preserve">Computer network-based 3D rendering system </t>
  </si>
  <si>
    <t>US2007188488</t>
  </si>
  <si>
    <t xml:space="preserve">Logo detection for indoor positioning </t>
  </si>
  <si>
    <t>US2013045751</t>
  </si>
  <si>
    <t xml:space="preserve">Mapping wireless signals with motion sensors </t>
  </si>
  <si>
    <t>US2011090081</t>
  </si>
  <si>
    <t xml:space="preserve">Digital Fitness Enhancement Method and Apparatus </t>
  </si>
  <si>
    <t>US2009144080</t>
  </si>
  <si>
    <t xml:space="preserve">Characterizing an indoor structure based on detected movements and/or position locations of a mobile device </t>
  </si>
  <si>
    <t>US2013122935</t>
  </si>
  <si>
    <t xml:space="preserve">Unified communications system and method </t>
  </si>
  <si>
    <t>US2016036962</t>
  </si>
  <si>
    <t xml:space="preserve">Intelligent guider of tourist attractions </t>
  </si>
  <si>
    <t>CN201622814</t>
  </si>
  <si>
    <t>US2011295078</t>
  </si>
  <si>
    <t xml:space="preserve">Computer-implemented method and system for generating and managing customized interactive multiplayer location-based mobile games </t>
  </si>
  <si>
    <t>US2010331089</t>
  </si>
  <si>
    <t xml:space="preserve">Wheelchair lift for transit vehicles having elevated passenger compartment floor </t>
  </si>
  <si>
    <t>US5110252</t>
  </si>
  <si>
    <t>US6612941</t>
  </si>
  <si>
    <t xml:space="preserve">Household intelligent terminal with television (TV) function and management platform system </t>
  </si>
  <si>
    <t>CN102325063</t>
  </si>
  <si>
    <t xml:space="preserve">Non-map-based mobile interface </t>
  </si>
  <si>
    <t>US2012176525</t>
  </si>
  <si>
    <t xml:space="preserve">Method And Apparatus For Transmitting Indoor Context Information </t>
  </si>
  <si>
    <t>US2011086646</t>
  </si>
  <si>
    <t xml:space="preserve">Method, apparatus and system for customizing a building via a virtual environment </t>
  </si>
  <si>
    <t>US2014095122</t>
  </si>
  <si>
    <t xml:space="preserve">Network-based real time registered augmented reality for mobile devices </t>
  </si>
  <si>
    <t>US2013187952</t>
  </si>
  <si>
    <t xml:space="preserve">Personal access point media server </t>
  </si>
  <si>
    <t>US2010165960</t>
  </si>
  <si>
    <t>US6325730</t>
  </si>
  <si>
    <t xml:space="preserve">Multi-functional convertible transport cart </t>
  </si>
  <si>
    <t>US6966574</t>
  </si>
  <si>
    <t xml:space="preserve">Data-driven color coordinator </t>
  </si>
  <si>
    <t>US7230629</t>
  </si>
  <si>
    <t>US5158419</t>
  </si>
  <si>
    <t xml:space="preserve">Femtocell access provisioning based on social network, presence, and user preferences </t>
  </si>
  <si>
    <t>US2012030734</t>
  </si>
  <si>
    <t xml:space="preserve">Generating Three-Dimensional Virtual Tours From Two-Dimensional Images </t>
  </si>
  <si>
    <t>US2012099804</t>
  </si>
  <si>
    <t xml:space="preserve">Web Enabled Three-Dimensional Visualization </t>
  </si>
  <si>
    <t>US2008231630</t>
  </si>
  <si>
    <t xml:space="preserve">Demand aggregation for future items contingent upon threshold demand </t>
  </si>
  <si>
    <t>US2008097826</t>
  </si>
  <si>
    <t xml:space="preserve">Method and apparatus for reducing instructions in an indoor navigation environment </t>
  </si>
  <si>
    <t>US2011137549</t>
  </si>
  <si>
    <t xml:space="preserve">User interface and methods of using in exercise equipment </t>
  </si>
  <si>
    <t>US2009098980</t>
  </si>
  <si>
    <t xml:space="preserve">Contingent rights exchange associated with a social network </t>
  </si>
  <si>
    <t>US2008109296</t>
  </si>
  <si>
    <t xml:space="preserve">System, method and device for providing personalized mobile experiences at multiple locations </t>
  </si>
  <si>
    <t>US2014287779</t>
  </si>
  <si>
    <t xml:space="preserve">Inside-transformer-station daily inspection tour system based on electric power 4G data transmission, and operating method of the same </t>
  </si>
  <si>
    <t>CN107846078</t>
  </si>
  <si>
    <t xml:space="preserve">Trackless vehicle and system for synchronous control of trackless vehicle </t>
  </si>
  <si>
    <t>CN105377385</t>
  </si>
  <si>
    <t xml:space="preserve">Node and methods therein for enhanced positioning with complementary positioning information </t>
  </si>
  <si>
    <t>US2013033999</t>
  </si>
  <si>
    <t xml:space="preserve">Systems and methods for ems device communication interface </t>
  </si>
  <si>
    <t>US2013096649</t>
  </si>
  <si>
    <t xml:space="preserve">System and method for adaptive use of geofence parameters </t>
  </si>
  <si>
    <t>US2014337123</t>
  </si>
  <si>
    <t xml:space="preserve">Systems and Methods of Network Operation and Information Processing, Including Data Acquisition, Processing and Provision and/or Interoperability Features </t>
  </si>
  <si>
    <t>US2008263633</t>
  </si>
  <si>
    <t xml:space="preserve">Femto cell visitation history for location based services </t>
  </si>
  <si>
    <t>US2010159945</t>
  </si>
  <si>
    <t xml:space="preserve">Automatic travel time and routing determinations in a wireless network </t>
  </si>
  <si>
    <t>US2013110392</t>
  </si>
  <si>
    <t xml:space="preserve">Positioning Devices and Methods in Cellular Communication Systems </t>
  </si>
  <si>
    <t>US2012214512</t>
  </si>
  <si>
    <t xml:space="preserve">Method and apparatus for determining camera location information and/or camera pose information according to a global coordinate system </t>
  </si>
  <si>
    <t>US2014300775</t>
  </si>
  <si>
    <t xml:space="preserve">Client access to mobile location services </t>
  </si>
  <si>
    <t>US2014274136</t>
  </si>
  <si>
    <t xml:space="preserve">Mobile computing services based on devices with dynamic direction information </t>
  </si>
  <si>
    <t>US2009315776</t>
  </si>
  <si>
    <t xml:space="preserve">Interactive information, wayfinding and message targeting devices, systems and methods </t>
  </si>
  <si>
    <t>US2015154643</t>
  </si>
  <si>
    <t xml:space="preserve">System and methods for initiating, maintaining, and delivering personalized information by communication server </t>
  </si>
  <si>
    <t>US2008268823</t>
  </si>
  <si>
    <t xml:space="preserve">Virtual digital imaging and method of using the same in real estate </t>
  </si>
  <si>
    <t>US2005273354</t>
  </si>
  <si>
    <t xml:space="preserve">Systems, Methods and Software for Redirecting Blind Travelers Using Dynamic Wayfinding Orientation and Wayfinding Data </t>
  </si>
  <si>
    <t>US2015330787</t>
  </si>
  <si>
    <t xml:space="preserve">System and an apparatus for confining a pet within a preselected area </t>
  </si>
  <si>
    <t>US6578528</t>
  </si>
  <si>
    <t xml:space="preserve">Method and system for organizing data relating to a home </t>
  </si>
  <si>
    <t>US2005267900</t>
  </si>
  <si>
    <t xml:space="preserve">Augmented reality interface for video </t>
  </si>
  <si>
    <t>US2012113142</t>
  </si>
  <si>
    <t xml:space="preserve">Position estimation via proximate fingerprints </t>
  </si>
  <si>
    <t>US2013079033</t>
  </si>
  <si>
    <t>US2014274135</t>
  </si>
  <si>
    <t xml:space="preserve">Methods and systems for enhanced round trip time (rtt) exchange </t>
  </si>
  <si>
    <t>US2014355461</t>
  </si>
  <si>
    <t xml:space="preserve">Adjusting a process for visit detection based on location data </t>
  </si>
  <si>
    <t>US2012330722</t>
  </si>
  <si>
    <t xml:space="preserve">Determined rights and forward obligations for future items </t>
  </si>
  <si>
    <t>US2008103878</t>
  </si>
  <si>
    <t xml:space="preserve">Demand aggregation for future item planning contingent upon threshold demand </t>
  </si>
  <si>
    <t>US2008097827</t>
  </si>
  <si>
    <t xml:space="preserve">Utilizing a reference signal for indoor positioning </t>
  </si>
  <si>
    <t>US2015133173</t>
  </si>
  <si>
    <t xml:space="preserve">Method for providing network-based measurements for user equipment-based positioning </t>
  </si>
  <si>
    <t>US2012258733</t>
  </si>
  <si>
    <t xml:space="preserve">Contingent event rights relating to team location </t>
  </si>
  <si>
    <t>US2009070249</t>
  </si>
  <si>
    <t xml:space="preserve">System for automatically creating a context information providing configuration </t>
  </si>
  <si>
    <t>US7269650</t>
  </si>
  <si>
    <t xml:space="preserve">Web-based music partner systems and methods </t>
  </si>
  <si>
    <t>US2013024880</t>
  </si>
  <si>
    <t xml:space="preserve">Contingent purchase rights associated with consumer products </t>
  </si>
  <si>
    <t>US2008243532</t>
  </si>
  <si>
    <t xml:space="preserve">Methods and Systems for Enhanced Round Trip Time (RTT) Exchange </t>
  </si>
  <si>
    <t>US2014160959</t>
  </si>
  <si>
    <t xml:space="preserve">Wheelchair lift assembly having a compact stowed profile </t>
  </si>
  <si>
    <t>US7326024</t>
  </si>
  <si>
    <t xml:space="preserve">System and method for providing a directional interface </t>
  </si>
  <si>
    <t>US2013290909</t>
  </si>
  <si>
    <t xml:space="preserve">Integrated rights marketplace systems and methods </t>
  </si>
  <si>
    <t>US2008082355</t>
  </si>
  <si>
    <t xml:space="preserve">Portable self-contained alarm system </t>
  </si>
  <si>
    <t>US2009289790</t>
  </si>
  <si>
    <t xml:space="preserve">Method for switching indoor ultra wide band (UWB) location and outdoor global position system (GPS) location </t>
  </si>
  <si>
    <t>CN102645666</t>
  </si>
  <si>
    <t xml:space="preserve">Intelligent home information management system </t>
  </si>
  <si>
    <t>CN101958817</t>
  </si>
  <si>
    <t xml:space="preserve">Network-connected golf game improvement, entertainment and monetization system and method </t>
  </si>
  <si>
    <t>US2011250939</t>
  </si>
  <si>
    <t xml:space="preserve">Indoors lift platform structure </t>
  </si>
  <si>
    <t>CN2663390</t>
  </si>
  <si>
    <t xml:space="preserve">Immersive video </t>
  </si>
  <si>
    <t>WO9631047</t>
  </si>
  <si>
    <t>US1771911</t>
  </si>
  <si>
    <t xml:space="preserve">Image-Based Indoor Position Determination </t>
  </si>
  <si>
    <t>US2014153773</t>
  </si>
  <si>
    <t xml:space="preserve">User interface for navigating through images </t>
  </si>
  <si>
    <t>US2008025646</t>
  </si>
  <si>
    <t xml:space="preserve">Commissioning system for smart buildings </t>
  </si>
  <si>
    <t>US2013109406</t>
  </si>
  <si>
    <t xml:space="preserve">Direction finding and ftm positioning in wireless local area networks </t>
  </si>
  <si>
    <t>US2016366548</t>
  </si>
  <si>
    <t xml:space="preserve">Location specifying system, computer program and location specifying method </t>
  </si>
  <si>
    <t>JP2009229204</t>
  </si>
  <si>
    <t xml:space="preserve">Electronic security system for monitoring and recording activity and data relating to persons </t>
  </si>
  <si>
    <t>CN1833397</t>
  </si>
  <si>
    <t xml:space="preserve">Indoor positioning method based on inertial navigation system and WIFI (wireless fidelity) </t>
  </si>
  <si>
    <t>CN102419180</t>
  </si>
  <si>
    <t xml:space="preserve">Digital globe antetype system </t>
  </si>
  <si>
    <t>CN101110079</t>
  </si>
  <si>
    <t>US6413172</t>
  </si>
  <si>
    <t xml:space="preserve">Internet of things intelligent home system and method </t>
  </si>
  <si>
    <t>CN102546324</t>
  </si>
  <si>
    <t xml:space="preserve">Information pushing system of WiFi (wireless fidelity) terminal and implementation method thereof </t>
  </si>
  <si>
    <t>CN103402177</t>
  </si>
  <si>
    <t xml:space="preserve">Techniques for determining actual and/or near states of proximity between mobile devices </t>
  </si>
  <si>
    <t>US2014162688</t>
  </si>
  <si>
    <t xml:space="preserve">Method and/or apparatus for location context identifier disambiguation </t>
  </si>
  <si>
    <t>US2013101163</t>
  </si>
  <si>
    <t xml:space="preserve">Visual localization and obstacle avoidance method and system for unmanned plane </t>
  </si>
  <si>
    <t>CN102707724</t>
  </si>
  <si>
    <t xml:space="preserve">System and method for enhanced training using a virtual reality environment and bio-signal data </t>
  </si>
  <si>
    <t>US2016077547</t>
  </si>
  <si>
    <t xml:space="preserve">Systems, methods and apparatus for light enabled indoor positioning and reporting </t>
  </si>
  <si>
    <t>US2016127875</t>
  </si>
  <si>
    <t xml:space="preserve">Intelligent household information management system </t>
  </si>
  <si>
    <t>CN101557332</t>
  </si>
  <si>
    <t xml:space="preserve">Distributed three-dimensional simulation training system for regional power system transformer station </t>
  </si>
  <si>
    <t>CN101894488</t>
  </si>
  <si>
    <t xml:space="preserve">Online exhibition platform system constructed by using panoramic electronic map and construction method thereof </t>
  </si>
  <si>
    <t>CN101763607</t>
  </si>
  <si>
    <t xml:space="preserve">Space fusing device and application devices adapting the same </t>
  </si>
  <si>
    <t>JP2000207575</t>
  </si>
  <si>
    <t xml:space="preserve">Method for realizing interactive three-dimensional virtual city e-commerce platform </t>
  </si>
  <si>
    <t>CN101739633</t>
  </si>
  <si>
    <t xml:space="preserve">Indoor location signalling via light fittings </t>
  </si>
  <si>
    <t>US2015153160</t>
  </si>
  <si>
    <t xml:space="preserve">Venue platform </t>
  </si>
  <si>
    <t>US2010182436</t>
  </si>
  <si>
    <t xml:space="preserve">Discovering and automatically sizing a place of relevance </t>
  </si>
  <si>
    <t>US2013080457</t>
  </si>
  <si>
    <t xml:space="preserve">Techniques for providing retail customers a seamless, individualized discovery and shopping experience </t>
  </si>
  <si>
    <t>US2015112826</t>
  </si>
  <si>
    <t xml:space="preserve">Fingerprinting with Radio Channel Related Information </t>
  </si>
  <si>
    <t>US2013109405</t>
  </si>
  <si>
    <t xml:space="preserve">Apparatus, system and method of estimating a location of a mobile device </t>
  </si>
  <si>
    <t>US2015181553</t>
  </si>
  <si>
    <t xml:space="preserve">Virtual badge, device and method </t>
  </si>
  <si>
    <t>US2013218931</t>
  </si>
  <si>
    <t xml:space="preserve">Preparation method for the virtual reality of high fidelity sports and fitness equipment and interactive system and method based on the virtual reality </t>
  </si>
  <si>
    <t>US2011164044</t>
  </si>
  <si>
    <t xml:space="preserve">Surveillance camera with integral large-domain sensor </t>
  </si>
  <si>
    <t>US2012206604</t>
  </si>
  <si>
    <t xml:space="preserve">Adaptive assistance data for tiered service and efficiency in indoor positioning </t>
  </si>
  <si>
    <t>US2014256346</t>
  </si>
  <si>
    <t>US2015262208</t>
  </si>
  <si>
    <t xml:space="preserve">Multifunctional home network system using ubiquitous computing </t>
  </si>
  <si>
    <t>US2012221713</t>
  </si>
  <si>
    <t xml:space="preserve">Trip motion simulator </t>
  </si>
  <si>
    <t>US4303236</t>
  </si>
  <si>
    <t xml:space="preserve">Monetizing a social network platform </t>
  </si>
  <si>
    <t>US2009222322</t>
  </si>
  <si>
    <t xml:space="preserve">Image display system in train </t>
  </si>
  <si>
    <t>JP2001312238</t>
  </si>
  <si>
    <t xml:space="preserve">Intelligent remote control locking method and apparatus for preventing electric misoperation </t>
  </si>
  <si>
    <t>CN101013635</t>
  </si>
  <si>
    <t xml:space="preserve">Self-service voice tour-guiding system and triggering method thereof </t>
  </si>
  <si>
    <t>CN103150981</t>
  </si>
  <si>
    <t xml:space="preserve">Portable wheelchair lift </t>
  </si>
  <si>
    <t>US2006182581</t>
  </si>
  <si>
    <t xml:space="preserve">Personalized position using information correlation and self-sourcing </t>
  </si>
  <si>
    <t>US2013267251</t>
  </si>
  <si>
    <t xml:space="preserve">System and methods for proposing future items contingent upon threshold demand </t>
  </si>
  <si>
    <t>US2008097825</t>
  </si>
  <si>
    <t xml:space="preserve">Contingent rights relating to a weather phenomenon </t>
  </si>
  <si>
    <t>US2008103920</t>
  </si>
  <si>
    <t xml:space="preserve">Dynamic system for a stationary bicycle </t>
  </si>
  <si>
    <t>US7438672</t>
  </si>
  <si>
    <t xml:space="preserve">Contingent rights exchange relating to non-post season sporting events </t>
  </si>
  <si>
    <t>US2008109345</t>
  </si>
  <si>
    <t xml:space="preserve">Determining configuration for, and location of, wireless or wired network equipment </t>
  </si>
  <si>
    <t>WO2004066077</t>
  </si>
  <si>
    <t xml:space="preserve">Task Completion Tracking and Management System </t>
  </si>
  <si>
    <t>US2013073343</t>
  </si>
  <si>
    <t>US2013048720</t>
  </si>
  <si>
    <t xml:space="preserve">Rights exchange user interface </t>
  </si>
  <si>
    <t>US2008109322</t>
  </si>
  <si>
    <t xml:space="preserve">Creating real-time association interaction throughout digital media </t>
  </si>
  <si>
    <t>US2014280267</t>
  </si>
  <si>
    <t xml:space="preserve">Contingent travel rights exchange </t>
  </si>
  <si>
    <t>US2008103801</t>
  </si>
  <si>
    <t xml:space="preserve">Contingent forward rights exchange </t>
  </si>
  <si>
    <t>US2008109321</t>
  </si>
  <si>
    <t xml:space="preserve">Device and method of improving the perceptual luminance nonlinearity - based image data exchange across different display capabilities </t>
  </si>
  <si>
    <t>WO2013086169</t>
  </si>
  <si>
    <t xml:space="preserve">System and method for distributing virtual and augmented reality scenes through a social network </t>
  </si>
  <si>
    <t>US2012246223</t>
  </si>
  <si>
    <t xml:space="preserve">Bicycle frame with channel member </t>
  </si>
  <si>
    <t>US5211415</t>
  </si>
  <si>
    <t xml:space="preserve">Transformer substation assisting management system and method </t>
  </si>
  <si>
    <t>CN102591275</t>
  </si>
  <si>
    <t xml:space="preserve">Associating media channels with a contingent rights exchange </t>
  </si>
  <si>
    <t>US2008109323</t>
  </si>
  <si>
    <t xml:space="preserve">Rearrangeable interconnectable system for handicap ramps and platforms </t>
  </si>
  <si>
    <t>US2009255066</t>
  </si>
  <si>
    <t xml:space="preserve">Method and apparatus for managing a camera network </t>
  </si>
  <si>
    <t>US2013093897</t>
  </si>
  <si>
    <t xml:space="preserve">Universal virtual environment roaming engine computer system </t>
  </si>
  <si>
    <t>CN1414496</t>
  </si>
  <si>
    <t xml:space="preserve">Intelligent auxiliary real-time monitoring system of iSaSCADA transformer substation </t>
  </si>
  <si>
    <t>CN102789223</t>
  </si>
  <si>
    <t xml:space="preserve">Management system of protection of security </t>
  </si>
  <si>
    <t>CN1873683</t>
  </si>
  <si>
    <t xml:space="preserve">Context-based parameter maps for position determination </t>
  </si>
  <si>
    <t>US2014187258</t>
  </si>
  <si>
    <t>US6612940</t>
  </si>
  <si>
    <t xml:space="preserve">Contingent rights exchange relating to music production </t>
  </si>
  <si>
    <t>US2008103802</t>
  </si>
  <si>
    <t xml:space="preserve">Secondary market for contingent rights exchange </t>
  </si>
  <si>
    <t>US2008109234</t>
  </si>
  <si>
    <t xml:space="preserve">Manufacturing method for full-factor real-tridimensional large scale numerical map </t>
  </si>
  <si>
    <t>CN101763658</t>
  </si>
  <si>
    <t xml:space="preserve">Femtocell automatic speed test </t>
  </si>
  <si>
    <t>US2012076016</t>
  </si>
  <si>
    <t xml:space="preserve">Intermittent tracking for gnss </t>
  </si>
  <si>
    <t>US2011309976</t>
  </si>
  <si>
    <t xml:space="preserve">GPS pathfinder cell phone and method </t>
  </si>
  <si>
    <t>US8930458</t>
  </si>
  <si>
    <t xml:space="preserve">System and/or method of locating a portable service access transceiver </t>
  </si>
  <si>
    <t>US2014162589</t>
  </si>
  <si>
    <t xml:space="preserve">Techniques for faster time-to-first-fix </t>
  </si>
  <si>
    <t>US2014094199</t>
  </si>
  <si>
    <t xml:space="preserve">Intelligent auxiliary comprehensive monitoring and D5000 comprehensive linkage platform of transformer substation </t>
  </si>
  <si>
    <t>CN104052151</t>
  </si>
  <si>
    <t xml:space="preserve">Experience sharing system and method </t>
  </si>
  <si>
    <t>US2013198277</t>
  </si>
  <si>
    <t xml:space="preserve">Determining positioning of wireless terminal in telecommunications network </t>
  </si>
  <si>
    <t>US2010117898</t>
  </si>
  <si>
    <t xml:space="preserve">Chat-based support of communications and related functions </t>
  </si>
  <si>
    <t>US2016021038</t>
  </si>
  <si>
    <t xml:space="preserve">Atmospheric lapse rate cooling system </t>
  </si>
  <si>
    <t>US2012031119</t>
  </si>
  <si>
    <t xml:space="preserve">Community management system equipment </t>
  </si>
  <si>
    <t>CN201365259</t>
  </si>
  <si>
    <t xml:space="preserve">System and method for cell phone targeting and tracking </t>
  </si>
  <si>
    <t>US2013115969</t>
  </si>
  <si>
    <t xml:space="preserve">Putting practice device </t>
  </si>
  <si>
    <t>US5690557</t>
  </si>
  <si>
    <t xml:space="preserve">Rapidly deployable stage system </t>
  </si>
  <si>
    <t>US2012272584</t>
  </si>
  <si>
    <t xml:space="preserve">Contingent rights exchange relating to a private event, good or service </t>
  </si>
  <si>
    <t>US2008109233</t>
  </si>
  <si>
    <t xml:space="preserve">Method for running three-dimensional image data </t>
  </si>
  <si>
    <t>JP2001285894</t>
  </si>
  <si>
    <t xml:space="preserve">Computer-Aided Decision Systems </t>
  </si>
  <si>
    <t>US2015012467</t>
  </si>
  <si>
    <t xml:space="preserve">Property proximate interactive sales kiosk </t>
  </si>
  <si>
    <t>US2007118437</t>
  </si>
  <si>
    <t xml:space="preserve">Contingent event rights relating to an event participant </t>
  </si>
  <si>
    <t>US2008103803</t>
  </si>
  <si>
    <t xml:space="preserve">Methods for treating spine pathologies </t>
  </si>
  <si>
    <t>WO2013084213</t>
  </si>
  <si>
    <t xml:space="preserve">Platform system for stereo city viaduct steel network </t>
  </si>
  <si>
    <t>CN1277122</t>
  </si>
  <si>
    <t>US8903852</t>
  </si>
  <si>
    <t>US8832191</t>
  </si>
  <si>
    <t xml:space="preserve">Group identification (GID) system with global ubiquitous communication function and terminal identity recognition method thereof </t>
  </si>
  <si>
    <t>CN102685249</t>
  </si>
  <si>
    <t xml:space="preserve">System for providing information to users sharing a nomadic experience </t>
  </si>
  <si>
    <t>US2008320084</t>
  </si>
  <si>
    <t xml:space="preserve">Platform screen door </t>
  </si>
  <si>
    <t>KR200359711</t>
  </si>
  <si>
    <t xml:space="preserve">Limiting access to information corresponding to a context </t>
  </si>
  <si>
    <t>US2005120200</t>
  </si>
  <si>
    <t xml:space="preserve">Automated handling of a package delivery at a smart-home </t>
  </si>
  <si>
    <t>US2015120015</t>
  </si>
  <si>
    <t xml:space="preserve">System and method of automated gunshot emergency response system </t>
  </si>
  <si>
    <t>US2016232774</t>
  </si>
  <si>
    <t xml:space="preserve">Methods, apparatuses, and devices for generating maps on a mobile device </t>
  </si>
  <si>
    <t>US2015095350</t>
  </si>
  <si>
    <t xml:space="preserve">Radio Beacon for Direction Detection </t>
  </si>
  <si>
    <t>US2017079001</t>
  </si>
  <si>
    <t xml:space="preserve">Method of and system for determining the delay of digital signals </t>
  </si>
  <si>
    <t>US2005276318</t>
  </si>
  <si>
    <t xml:space="preserve">Methods and systems for pricing contingent rights </t>
  </si>
  <si>
    <t>US2008109297</t>
  </si>
  <si>
    <t xml:space="preserve">Ground walking test system of lunar surface inspection device </t>
  </si>
  <si>
    <t>CN102564784</t>
  </si>
  <si>
    <t xml:space="preserve">SYSTEM FOR TOTAL TOURISM SERVICE USING MOBIL DEVICE OF IoT DEVICES IN INTERNET OF THINGS AND METHOD THEREOF </t>
  </si>
  <si>
    <t>KR20160104230</t>
  </si>
  <si>
    <t xml:space="preserve">Network intelligent tour guiding system </t>
  </si>
  <si>
    <t>CN202634473</t>
  </si>
  <si>
    <t xml:space="preserve">Watthour meter </t>
  </si>
  <si>
    <t>JP2001028093</t>
  </si>
  <si>
    <t xml:space="preserve">System for publishing public space traffic guide information </t>
  </si>
  <si>
    <t>CN101374177</t>
  </si>
  <si>
    <t>US8832127</t>
  </si>
  <si>
    <t>US8825083</t>
  </si>
  <si>
    <t xml:space="preserve">Method of providing brand promotion via mobile terminal and the system thereof </t>
  </si>
  <si>
    <t>US2012035993</t>
  </si>
  <si>
    <t xml:space="preserve">Gps pathfinder cell phone and method </t>
  </si>
  <si>
    <t>WO2013188762</t>
  </si>
  <si>
    <t xml:space="preserve">Contingent consumer product rights exchange </t>
  </si>
  <si>
    <t>US2008103919</t>
  </si>
  <si>
    <t xml:space="preserve">Tourist guide information service system and method </t>
  </si>
  <si>
    <t>CN1794771</t>
  </si>
  <si>
    <t>US8832062</t>
  </si>
  <si>
    <t xml:space="preserve">Novel outdoor augmented reality label-free tracking registration algorithm </t>
  </si>
  <si>
    <t>CN101976461</t>
  </si>
  <si>
    <t xml:space="preserve">Apparatus and method for providing broadcast contents in internet broadcast system </t>
  </si>
  <si>
    <t>US2009271837</t>
  </si>
  <si>
    <t xml:space="preserve">Distributed Acoustic Conversation Shielding System </t>
  </si>
  <si>
    <t>US2009097671</t>
  </si>
  <si>
    <t xml:space="preserve">Method and apparatus for presenting ecommerce offerings using seamless panoramic streaming of video data </t>
  </si>
  <si>
    <t>US2007186238</t>
  </si>
  <si>
    <t xml:space="preserve">System and method for supply chain and relationship mapping </t>
  </si>
  <si>
    <t>US2011218885</t>
  </si>
  <si>
    <t xml:space="preserve">In-building location security and privacy </t>
  </si>
  <si>
    <t>US2015024782</t>
  </si>
  <si>
    <t xml:space="preserve">Data network and system </t>
  </si>
  <si>
    <t>CN101610190</t>
  </si>
  <si>
    <t xml:space="preserve">Femto cell visitation history for automatic location area code planning </t>
  </si>
  <si>
    <t>US2010136984</t>
  </si>
  <si>
    <t xml:space="preserve">Vector mode data transmission system and method based on assisted localization technology of sensing components </t>
  </si>
  <si>
    <t>CN102065065</t>
  </si>
  <si>
    <t xml:space="preserve">Rapidly deployable buggies for a stage system </t>
  </si>
  <si>
    <t>US2012272585</t>
  </si>
  <si>
    <t>US8812528</t>
  </si>
  <si>
    <t xml:space="preserve">Indoor position location using docked mobile devices </t>
  </si>
  <si>
    <t>US2015087330</t>
  </si>
  <si>
    <t xml:space="preserve">Navigation device, navigation system, navigation server, navigation method and program </t>
  </si>
  <si>
    <t>JP2012174165</t>
  </si>
  <si>
    <t xml:space="preserve">Long-distance field installation and ticket advance sale method </t>
  </si>
  <si>
    <t>CN1609870</t>
  </si>
  <si>
    <t xml:space="preserve">Access control system, access control method and cloud service platform </t>
  </si>
  <si>
    <t>CN104966340</t>
  </si>
  <si>
    <t xml:space="preserve">Method and System for Plotting a User's Position on a Display </t>
  </si>
  <si>
    <t>US2010131192</t>
  </si>
  <si>
    <t>WO2008028188</t>
  </si>
  <si>
    <t xml:space="preserve">GPS Pathfinder Cell Phone And Method </t>
  </si>
  <si>
    <t>US2012317202</t>
  </si>
  <si>
    <t xml:space="preserve">Method and a system for generating a custom itinerary according to user specifications </t>
  </si>
  <si>
    <t>US8082186</t>
  </si>
  <si>
    <t xml:space="preserve">System and method for monitoring indoor environment of apartment for aged people </t>
  </si>
  <si>
    <t>CN104656530</t>
  </si>
  <si>
    <t>US2014162683</t>
  </si>
  <si>
    <t xml:space="preserve">City regional railway signal system and control method thereof </t>
  </si>
  <si>
    <t>CN103754242</t>
  </si>
  <si>
    <t xml:space="preserve">Bidirectionally interacive multimedia service system for electrically renting or selling house and building space </t>
  </si>
  <si>
    <t>CN1330335</t>
  </si>
  <si>
    <t xml:space="preserve">Global automobile wisdom perception and unified identification system based on group identification (GID) </t>
  </si>
  <si>
    <t>CN102752367</t>
  </si>
  <si>
    <t xml:space="preserve">Vehicle with electric motor </t>
  </si>
  <si>
    <t>WO0236419</t>
  </si>
  <si>
    <t xml:space="preserve">Personal portable mobile monitoring and household service platform </t>
  </si>
  <si>
    <t>CN102752577</t>
  </si>
  <si>
    <t xml:space="preserve">Sightseeing tour system via the internet </t>
  </si>
  <si>
    <t>WO2004003852</t>
  </si>
  <si>
    <t xml:space="preserve">System for assembling a load-bearing support structure, and structure assembled with such a system </t>
  </si>
  <si>
    <t>US7707780</t>
  </si>
  <si>
    <t xml:space="preserve">Mobile communication device positioning system and method for enhancing position measurement by self learning algorithm </t>
  </si>
  <si>
    <t>US2009262015</t>
  </si>
  <si>
    <t xml:space="preserve">Device, system and method of controlling access to location sources </t>
  </si>
  <si>
    <t>US2013238857</t>
  </si>
  <si>
    <t xml:space="preserve">Comprehensive electrified education system for teaching of tourism major </t>
  </si>
  <si>
    <t>CN103035136</t>
  </si>
  <si>
    <t xml:space="preserve">Method and apparatus for providing augmented reality tour platform service inside building by using wireless communication device </t>
  </si>
  <si>
    <t>US2013120450</t>
  </si>
  <si>
    <t xml:space="preserve">Campus positioning method based on LBS platform and realization system thereof </t>
  </si>
  <si>
    <t>CN102546816</t>
  </si>
  <si>
    <t xml:space="preserve">A/B/C combined route net and orbit traffic </t>
  </si>
  <si>
    <t>CN101134464</t>
  </si>
  <si>
    <t xml:space="preserve">Method and apparatus for providing a mobile wap server </t>
  </si>
  <si>
    <t>WO0215075</t>
  </si>
  <si>
    <t xml:space="preserve">Indoor fusion positioning system and method based on WiFi and BLUETOOTH </t>
  </si>
  <si>
    <t>CN104837118</t>
  </si>
  <si>
    <t xml:space="preserve">Travel information management device and travel information management method </t>
  </si>
  <si>
    <t>JP2015018545</t>
  </si>
  <si>
    <t xml:space="preserve">Method and system for managing public safety in at least one of unknown, unexpected, unwanted and untimely situations via offering indemnity in conjunction with wearable computing and communications devices </t>
  </si>
  <si>
    <t>US2016330601</t>
  </si>
  <si>
    <t xml:space="preserve">Method and apparatus for selling consumer products </t>
  </si>
  <si>
    <t>US7942461</t>
  </si>
  <si>
    <t xml:space="preserve">System for referring to and/or embedding posts within other post and posts within any part of another post </t>
  </si>
  <si>
    <t>US2015242525</t>
  </si>
  <si>
    <t xml:space="preserve">Mobile tourism services translation </t>
  </si>
  <si>
    <t>WO2014001937</t>
  </si>
  <si>
    <t xml:space="preserve">Automatic position-based guide toy vehicle apparatus </t>
  </si>
  <si>
    <t>US8108091</t>
  </si>
  <si>
    <t xml:space="preserve">Apparatus and method for evaluation of design </t>
  </si>
  <si>
    <t>US8005656</t>
  </si>
  <si>
    <t xml:space="preserve">Offshore combined platform for low-carbon sustainable living and tourism </t>
  </si>
  <si>
    <t>CN106741696</t>
  </si>
  <si>
    <t xml:space="preserve">Multifunctional fitness system based on quadric surface projection technology </t>
  </si>
  <si>
    <t>CN106237588</t>
  </si>
  <si>
    <t xml:space="preserve">Method and apparatus for using tourism guide </t>
  </si>
  <si>
    <t>CN108462732</t>
  </si>
  <si>
    <t xml:space="preserve">Indoor space planning system and method </t>
  </si>
  <si>
    <t>CN106294903</t>
  </si>
  <si>
    <t xml:space="preserve">Aquatic tourist recognition and monitoring platform </t>
  </si>
  <si>
    <t>CN104732726</t>
  </si>
  <si>
    <t xml:space="preserve">Boiler sightsee platform </t>
  </si>
  <si>
    <t>CN201083024</t>
  </si>
  <si>
    <t xml:space="preserve">Safety environmentally friendly tourist submarine </t>
  </si>
  <si>
    <t>CN102530207</t>
  </si>
  <si>
    <t xml:space="preserve">Invention of driverless railway electric car and system design scheme </t>
  </si>
  <si>
    <t>CN101121408</t>
  </si>
  <si>
    <t xml:space="preserve">traffic Management System </t>
  </si>
  <si>
    <t>DE102004040057</t>
  </si>
  <si>
    <t xml:space="preserve">Systems and methods for displaying housing estate landscape data and generating housing estate landscape display data </t>
  </si>
  <si>
    <t>CN102436621</t>
  </si>
  <si>
    <t xml:space="preserve">Multimedia information distribution system and multimedia traveling information distribution system </t>
  </si>
  <si>
    <t>CN1756163</t>
  </si>
  <si>
    <t xml:space="preserve">Floating windmill-electric generating plant </t>
  </si>
  <si>
    <t>RU2173280</t>
  </si>
  <si>
    <t xml:space="preserve">Transformer substation comprehensive monitoring system based on subsystem across linkage and linkage planning </t>
  </si>
  <si>
    <t>CN102801214</t>
  </si>
  <si>
    <t xml:space="preserve">Providing digital content for multiple venues </t>
  </si>
  <si>
    <t>US2016242010</t>
  </si>
  <si>
    <t xml:space="preserve">Techniques for position-based actions using light-based communication </t>
  </si>
  <si>
    <t>WO2015148696</t>
  </si>
  <si>
    <t>CN1349581</t>
  </si>
  <si>
    <t xml:space="preserve">System and method for creating avatars or animated sequences using human body features extracted from a still image </t>
  </si>
  <si>
    <t>US2015042663</t>
  </si>
  <si>
    <t xml:space="preserve">Intelligent assisting real-time monitoring device of iSaSCADA transformer substation </t>
  </si>
  <si>
    <t>CN202795008</t>
  </si>
  <si>
    <t xml:space="preserve">Mobile premises automation platform </t>
  </si>
  <si>
    <t>US2017227965</t>
  </si>
  <si>
    <t xml:space="preserve">bidirectionally interactive multimedia service management system for electronically renting of selling houses and building spaces </t>
  </si>
  <si>
    <t>CN1305172</t>
  </si>
  <si>
    <t xml:space="preserve">Mobile checking management method and system of power assets </t>
  </si>
  <si>
    <t>CN103310300</t>
  </si>
  <si>
    <t xml:space="preserve">Integrated virtual landscape sightseeing device based on somatosensory interaction </t>
  </si>
  <si>
    <t>CN203133746</t>
  </si>
  <si>
    <t xml:space="preserve">Real-time positioning management system </t>
  </si>
  <si>
    <t>CN202204926</t>
  </si>
  <si>
    <t xml:space="preserve">Head mounted display device, control method thereof, and computer program </t>
  </si>
  <si>
    <t>US2016049012</t>
  </si>
  <si>
    <t xml:space="preserve">Method and system for localized information retrieval </t>
  </si>
  <si>
    <t>US2008059562</t>
  </si>
  <si>
    <t xml:space="preserve">Method and apparatus for interacting with potential purchasers of art </t>
  </si>
  <si>
    <t>US2016330580</t>
  </si>
  <si>
    <t xml:space="preserve">Intelligent museum management system </t>
  </si>
  <si>
    <t>CN201780604</t>
  </si>
  <si>
    <t xml:space="preserve">Surveillance Means </t>
  </si>
  <si>
    <t>US2009174769</t>
  </si>
  <si>
    <t xml:space="preserve">Sharing links in an augmented reality environment </t>
  </si>
  <si>
    <t>US9432421</t>
  </si>
  <si>
    <t xml:space="preserve">Intelligent device control and arrangement system and method applied to indoor design </t>
  </si>
  <si>
    <t>CN103823949</t>
  </si>
  <si>
    <t xml:space="preserve">Rail tourist car </t>
  </si>
  <si>
    <t>CN202541538</t>
  </si>
  <si>
    <t xml:space="preserve">Dynamic user-defined check-in points </t>
  </si>
  <si>
    <t>US2017201858</t>
  </si>
  <si>
    <t xml:space="preserve">Intelligent ontology agent-based tourist guiding system </t>
  </si>
  <si>
    <t>WO2007134508</t>
  </si>
  <si>
    <t xml:space="preserve">Full-automatic explanation extender for smart phone </t>
  </si>
  <si>
    <t>CN202798880</t>
  </si>
  <si>
    <t xml:space="preserve">Large -scale sand table visit corridor </t>
  </si>
  <si>
    <t>CN206053428</t>
  </si>
  <si>
    <t xml:space="preserve">Navigation computer system including landmark identifier scanning </t>
  </si>
  <si>
    <t>WO2014172792</t>
  </si>
  <si>
    <t xml:space="preserve">Travel commodity information processing system, travel commodity information processing server, travel commodity information processing method, and program </t>
  </si>
  <si>
    <t>JP2014115778</t>
  </si>
  <si>
    <t xml:space="preserve">Tourist flow pre-warning platform for scenic spot </t>
  </si>
  <si>
    <t>CN204143526</t>
  </si>
  <si>
    <t xml:space="preserve">System and method for configuring, presetting and checking network on-line field </t>
  </si>
  <si>
    <t>CN101610252</t>
  </si>
  <si>
    <t xml:space="preserve">Kinds of indoor UAV navigation device </t>
  </si>
  <si>
    <t>CN207741762</t>
  </si>
  <si>
    <t xml:space="preserve">Digital video system platform machine of talkbacking </t>
  </si>
  <si>
    <t>CN204795367</t>
  </si>
  <si>
    <t xml:space="preserve">High altitude trip line exploration device </t>
  </si>
  <si>
    <t>CN206167833</t>
  </si>
  <si>
    <t xml:space="preserve">Cushion space structure in buildings </t>
  </si>
  <si>
    <t>CN1415829</t>
  </si>
  <si>
    <t xml:space="preserve">Platform for experiencing geotagged media content </t>
  </si>
  <si>
    <t>US2018094939</t>
  </si>
  <si>
    <t xml:space="preserve">Cloud pushing method and system based on positions </t>
  </si>
  <si>
    <t>CN103763116</t>
  </si>
  <si>
    <t xml:space="preserve">Technique and equipment for superconcentrated, suspended culturing of the edible fungi </t>
  </si>
  <si>
    <t>CN85106579</t>
  </si>
  <si>
    <t xml:space="preserve">Hydroplane sporting environment and devices and methods therefor </t>
  </si>
  <si>
    <t>US2008293506</t>
  </si>
  <si>
    <t xml:space="preserve">System for Referring To and/or Embedding Posts, Videos or Digital Media Within Other Posts, Videos or Digital Media and Posts Within Any Part of Another Posts, Videos or Digital Media </t>
  </si>
  <si>
    <t>US2015339303</t>
  </si>
  <si>
    <t xml:space="preserve">Cloud platform-based system for realizing service-business management control </t>
  </si>
  <si>
    <t>CN202939644</t>
  </si>
  <si>
    <t xml:space="preserve">Multi-level control, variable access, multi-user contextual intelligent communication platform </t>
  </si>
  <si>
    <t>US2018288213</t>
  </si>
  <si>
    <t xml:space="preserve">Scenic spot navigation system </t>
  </si>
  <si>
    <t>CN103675877</t>
  </si>
  <si>
    <t xml:space="preserve">Police resource management method and system based on dynamic position service </t>
  </si>
  <si>
    <t>CN101175295</t>
  </si>
  <si>
    <t xml:space="preserve">Vehicular turnover plate translational show cabin </t>
  </si>
  <si>
    <t>CN2685148</t>
  </si>
  <si>
    <t xml:space="preserve">Venue wi-fi direct system </t>
  </si>
  <si>
    <t>US2015081532</t>
  </si>
  <si>
    <t xml:space="preserve">Methods and devices for exploring digital video collections </t>
  </si>
  <si>
    <t>US2015139608</t>
  </si>
  <si>
    <t xml:space="preserve">System and method to provide a real-time live interaction between a celebrity and an audience </t>
  </si>
  <si>
    <t>EP2728541</t>
  </si>
  <si>
    <t xml:space="preserve">Device, system, and method of converting online browsing to offline purchases </t>
  </si>
  <si>
    <t>US2015379618</t>
  </si>
  <si>
    <t xml:space="preserve">System and process for location-based information retrieval </t>
  </si>
  <si>
    <t>US2016029368</t>
  </si>
  <si>
    <t xml:space="preserve">Method and Apparatus for Selling Consumer Products </t>
  </si>
  <si>
    <t>US2013099519</t>
  </si>
  <si>
    <t xml:space="preserve">Paint components of soft cream type which can painting by using trowel tools and manufacturing method thereof </t>
  </si>
  <si>
    <t>KR100811225</t>
  </si>
  <si>
    <t xml:space="preserve">Virtual shopping street application technology based on 3D (three dimensions) </t>
  </si>
  <si>
    <t>CN102402749</t>
  </si>
  <si>
    <t xml:space="preserve">Sortable and Updateable Compilation and Archiving Platform and Uses Thereof </t>
  </si>
  <si>
    <t>US2009313251</t>
  </si>
  <si>
    <t xml:space="preserve">Method of automatic patrolling supervision and method for controlling video camera for monitoring </t>
  </si>
  <si>
    <t>JP2002290789</t>
  </si>
  <si>
    <t xml:space="preserve">Ocean view spherical observation tank </t>
  </si>
  <si>
    <t>CN201411709</t>
  </si>
  <si>
    <t xml:space="preserve">Device is ridden in active simulation of multidimension flight that can walk </t>
  </si>
  <si>
    <t>CN204996141</t>
  </si>
  <si>
    <t xml:space="preserve">The facial animation control method and a 3d game engine based real-time interactive remote lecture system </t>
  </si>
  <si>
    <t>KR20090132914</t>
  </si>
  <si>
    <t xml:space="preserve">Control method based on WSN wireless guide system </t>
  </si>
  <si>
    <t>CN101572721</t>
  </si>
  <si>
    <t xml:space="preserve">Projectile Material Reclamation Platform with Integrated Paper and Digital Targeting Systems </t>
  </si>
  <si>
    <t>US2014070492</t>
  </si>
  <si>
    <t xml:space="preserve">The mammary gland and radio internet or ubiquitous it used the golf enterprise method which it uses and that operation system and store medium </t>
  </si>
  <si>
    <t>KR20060027396</t>
  </si>
  <si>
    <t xml:space="preserve">Transformer station integrated monitoring apparatus based on subsystem-striding linkage and linkage planning </t>
  </si>
  <si>
    <t>CN202721502</t>
  </si>
  <si>
    <t xml:space="preserve">Surveying and measurement methods and devices </t>
  </si>
  <si>
    <t>US2016343140</t>
  </si>
  <si>
    <t xml:space="preserve">Building multi-purpose, multi-building site, the aquarium comprising a group of objects and the shopping destination, biological complex construction, building and construction system aquarium, tank main aquarium, pingvinary, main tank support system aquarium tanks and groups life support system (variants) </t>
  </si>
  <si>
    <t>RU76368</t>
  </si>
  <si>
    <t xml:space="preserve">Method and apparatus for making a virtual movie for use in exploring a site </t>
  </si>
  <si>
    <t>EP1977396</t>
  </si>
  <si>
    <t xml:space="preserve">Service system based on mobile dynamic data engine </t>
  </si>
  <si>
    <t>CN103379426</t>
  </si>
  <si>
    <t xml:space="preserve">Mobile community service method, equipment and facilities for implementing said method </t>
  </si>
  <si>
    <t>CN1495326</t>
  </si>
  <si>
    <t xml:space="preserve">Community service method, equipment and facility having characterized in mobile, chain and welfare </t>
  </si>
  <si>
    <t>CN1593983</t>
  </si>
  <si>
    <t xml:space="preserve">Dynamic riding recreation system </t>
  </si>
  <si>
    <t>CN203874448</t>
  </si>
  <si>
    <t xml:space="preserve">Multifunctional interactive beacon with mobile device interaction </t>
  </si>
  <si>
    <t>US2018160282</t>
  </si>
  <si>
    <t xml:space="preserve">Roof Loser bus for city tours </t>
  </si>
  <si>
    <t>DE102008026800</t>
  </si>
  <si>
    <t xml:space="preserve">Antique tour train </t>
  </si>
  <si>
    <t>CN106515751</t>
  </si>
  <si>
    <t xml:space="preserve">Flying experience and performance display system </t>
  </si>
  <si>
    <t>CN104147782</t>
  </si>
  <si>
    <t xml:space="preserve">Multifunctional building site, comprising a group of objects aquarium and the shopping destination </t>
  </si>
  <si>
    <t>RU63829</t>
  </si>
  <si>
    <t xml:space="preserve">Techniques for creating and presenting media content </t>
  </si>
  <si>
    <t>US2018173388</t>
  </si>
  <si>
    <t xml:space="preserve">Digital content distribution syste, trip service device, information processing device and method therefor </t>
  </si>
  <si>
    <t>CN100444562</t>
  </si>
  <si>
    <t xml:space="preserve">Browsing system for indoor interactive design </t>
  </si>
  <si>
    <t>CN204480176</t>
  </si>
  <si>
    <t xml:space="preserve">Specific route presentation system, server device, terminal device, specific route presentation device, specific route presentation method, and program </t>
  </si>
  <si>
    <t>JP2014016808</t>
  </si>
  <si>
    <t xml:space="preserve">Visual voice man-machine interaction multifunctional man-machine navigation system </t>
  </si>
  <si>
    <t>CN106022992</t>
  </si>
  <si>
    <t xml:space="preserve">Smart city establishing method based on IOL (Internet of Lamp) sensor group and cloud computing </t>
  </si>
  <si>
    <t>CN106127379</t>
  </si>
  <si>
    <t xml:space="preserve">Indoor interactive design visiting system </t>
  </si>
  <si>
    <t>CN106648073</t>
  </si>
  <si>
    <t>CN105759947</t>
  </si>
  <si>
    <t xml:space="preserve">Personnel positioning method and system for smart platform </t>
  </si>
  <si>
    <t>CN106304332</t>
  </si>
  <si>
    <t xml:space="preserve">Method for browsing house interactively in 3D virtual reality and system for the same </t>
  </si>
  <si>
    <t>CN106991723</t>
  </si>
  <si>
    <t xml:space="preserve">Ice and snow and two season amusement castles of planting </t>
  </si>
  <si>
    <t>CN206616928</t>
  </si>
  <si>
    <t xml:space="preserve">Marine combination platform that low carbon sustainability lived in and traveled </t>
  </si>
  <si>
    <t>CN206528597</t>
  </si>
  <si>
    <t xml:space="preserve">Inspection and monitoring method and device for substation and electronic equipment </t>
  </si>
  <si>
    <t>CN107657677</t>
  </si>
  <si>
    <t xml:space="preserve">Virtual reality real estate development and operation method and apparatus </t>
  </si>
  <si>
    <t>CN101482959</t>
  </si>
  <si>
    <t xml:space="preserve">End-to-end situation aware operations solution for customer experience centric businesses </t>
  </si>
  <si>
    <t>US2017221072</t>
  </si>
  <si>
    <t>US2017366488</t>
  </si>
  <si>
    <t xml:space="preserve">System relating to 3d, 360 degree or spherical for refering to and/or embedding posts, videos or digital media within other posts, videos, digital data or digital media and posts within anypart of another posts, videos, digital data or digital media </t>
  </si>
  <si>
    <t>US2017034112</t>
  </si>
  <si>
    <t>CN102801852</t>
  </si>
  <si>
    <t xml:space="preserve">Determining and/or generating a navigation path through a captured three-dimensional model rendered on a device </t>
  </si>
  <si>
    <t>US10030979</t>
  </si>
  <si>
    <t xml:space="preserve">System and method for generating continuous water waves </t>
  </si>
  <si>
    <t>DE102013016307</t>
  </si>
  <si>
    <t xml:space="preserve">Multi-purpose construction facility including seaquarium and group of shopping and entertainment facilities </t>
  </si>
  <si>
    <t>RU2347050</t>
  </si>
  <si>
    <t xml:space="preserve">Providing location specific point of interest and guidance to create visual media rich story </t>
  </si>
  <si>
    <t>WO2018092016</t>
  </si>
  <si>
    <t xml:space="preserve">Information processing system, information processing program, information processing device and information processing method </t>
  </si>
  <si>
    <t>JP2015181019</t>
  </si>
  <si>
    <t xml:space="preserve">Information processing system, information processing method, and information processing program </t>
  </si>
  <si>
    <t>JP2017123182</t>
  </si>
  <si>
    <t xml:space="preserve">Wireless communication switching system and method based on MiWi or ANT+ interoperation technology </t>
  </si>
  <si>
    <t>CN102664963</t>
  </si>
  <si>
    <t xml:space="preserve">Ice and snow and planting two-season entertainment castle </t>
  </si>
  <si>
    <t>CN106917531</t>
  </si>
  <si>
    <t xml:space="preserve">GPS positioning-monitored cruise instrument </t>
  </si>
  <si>
    <t>CN102853838</t>
  </si>
  <si>
    <t xml:space="preserve">Mobile wearable monitoring systems </t>
  </si>
  <si>
    <t>CN107438398</t>
  </si>
  <si>
    <t xml:space="preserve">Combined tourist ship with lifting function </t>
  </si>
  <si>
    <t>CN108100182</t>
  </si>
  <si>
    <t xml:space="preserve">System and Method for Producing and Distributing Information Relevant to Water Events </t>
  </si>
  <si>
    <t>US2018165616</t>
  </si>
  <si>
    <t xml:space="preserve">Container systems for indoor and outdoor exhibition booth of </t>
  </si>
  <si>
    <t>CN103210158</t>
  </si>
  <si>
    <t xml:space="preserve">Famous scenery viewing platform </t>
  </si>
  <si>
    <t>CN2378220</t>
  </si>
  <si>
    <t xml:space="preserve">Dismantled and assembled combination house of honeycomb type wall body </t>
  </si>
  <si>
    <t>CN207296004</t>
  </si>
  <si>
    <t xml:space="preserve">Quadrangle courtyard in the air and quadrangle courtyard complex in the air </t>
  </si>
  <si>
    <t>CN105863301</t>
  </si>
  <si>
    <t xml:space="preserve">Intelligent substation illumination remote control linkage device for inspection tour </t>
  </si>
  <si>
    <t>CN104185348</t>
  </si>
  <si>
    <t xml:space="preserve">Construction method of freshness retaining warehouse and freshness retaining warehouse </t>
  </si>
  <si>
    <t>CN106639405</t>
  </si>
  <si>
    <t xml:space="preserve">Smart community management system based on Internet of things </t>
  </si>
  <si>
    <t>CN106100672</t>
  </si>
  <si>
    <t xml:space="preserve">Wetland Water Quality Monitoring and popular science exhibition platform system </t>
  </si>
  <si>
    <t>CN207779446</t>
  </si>
  <si>
    <t xml:space="preserve">Tourism work of art removes display device </t>
  </si>
  <si>
    <t>CN204908779</t>
  </si>
  <si>
    <t xml:space="preserve">Multi-function membrane flying chamber </t>
  </si>
  <si>
    <t>CN86105947</t>
  </si>
  <si>
    <t xml:space="preserve">Intervene surgical instruments platform </t>
  </si>
  <si>
    <t>CN205649620</t>
  </si>
  <si>
    <t xml:space="preserve">Multifunctional interactive beacon and management system </t>
  </si>
  <si>
    <t>EP3357027</t>
  </si>
  <si>
    <t xml:space="preserve">Cruising apparatus for GPS (global position system) positioning and supervision </t>
  </si>
  <si>
    <t>CN202836576</t>
  </si>
  <si>
    <t xml:space="preserve">Wearable band </t>
  </si>
  <si>
    <t>WO2016123129</t>
  </si>
  <si>
    <t xml:space="preserve">Method and system for providing data by radio </t>
  </si>
  <si>
    <t>JP2002300660</t>
  </si>
  <si>
    <t xml:space="preserve">Dismantled and assembled combination house of mirror surface wall body </t>
  </si>
  <si>
    <t>CN207296003</t>
  </si>
  <si>
    <t xml:space="preserve">Systems and Methods for Cloud-based Data Exchange, Synchronous Interaction, and Generating User Interfaces </t>
  </si>
  <si>
    <t>US2018005329</t>
  </si>
  <si>
    <t xml:space="preserve">Ontology-based travel information recommending method </t>
  </si>
  <si>
    <t>CN106066873</t>
  </si>
  <si>
    <t xml:space="preserve">Communication processing system based on wearable assembly </t>
  </si>
  <si>
    <t>CN206433119</t>
  </si>
  <si>
    <t>GB2538373</t>
  </si>
  <si>
    <t xml:space="preserve">Apparatus and method and hydroplane sport environment </t>
  </si>
  <si>
    <t>JP2010528688</t>
  </si>
  <si>
    <t xml:space="preserve">Combined with a kind of pleasure boat lift function </t>
  </si>
  <si>
    <t>CN207791082</t>
  </si>
  <si>
    <t xml:space="preserve">System and method to provide real-time live interaction between celebrity and audience </t>
  </si>
  <si>
    <t>WO2014087417</t>
  </si>
  <si>
    <t xml:space="preserve">Systems and Methods to Predict Resource Availability </t>
  </si>
  <si>
    <t>US2018033079</t>
  </si>
  <si>
    <t xml:space="preserve">Method and system for facilitating provisioning of social activity data to a mobile device based on user preferences </t>
  </si>
  <si>
    <t>US2018216946</t>
  </si>
  <si>
    <t xml:space="preserve">Shadow show field </t>
  </si>
  <si>
    <t>CN206233646</t>
  </si>
  <si>
    <t xml:space="preserve">Method and system for providing exhibition hall guide information based on indoor positioning technology </t>
  </si>
  <si>
    <t>CN105992149</t>
  </si>
  <si>
    <t xml:space="preserve">Method and apparatus for virtual tour creation in mobile device </t>
  </si>
  <si>
    <t>EP2600347</t>
  </si>
  <si>
    <t xml:space="preserve">Indoor aerial touring device based on remote control </t>
  </si>
  <si>
    <t>CN105161036</t>
  </si>
  <si>
    <t xml:space="preserve">Indoor aerial itinerant exhibition device based on remote control </t>
  </si>
  <si>
    <t>CN205069070</t>
  </si>
  <si>
    <t xml:space="preserve">Museum real-time route guidance method based on mobile terminals </t>
  </si>
  <si>
    <t>CN106052696</t>
  </si>
  <si>
    <t xml:space="preserve">External mobile tourist navigation and guide device and navigation and guide method thereof </t>
  </si>
  <si>
    <t>CN102565829</t>
  </si>
  <si>
    <t xml:space="preserve">Indoor positioning AR navigation system </t>
  </si>
  <si>
    <t>CN203086736</t>
  </si>
  <si>
    <t xml:space="preserve">Accurate navigation system used for guiding indoor mall shopping, exhibition and sightseeing </t>
  </si>
  <si>
    <t>CN101694524</t>
  </si>
  <si>
    <t xml:space="preserve">Media content delivery system and method </t>
  </si>
  <si>
    <t>US2018035261</t>
  </si>
  <si>
    <t xml:space="preserve">Monitoring fitness using a mobile device </t>
  </si>
  <si>
    <t>US2012283855</t>
  </si>
  <si>
    <t>US2012116550</t>
  </si>
  <si>
    <t xml:space="preserve">Indoor map distribution </t>
  </si>
  <si>
    <t>US2012295632</t>
  </si>
  <si>
    <t xml:space="preserve">Method and device for providing scenic spot introduction information for tourist in communication network </t>
  </si>
  <si>
    <t>CN102740222</t>
  </si>
  <si>
    <t xml:space="preserve">Methods and systems for encouraging athletic activity </t>
  </si>
  <si>
    <t>US8597093</t>
  </si>
  <si>
    <t xml:space="preserve">Orientation and navigation for a mobile device using inertial sensors </t>
  </si>
  <si>
    <t>US6975959</t>
  </si>
  <si>
    <t xml:space="preserve">Method and apparatus for determining the position of a mobile communication device using low accuracy clocks </t>
  </si>
  <si>
    <t>US6453168</t>
  </si>
  <si>
    <t>US8090359</t>
  </si>
  <si>
    <t xml:space="preserve">Systems and methods to determine the name of a business location visited by a user of a wireless device and process payments </t>
  </si>
  <si>
    <t>US8566236</t>
  </si>
  <si>
    <t xml:space="preserve">System and method for proactive content delivery by situation location </t>
  </si>
  <si>
    <t>US6731238</t>
  </si>
  <si>
    <t xml:space="preserve">Method and device for creating a network positioning system (NPS) </t>
  </si>
  <si>
    <t>US6449558</t>
  </si>
  <si>
    <t xml:space="preserve">Method and apparatus for providing position profiles in mobile value-added services </t>
  </si>
  <si>
    <t>US8027691</t>
  </si>
  <si>
    <t xml:space="preserve">Mobile systems and methods for responding to natural language speech utterance </t>
  </si>
  <si>
    <t>US7693720</t>
  </si>
  <si>
    <t>US8447607</t>
  </si>
  <si>
    <t xml:space="preserve">Method and apparatus for retrieving information about an object of interest to an observer </t>
  </si>
  <si>
    <t>US6985240</t>
  </si>
  <si>
    <t xml:space="preserve">Method and apparatus for location determination using mini-beacons </t>
  </si>
  <si>
    <t>US7751829</t>
  </si>
  <si>
    <t xml:space="preserve">Exibition operating system for mobile apparatus </t>
  </si>
  <si>
    <t>KR101788143</t>
  </si>
  <si>
    <t xml:space="preserve">Indoor and outdoor mapping and navigation utilizing RF bluetooth beacons </t>
  </si>
  <si>
    <t>US9204257</t>
  </si>
  <si>
    <t xml:space="preserve">Human guard enhancing multiple site security system </t>
  </si>
  <si>
    <t>US8174378</t>
  </si>
  <si>
    <t xml:space="preserve">System and method for tracking the location of multiple mobile radio transceiver units </t>
  </si>
  <si>
    <t>US7340260</t>
  </si>
  <si>
    <t>US2014371887</t>
  </si>
  <si>
    <t xml:space="preserve">Apparatus And Method for Mixed Reality Content Operation Based On Indoor and Outdoor Context Awareness </t>
  </si>
  <si>
    <t>KR101229078</t>
  </si>
  <si>
    <t xml:space="preserve">System and method for authoring and providing information relevant to the physical world </t>
  </si>
  <si>
    <t>US2003024975</t>
  </si>
  <si>
    <t xml:space="preserve">Mobile pet carrier </t>
  </si>
  <si>
    <t>US5113793</t>
  </si>
  <si>
    <t xml:space="preserve">Indoor transformer station track tour-inspection system capable of automatically positioning and grabbing equipment image, host and method </t>
  </si>
  <si>
    <t>CN104299284</t>
  </si>
  <si>
    <t xml:space="preserve">Device for mobile advertisement and body conditioning </t>
  </si>
  <si>
    <t>WO2005018986</t>
  </si>
  <si>
    <t xml:space="preserve">Exhibition hall navigation method and mobile terminal </t>
  </si>
  <si>
    <t>CN105222783</t>
  </si>
  <si>
    <t xml:space="preserve">Monitoring Fitness Using a Mobile Device </t>
  </si>
  <si>
    <t>US2015324751</t>
  </si>
  <si>
    <t>US2014288680</t>
  </si>
  <si>
    <t xml:space="preserve">Indoor guide system of exhibition hall based on visible light communication </t>
  </si>
  <si>
    <t>CN205847276</t>
  </si>
  <si>
    <t xml:space="preserve">Action travel navigation and guide device and navigation and guide method therefor </t>
  </si>
  <si>
    <t>CN102455186</t>
  </si>
  <si>
    <t xml:space="preserve">Indoor positioning method and system based on wireless lan (wlan) received signal strength indication (rssi) value </t>
  </si>
  <si>
    <t>WO2011065784</t>
  </si>
  <si>
    <t xml:space="preserve">Interactive real world event system via computer networks </t>
  </si>
  <si>
    <t>US2003064712</t>
  </si>
  <si>
    <t xml:space="preserve">Interacting real-scene imitating tour apparatus </t>
  </si>
  <si>
    <t>CN2561010</t>
  </si>
  <si>
    <t xml:space="preserve">Method and apparatus for advertising on a mobile gaming device </t>
  </si>
  <si>
    <t>US8688517</t>
  </si>
  <si>
    <t xml:space="preserve">Tour guiding system capable of achieving positioning function based on photo taking </t>
  </si>
  <si>
    <t>CN204314890</t>
  </si>
  <si>
    <t xml:space="preserve">Method and system for communicating location of a mobile device for hands-free payment </t>
  </si>
  <si>
    <t>US8838477</t>
  </si>
  <si>
    <t xml:space="preserve">Methods and apparatus for detection of signal timing </t>
  </si>
  <si>
    <t>US7453961</t>
  </si>
  <si>
    <t xml:space="preserve">Architecture for creating, organizing, editing, management and delivery of locationally-specific information to a user in the field </t>
  </si>
  <si>
    <t>US7652594</t>
  </si>
  <si>
    <t xml:space="preserve">System for position processing and mobile unit device therefor </t>
  </si>
  <si>
    <t>JP2001339754</t>
  </si>
  <si>
    <t xml:space="preserve">Wireless position determination using adjusted round trip time measurements </t>
  </si>
  <si>
    <t>US2010135178</t>
  </si>
  <si>
    <t>US2008139306</t>
  </si>
  <si>
    <t xml:space="preserve">Indoor navigation and information pushing system and method based on LED (light emitting diode) illuminators </t>
  </si>
  <si>
    <t>CN103634377</t>
  </si>
  <si>
    <t xml:space="preserve">System and method of posiion pursuit for interior floating population </t>
  </si>
  <si>
    <t>KR101546028</t>
  </si>
  <si>
    <t xml:space="preserve">Method and apparatus for commercial photography </t>
  </si>
  <si>
    <t>US4771305</t>
  </si>
  <si>
    <t xml:space="preserve">System support for accessing and switching among multiple wireless interfaces on mobile devices </t>
  </si>
  <si>
    <t>US2012140651</t>
  </si>
  <si>
    <t xml:space="preserve">Wireless CPU GPS application </t>
  </si>
  <si>
    <t>US7463188</t>
  </si>
  <si>
    <t xml:space="preserve">Method to promote and distribute multimedia content using radio frequency identification tags </t>
  </si>
  <si>
    <t>US7843334</t>
  </si>
  <si>
    <t xml:space="preserve">System and method for providing indoor navigation and special local base service application for malls stores shopping centers and buildings utilize RF beacons </t>
  </si>
  <si>
    <t>US8866673</t>
  </si>
  <si>
    <t xml:space="preserve">Systems and methods for photograph mapping </t>
  </si>
  <si>
    <t>US2008077597</t>
  </si>
  <si>
    <t xml:space="preserve">Context-based interaction model for mobile devices </t>
  </si>
  <si>
    <t>US2010317371</t>
  </si>
  <si>
    <t xml:space="preserve">Method, apparatus, and system for controlling mobile device use </t>
  </si>
  <si>
    <t>US2009068984</t>
  </si>
  <si>
    <t xml:space="preserve">Location bookmark system and method for creating and using location information </t>
  </si>
  <si>
    <t>US2002035609</t>
  </si>
  <si>
    <t xml:space="preserve">Services based on position location using broadcast digital television signals </t>
  </si>
  <si>
    <t>US2002184653</t>
  </si>
  <si>
    <t xml:space="preserve">System for managing promotions </t>
  </si>
  <si>
    <t>US2008167106</t>
  </si>
  <si>
    <t xml:space="preserve">Method and System for Determining the Position of a Mobile Station </t>
  </si>
  <si>
    <t>US2010271263</t>
  </si>
  <si>
    <t xml:space="preserve">Portable electronic device with proximity-based content synchronization </t>
  </si>
  <si>
    <t>US2010203833</t>
  </si>
  <si>
    <t xml:space="preserve">Indoor position location using delayed scanned directional reflectors </t>
  </si>
  <si>
    <t>US2016054440</t>
  </si>
  <si>
    <t xml:space="preserve">Distributed method and system for determining the position of a mobile device using long-range signals and calibrating the position using short-range signals </t>
  </si>
  <si>
    <t>US2013029685</t>
  </si>
  <si>
    <t xml:space="preserve">Method to modify calibration data used to locate a mobile unit </t>
  </si>
  <si>
    <t>US2008186234</t>
  </si>
  <si>
    <t xml:space="preserve">Providing City Services using Mobile Devices and a Sensor Network </t>
  </si>
  <si>
    <t>US2011143779</t>
  </si>
  <si>
    <t xml:space="preserve">An electronic tourism guiding service system and method </t>
  </si>
  <si>
    <t>CN101106793</t>
  </si>
  <si>
    <t xml:space="preserve">Indoor positioning using pressure sensors </t>
  </si>
  <si>
    <t>US2012072110</t>
  </si>
  <si>
    <t xml:space="preserve">Systems and Methods to Advertise a Physical Business Location with Digital Location-Based Coupons </t>
  </si>
  <si>
    <t>US2012130796</t>
  </si>
  <si>
    <t xml:space="preserve">Photography assistant and method for assisting a user in photographing landmarks and scenes </t>
  </si>
  <si>
    <t>US2011314049</t>
  </si>
  <si>
    <t xml:space="preserve">Real scene interactive simulation touring system and operation process thereof </t>
  </si>
  <si>
    <t>CN1464391</t>
  </si>
  <si>
    <t xml:space="preserve">Method and apparatus for classifying user morphology for efficient use of cell phone system resources </t>
  </si>
  <si>
    <t>US2007049295</t>
  </si>
  <si>
    <t xml:space="preserve">System and method for determining position of mobile communication device by grid-based pattern matching algorithm </t>
  </si>
  <si>
    <t>US2007049286</t>
  </si>
  <si>
    <t xml:space="preserve">Online Games Integrated with Offline Fitness, Environmental, and Other Activities </t>
  </si>
  <si>
    <t>US2010069148</t>
  </si>
  <si>
    <t xml:space="preserve">Scalable Routing For Mobile Station Navigation With Location Context Identifier </t>
  </si>
  <si>
    <t>US2011172906</t>
  </si>
  <si>
    <t xml:space="preserve">Business method and system for communicating public-facility status information through a virtual ticket device </t>
  </si>
  <si>
    <t>US2003069763</t>
  </si>
  <si>
    <t xml:space="preserve">System and method of remote surveillance and applications therefor </t>
  </si>
  <si>
    <t>US2010245582</t>
  </si>
  <si>
    <t xml:space="preserve">Panoramic Mapping Display </t>
  </si>
  <si>
    <t>US2010122208</t>
  </si>
  <si>
    <t xml:space="preserve">Sonic landscape system </t>
  </si>
  <si>
    <t>US2003031334</t>
  </si>
  <si>
    <t xml:space="preserve">Electronic lock box with transponder based communications </t>
  </si>
  <si>
    <t>US2008246587</t>
  </si>
  <si>
    <t xml:space="preserve">Device for round trip time measurements </t>
  </si>
  <si>
    <t>US2011269478</t>
  </si>
  <si>
    <t xml:space="preserve">Enhanced Indoor Localization </t>
  </si>
  <si>
    <t>US2011250904</t>
  </si>
  <si>
    <t xml:space="preserve">Indoor positioning of mobile terminals </t>
  </si>
  <si>
    <t>EP1448008</t>
  </si>
  <si>
    <t xml:space="preserve">Information providing method and apparatus, information display method and mobile terminal, program, and information providing system </t>
  </si>
  <si>
    <t>US2011052083</t>
  </si>
  <si>
    <t xml:space="preserve">Positioning method, central server and intelligent mobile terminal </t>
  </si>
  <si>
    <t>CN104703137</t>
  </si>
  <si>
    <t xml:space="preserve">System for mobile station subassembly and location </t>
  </si>
  <si>
    <t>CN206004905</t>
  </si>
  <si>
    <t xml:space="preserve">User-to-user communication enhancement with augmented reality </t>
  </si>
  <si>
    <t>US2013293584</t>
  </si>
  <si>
    <t xml:space="preserve">Method and system for generating a pictorial reference database using geographical information </t>
  </si>
  <si>
    <t>US2011123120</t>
  </si>
  <si>
    <t xml:space="preserve">Multimode hybrid indoor positioning method </t>
  </si>
  <si>
    <t>CN105527605</t>
  </si>
  <si>
    <t xml:space="preserve">Generation of three-dimensional virtual tour of the two-dimensional image </t>
  </si>
  <si>
    <t>JP2014504384</t>
  </si>
  <si>
    <t>US2012290383</t>
  </si>
  <si>
    <t xml:space="preserve">Guidance information providing apparatus and guidance information providing method </t>
  </si>
  <si>
    <t>JP2014178170</t>
  </si>
  <si>
    <t xml:space="preserve">Hand-held terminal, interactive indoor tour-inspection system and interactive indoor positioning method </t>
  </si>
  <si>
    <t>CN104951722</t>
  </si>
  <si>
    <t xml:space="preserve">Enhancing User Services with Indoor Traffic Information </t>
  </si>
  <si>
    <t>US2015038171</t>
  </si>
  <si>
    <t xml:space="preserve">Virtual visiting system for hotel indoor scene </t>
  </si>
  <si>
    <t>CN107728781</t>
  </si>
  <si>
    <t xml:space="preserve">Method and system for sending location coded images over a wireless network </t>
  </si>
  <si>
    <t>US2004189517</t>
  </si>
  <si>
    <t xml:space="preserve">Method and system for providing location measurement of network based to mobile communication terminal by using g-pcell database </t>
  </si>
  <si>
    <t>US2010062792</t>
  </si>
  <si>
    <t xml:space="preserve">Server device, mobile terminal and positioning mode selecting method </t>
  </si>
  <si>
    <t>US2007279281</t>
  </si>
  <si>
    <t xml:space="preserve">Indoor positioning method, data collection method and system </t>
  </si>
  <si>
    <t>CN102711240</t>
  </si>
  <si>
    <t xml:space="preserve">System and Method For Previewing Indoor Views Using Augmented Reality </t>
  </si>
  <si>
    <t>US2018089869</t>
  </si>
  <si>
    <t xml:space="preserve">A mobile device for indoor location </t>
  </si>
  <si>
    <t>CN207181676</t>
  </si>
  <si>
    <t xml:space="preserve">Scenic spot tourist data analysis system </t>
  </si>
  <si>
    <t>CN106022643</t>
  </si>
  <si>
    <t xml:space="preserve">Method for securely delivering indoor positioning data and applications </t>
  </si>
  <si>
    <t>US2014266585</t>
  </si>
  <si>
    <t xml:space="preserve">Modular Tensile Structure with Integrated Photovoltaic Modules </t>
  </si>
  <si>
    <t>US2011277809</t>
  </si>
  <si>
    <t xml:space="preserve">System for customized games and routes (tours) for cultural and natural heritage </t>
  </si>
  <si>
    <t>WO2017184094</t>
  </si>
  <si>
    <t xml:space="preserve">Management method and system for providing group users with mobile communication service </t>
  </si>
  <si>
    <t>CN101079923</t>
  </si>
  <si>
    <t xml:space="preserve">Mobile view field </t>
  </si>
  <si>
    <t>CN106997223</t>
  </si>
  <si>
    <t xml:space="preserve">Method of locating indoors and matching based on detection of light spots </t>
  </si>
  <si>
    <t>ES2536586</t>
  </si>
  <si>
    <t xml:space="preserve">Exhibition guide apparatus, exhibition media display apparatus, mobile terminal and method for guiding exhibition </t>
  </si>
  <si>
    <t>KR20160087276</t>
  </si>
  <si>
    <t xml:space="preserve">Hands-free augmented reality for wireless communication devices </t>
  </si>
  <si>
    <t>US2013113827</t>
  </si>
  <si>
    <t xml:space="preserve">System and method for mobile device self-location </t>
  </si>
  <si>
    <t>US8369871</t>
  </si>
  <si>
    <t xml:space="preserve">Ordering system by mobile browser terminal </t>
  </si>
  <si>
    <t>JP2002099824</t>
  </si>
  <si>
    <t xml:space="preserve">Indoor positioning system and positioning method for ultrasound radio frequency signal combined processing </t>
  </si>
  <si>
    <t>CN103941231</t>
  </si>
  <si>
    <t xml:space="preserve">Communication system, vehicle information communicating apparatus, and indoor information processing apparatus </t>
  </si>
  <si>
    <t>CN101099306</t>
  </si>
  <si>
    <t xml:space="preserve">Methods For Synchronizing Macro Cell And Small Cell Systems </t>
  </si>
  <si>
    <t>US2012236977</t>
  </si>
  <si>
    <t xml:space="preserve">System and method for tracking positions of objects in space, time as well as tracking their textual evolution </t>
  </si>
  <si>
    <t>US7369681</t>
  </si>
  <si>
    <t xml:space="preserve">Mashup of ap location and map information for wifi based indoor positioning </t>
  </si>
  <si>
    <t>US2013257657</t>
  </si>
  <si>
    <t xml:space="preserve">Communication nodes for use with a wireless ad-hoc communication network </t>
  </si>
  <si>
    <t>US2003134598</t>
  </si>
  <si>
    <t xml:space="preserve">Online games integrated with an online green mall </t>
  </si>
  <si>
    <t>US2011086712</t>
  </si>
  <si>
    <t xml:space="preserve">Apparatus for remote surveillance and applications therefor </t>
  </si>
  <si>
    <t>US2010245583</t>
  </si>
  <si>
    <t xml:space="preserve">Measurement device, insulin infusion device, measurement method, method for controlling insulin infusion device, and program </t>
  </si>
  <si>
    <t>WO2010052849</t>
  </si>
  <si>
    <t xml:space="preserve">Scene Adaptive Auto Exposure </t>
  </si>
  <si>
    <t>US2011293259</t>
  </si>
  <si>
    <t xml:space="preserve">Event Determination From Photos </t>
  </si>
  <si>
    <t>US2012251011</t>
  </si>
  <si>
    <t xml:space="preserve">Positional information detection apparatus and positional information detection method </t>
  </si>
  <si>
    <t>JP2006166421</t>
  </si>
  <si>
    <t xml:space="preserve">Method for seamless mobile user experience between outdoor and indoor maps </t>
  </si>
  <si>
    <t>US2015052460</t>
  </si>
  <si>
    <t xml:space="preserve">Information distribution system, information distribution method and recording medium </t>
  </si>
  <si>
    <t>JP2003233752</t>
  </si>
  <si>
    <t xml:space="preserve">Methods and apparatuses for use in estimating a location of a mobile device within a structure </t>
  </si>
  <si>
    <t>US2012046045</t>
  </si>
  <si>
    <t xml:space="preserve">Method and apparatus for determining the position of a mobile communication device </t>
  </si>
  <si>
    <t>WO02063327</t>
  </si>
  <si>
    <t>CN103716877</t>
  </si>
  <si>
    <t xml:space="preserve">Service based on position recognition using digital television signal for broadcasting </t>
  </si>
  <si>
    <t>JP2004208274</t>
  </si>
  <si>
    <t xml:space="preserve">Universal mobile communication system for wireless and wire line sensor network </t>
  </si>
  <si>
    <t>US2011133908</t>
  </si>
  <si>
    <t xml:space="preserve">Localization system and localization method </t>
  </si>
  <si>
    <t>JP6255085</t>
  </si>
  <si>
    <t xml:space="preserve">Internet System for Connecting Client-Travelers with Geographically-Associated Data </t>
  </si>
  <si>
    <t>US2007083539</t>
  </si>
  <si>
    <t xml:space="preserve">Method to personalize real estate brochures, postcards, books, and photo documents using radio frequency identification tags </t>
  </si>
  <si>
    <t>US2010019482</t>
  </si>
  <si>
    <t xml:space="preserve">GPS intelligent touring inspecting system </t>
  </si>
  <si>
    <t>CN1787014</t>
  </si>
  <si>
    <t xml:space="preserve">Device and method for monitoring, and program </t>
  </si>
  <si>
    <t>JP2009017416</t>
  </si>
  <si>
    <t xml:space="preserve">Context demographic determination system </t>
  </si>
  <si>
    <t>US2014280138</t>
  </si>
  <si>
    <t xml:space="preserve">Information display system </t>
  </si>
  <si>
    <t>JP2006293535</t>
  </si>
  <si>
    <t xml:space="preserve">Method and system for providing social network service with mobile terminal </t>
  </si>
  <si>
    <t>US2012065884</t>
  </si>
  <si>
    <t xml:space="preserve">Indoor navigation control system and method based on LED lighting devices </t>
  </si>
  <si>
    <t>CN103476169</t>
  </si>
  <si>
    <t xml:space="preserve">Indoor positioning using joint likelihoods </t>
  </si>
  <si>
    <t>US8412239</t>
  </si>
  <si>
    <t xml:space="preserve">Position Determination Using Round-Trip Delay and Angle-of-Arrival </t>
  </si>
  <si>
    <t>US2014004877</t>
  </si>
  <si>
    <t xml:space="preserve">Context emotion determination system </t>
  </si>
  <si>
    <t>US2014280529</t>
  </si>
  <si>
    <t xml:space="preserve">System and method for virtual sports competitions and sports centric internet communities </t>
  </si>
  <si>
    <t>WO2008046443</t>
  </si>
  <si>
    <t xml:space="preserve">Positioning and navigation system based on indoor illumination </t>
  </si>
  <si>
    <t>CN102967307</t>
  </si>
  <si>
    <t xml:space="preserve">Location Determination System and Method Using Array Elements for Location Tracking </t>
  </si>
  <si>
    <t>US2013181867</t>
  </si>
  <si>
    <t xml:space="preserve">Wireless automatic navigation system based on visible light communication </t>
  </si>
  <si>
    <t>CN102215068</t>
  </si>
  <si>
    <t xml:space="preserve">Adaptive ofdm transmitter </t>
  </si>
  <si>
    <t>WO0108369</t>
  </si>
  <si>
    <t xml:space="preserve">Communication system, management apparatus, terminal, method, program and data structure </t>
  </si>
  <si>
    <t>JP2008276353</t>
  </si>
  <si>
    <t xml:space="preserve">System and method for bandwidth optimization in data transmission using a surveillance device </t>
  </si>
  <si>
    <t>US2010246669</t>
  </si>
  <si>
    <t xml:space="preserve">Guide system, content server, portable equipment, information processing method, information processing program and storage medium </t>
  </si>
  <si>
    <t>JP2004070598</t>
  </si>
  <si>
    <t xml:space="preserve">Three-dimensional virtual space display device </t>
  </si>
  <si>
    <t>JPH11259672</t>
  </si>
  <si>
    <t xml:space="preserve">System and method for remote surveillance </t>
  </si>
  <si>
    <t>US2009322874</t>
  </si>
  <si>
    <t xml:space="preserve">Cell reselection process for wireless communications </t>
  </si>
  <si>
    <t>CN101637048</t>
  </si>
  <si>
    <t xml:space="preserve">Localization system and method </t>
  </si>
  <si>
    <t>JP2006300918</t>
  </si>
  <si>
    <t xml:space="preserve">Providing city services using mobile devices and a sensor network </t>
  </si>
  <si>
    <t>EP2372627</t>
  </si>
  <si>
    <t xml:space="preserve">Method for Mobile Network Coverage Experience Analysis and Monitoring </t>
  </si>
  <si>
    <t>US2012071157</t>
  </si>
  <si>
    <t xml:space="preserve">System and method for providing remote monitoring services </t>
  </si>
  <si>
    <t>US2010245072</t>
  </si>
  <si>
    <t xml:space="preserve">Position detection method for mobile station, emergency communication system, and crime prevention service system </t>
  </si>
  <si>
    <t>JP2007127584</t>
  </si>
  <si>
    <t xml:space="preserve">System and method for supporting mobile unit connectivity to venue specific servers </t>
  </si>
  <si>
    <t>US8565735</t>
  </si>
  <si>
    <t xml:space="preserve">Device for providing drive information </t>
  </si>
  <si>
    <t>JP2003148986</t>
  </si>
  <si>
    <t xml:space="preserve">Position dependent information service system </t>
  </si>
  <si>
    <t>JPH11252121</t>
  </si>
  <si>
    <t xml:space="preserve">Apparatus and Method for Using Ozone as a Disinfectant </t>
  </si>
  <si>
    <t>US2008213125</t>
  </si>
  <si>
    <t xml:space="preserve">Entertainment information providing system for automobile </t>
  </si>
  <si>
    <t>JP2007212421</t>
  </si>
  <si>
    <t xml:space="preserve">Guide system, contents server, portable device, method and program for processing information, and storage medium </t>
  </si>
  <si>
    <t>JP2004069438</t>
  </si>
  <si>
    <t xml:space="preserve">Integrated interactive multimedia process </t>
  </si>
  <si>
    <t>WO9742601</t>
  </si>
  <si>
    <t xml:space="preserve">Liquidity population estimation system, fluidity population estimation method and fluidity population estimation program </t>
  </si>
  <si>
    <t>JP4364936</t>
  </si>
  <si>
    <t>US2014333412</t>
  </si>
  <si>
    <t xml:space="preserve">Systems and methods for trip planning and marketing trip items </t>
  </si>
  <si>
    <t>US2013268886</t>
  </si>
  <si>
    <t xml:space="preserve">Position information retrieving method, position information retrieving device, position information retrieving terminal and position information retrieving system </t>
  </si>
  <si>
    <t>JP2004191339</t>
  </si>
  <si>
    <t xml:space="preserve">Digital home system device based on triple play </t>
  </si>
  <si>
    <t>CN201674518</t>
  </si>
  <si>
    <t xml:space="preserve">System for information providing, apparatus therefor, mobile terminal and base station </t>
  </si>
  <si>
    <t>JP2002324075</t>
  </si>
  <si>
    <t xml:space="preserve">Mobile station, control station and virtual experience system </t>
  </si>
  <si>
    <t>JP2001189927</t>
  </si>
  <si>
    <t xml:space="preserve">Hybrid multi-camera based positioning </t>
  </si>
  <si>
    <t>US2015023562</t>
  </si>
  <si>
    <t xml:space="preserve">Shopping guiding system for large-scale commercial block </t>
  </si>
  <si>
    <t>CN103886484</t>
  </si>
  <si>
    <t xml:space="preserve">Travel information service system </t>
  </si>
  <si>
    <t>CN102054026</t>
  </si>
  <si>
    <t xml:space="preserve">3D Space Content Visualization System </t>
  </si>
  <si>
    <t>US2015049086</t>
  </si>
  <si>
    <t xml:space="preserve">Device for monitoring mobile object </t>
  </si>
  <si>
    <t>JPH0749952</t>
  </si>
  <si>
    <t xml:space="preserve">Dynamic information source management </t>
  </si>
  <si>
    <t>US2005144343</t>
  </si>
  <si>
    <t xml:space="preserve">Business process oriented navigation </t>
  </si>
  <si>
    <t>US2014018112</t>
  </si>
  <si>
    <t xml:space="preserve">Rfid tour guide terminal assisted positioning </t>
  </si>
  <si>
    <t>CN201616248</t>
  </si>
  <si>
    <t xml:space="preserve">Exhibition guide apparatus, exhibition display apparatus, mobile terminal and method for guiding exhibition </t>
  </si>
  <si>
    <t>KR20160090198</t>
  </si>
  <si>
    <t xml:space="preserve">Manfree multi-language city tour-guide and comment system realizing method </t>
  </si>
  <si>
    <t>CN1980406</t>
  </si>
  <si>
    <t xml:space="preserve">Position measurement system and position measurement method </t>
  </si>
  <si>
    <t>JP2006266859</t>
  </si>
  <si>
    <t xml:space="preserve">Interactive rail car of amusement park </t>
  </si>
  <si>
    <t>CN202715234</t>
  </si>
  <si>
    <t xml:space="preserve">Mobile electronic device and method for superposing detected weather data into an image </t>
  </si>
  <si>
    <t>KR100795044</t>
  </si>
  <si>
    <t xml:space="preserve">Meteorological information acquisition system utilizing mobile telephone </t>
  </si>
  <si>
    <t>JP2003329779</t>
  </si>
  <si>
    <t xml:space="preserve">An exhibition guide system in an exhibition center and the method thereof </t>
  </si>
  <si>
    <t>KR101510623</t>
  </si>
  <si>
    <t xml:space="preserve">Vision testing system </t>
  </si>
  <si>
    <t>CN1438852</t>
  </si>
  <si>
    <t xml:space="preserve">Navigation method and device </t>
  </si>
  <si>
    <t>CN102192742</t>
  </si>
  <si>
    <t xml:space="preserve">System and method of location awareness with ultrasonic </t>
  </si>
  <si>
    <t>KR20060042579</t>
  </si>
  <si>
    <t xml:space="preserve">Information processing system, digital photo-frame, program, and information storage medium </t>
  </si>
  <si>
    <t>JP2010072818</t>
  </si>
  <si>
    <t xml:space="preserve">Method for WLAN Localization and Location Based Service Supply </t>
  </si>
  <si>
    <t>US2010272085</t>
  </si>
  <si>
    <t xml:space="preserve">Indoors positioning system and method based on wireless transmission network </t>
  </si>
  <si>
    <t>CN101094137</t>
  </si>
  <si>
    <t xml:space="preserve">Beacon deployment for use with location based services (LBS) </t>
  </si>
  <si>
    <t>US9538332</t>
  </si>
  <si>
    <t xml:space="preserve">Switching between best views of a place </t>
  </si>
  <si>
    <t>US8175794</t>
  </si>
  <si>
    <t xml:space="preserve">Intelligent guiding method based on satellite equipment </t>
  </si>
  <si>
    <t>CN102594900</t>
  </si>
  <si>
    <t xml:space="preserve">Security system, mobile security device, and methods of operating </t>
  </si>
  <si>
    <t>US8104672</t>
  </si>
  <si>
    <t xml:space="preserve">Continuous location information service terminal, system and method thereof </t>
  </si>
  <si>
    <t>KR100990670</t>
  </si>
  <si>
    <t xml:space="preserve">Three-dimensional virtual space display device and texture object setting information generating device </t>
  </si>
  <si>
    <t>JP2000076488</t>
  </si>
  <si>
    <t xml:space="preserve">Method for Representing Virtual Information in a Real Environment </t>
  </si>
  <si>
    <t>US2015332505</t>
  </si>
  <si>
    <t xml:space="preserve">Method and system for estimating position of mobile device </t>
  </si>
  <si>
    <t>CN1668936</t>
  </si>
  <si>
    <t xml:space="preserve">High capacity passenger vehicle provided with telecommunication equipment, the equipment, and subscriber station </t>
  </si>
  <si>
    <t>WO9811747</t>
  </si>
  <si>
    <t xml:space="preserve">Group membership content presentation and augmentation system and method </t>
  </si>
  <si>
    <t>US2014282192</t>
  </si>
  <si>
    <t xml:space="preserve">Method and device for providing recommended destination information for mobile terminal </t>
  </si>
  <si>
    <t>CN103438895</t>
  </si>
  <si>
    <t xml:space="preserve">Method to personalize, promote, and distribute multimedia content using radio frequency identification </t>
  </si>
  <si>
    <t>US2009322493</t>
  </si>
  <si>
    <t xml:space="preserve">Relative position management system </t>
  </si>
  <si>
    <t>JP2005109919</t>
  </si>
  <si>
    <t xml:space="preserve">A portable individual digital assistant having a location aware function </t>
  </si>
  <si>
    <t>KR20030025099</t>
  </si>
  <si>
    <t xml:space="preserve">Secondary battery and method for manufacturing secondary battery </t>
  </si>
  <si>
    <t>US2016218387</t>
  </si>
  <si>
    <t xml:space="preserve">A method for providing indoor virtual experience based on panorama pictures and a 3d floor plan, a portable terminal and a method for providing floor plans using the portable terminal </t>
  </si>
  <si>
    <t>KR101770648</t>
  </si>
  <si>
    <t xml:space="preserve">Mobile service system </t>
  </si>
  <si>
    <t>KR100456986</t>
  </si>
  <si>
    <t>CN1575422</t>
  </si>
  <si>
    <t xml:space="preserve">A message circulation system for contingency accident/disaster by tts and the method thereof </t>
  </si>
  <si>
    <t>KR100588493</t>
  </si>
  <si>
    <t>EP2993602</t>
  </si>
  <si>
    <t xml:space="preserve">Mobile device for the user-related transmission of display data and corresponding method </t>
  </si>
  <si>
    <t>WO2010043255</t>
  </si>
  <si>
    <t xml:space="preserve">Species navigation method and a terminal </t>
  </si>
  <si>
    <t>CN105136136</t>
  </si>
  <si>
    <t xml:space="preserve">Wireless transmission network based indoor positioning system </t>
  </si>
  <si>
    <t>CN201061167</t>
  </si>
  <si>
    <t xml:space="preserve">Mobile wearable monitoring system </t>
  </si>
  <si>
    <t>KR20170129689</t>
  </si>
  <si>
    <t xml:space="preserve">Bluetooth self-guided tour apparatus based on region locating algorithm discrimination algorithm </t>
  </si>
  <si>
    <t>CN106303954</t>
  </si>
  <si>
    <t xml:space="preserve">Ground indoor verification method for navigation control performance of moon and deep-space detector </t>
  </si>
  <si>
    <t>CN102322872</t>
  </si>
  <si>
    <t xml:space="preserve">Method and devices for assisting tourist movements </t>
  </si>
  <si>
    <t>WO03023733</t>
  </si>
  <si>
    <t xml:space="preserve">Customized tour senario modelling apparatus, method, system and program based on the user`s allergy type </t>
  </si>
  <si>
    <t>KR20180001217</t>
  </si>
  <si>
    <t xml:space="preserve">Spectacle type wearable terminal and indoor destination guiding system using wearable terminal </t>
  </si>
  <si>
    <t>JP2015225025</t>
  </si>
  <si>
    <t xml:space="preserve">Indoor and outdoor seamless positioning system integrated with satellite navigation and bluetooth technology, and method thereof </t>
  </si>
  <si>
    <t>CN104849740</t>
  </si>
  <si>
    <t xml:space="preserve">LED lighting device based information push system and method </t>
  </si>
  <si>
    <t>CN103607701</t>
  </si>
  <si>
    <t xml:space="preserve">Integrated positioning method for mobile terminal and active information service recommendation method </t>
  </si>
  <si>
    <t>CN103237291</t>
  </si>
  <si>
    <t>US2015332504</t>
  </si>
  <si>
    <t xml:space="preserve">Method and imaging system for obtaining panoramic and rectilinear images using rotationally symmetric wide-angle lens </t>
  </si>
  <si>
    <t>KR100898824</t>
  </si>
  <si>
    <t xml:space="preserve">System, Method, and Computer Software Code for Planning and Executing a Travel Itinerary </t>
  </si>
  <si>
    <t>US2016247098</t>
  </si>
  <si>
    <t xml:space="preserve">Water storage electric heating mobile temperature adjuster </t>
  </si>
  <si>
    <t>CN2177200</t>
  </si>
  <si>
    <t xml:space="preserve">Marker based activity transition models </t>
  </si>
  <si>
    <t>US10104494</t>
  </si>
  <si>
    <t xml:space="preserve">Moving interior soleplate structure </t>
  </si>
  <si>
    <t>KR200391756</t>
  </si>
  <si>
    <t xml:space="preserve">Mobile terminal and method of controlling the mobile terminal </t>
  </si>
  <si>
    <t>US2015011204</t>
  </si>
  <si>
    <t xml:space="preserve">Precise-localization-based director guide system and method and data acquisition method </t>
  </si>
  <si>
    <t>CN104266658</t>
  </si>
  <si>
    <t xml:space="preserve">Intelligent wireless tourist guide system </t>
  </si>
  <si>
    <t>CN101871785</t>
  </si>
  <si>
    <t xml:space="preserve">Container type system booth for display and event of indoor and outdoor </t>
  </si>
  <si>
    <t>KR101022975</t>
  </si>
  <si>
    <t xml:space="preserve">Indoor live-action navigation method and system </t>
  </si>
  <si>
    <t>CN105371847</t>
  </si>
  <si>
    <t xml:space="preserve">Mobile terminal and controlling method thereof </t>
  </si>
  <si>
    <t>US2017187852</t>
  </si>
  <si>
    <t xml:space="preserve">Radio frequency identification tag game system based on place, and game method using the same </t>
  </si>
  <si>
    <t>KR20090018425</t>
  </si>
  <si>
    <t xml:space="preserve">Context health determination system </t>
  </si>
  <si>
    <t>US2014266782</t>
  </si>
  <si>
    <t xml:space="preserve">Navigation system with an itinerary planning mechanism and method of operation thereof </t>
  </si>
  <si>
    <t>US2016202076</t>
  </si>
  <si>
    <t xml:space="preserve">Amessage circulation system for contingency accident/disaster by TTS </t>
  </si>
  <si>
    <t>KR200384695</t>
  </si>
  <si>
    <t xml:space="preserve">Method for authenticating a wager using a system and method for interacting with virtual geographic zones </t>
  </si>
  <si>
    <t>US2014194192</t>
  </si>
  <si>
    <t xml:space="preserve">Responding to a status for a user based on nearby electronic devices </t>
  </si>
  <si>
    <t>US9472080</t>
  </si>
  <si>
    <t xml:space="preserve">Navigation method and apparatus resort </t>
  </si>
  <si>
    <t>CN108345629</t>
  </si>
  <si>
    <t xml:space="preserve">System and method for providing automatic supervision of employees using virtual geographic zones </t>
  </si>
  <si>
    <t>US2014099975</t>
  </si>
  <si>
    <t xml:space="preserve">Three-dimensional model space creating device, three-dimensional model space creating method, three-dimensional model space creating program, and content transmitting server </t>
  </si>
  <si>
    <t>JP2004110459</t>
  </si>
  <si>
    <t xml:space="preserve">Paper-like medium </t>
  </si>
  <si>
    <t>JP2003043930</t>
  </si>
  <si>
    <t xml:space="preserve">Emergency location identification using wireless devices </t>
  </si>
  <si>
    <t>US9984556</t>
  </si>
  <si>
    <t xml:space="preserve">Location-based warning notification using wireless devices </t>
  </si>
  <si>
    <t>US9881484</t>
  </si>
  <si>
    <t xml:space="preserve">Image-based rendering of real spaces </t>
  </si>
  <si>
    <t>US9836885</t>
  </si>
  <si>
    <t xml:space="preserve">Transformer station inspection tour robot positioning navigation system and method </t>
  </si>
  <si>
    <t>CN104914865</t>
  </si>
  <si>
    <t xml:space="preserve">Customizable robotic system </t>
  </si>
  <si>
    <t>US2014009561</t>
  </si>
  <si>
    <t>US2015190927</t>
  </si>
  <si>
    <t xml:space="preserve">Automatic refueling station </t>
  </si>
  <si>
    <t>US6237647</t>
  </si>
  <si>
    <t>US7465212</t>
  </si>
  <si>
    <t xml:space="preserve">System and method for toy adoption marketing </t>
  </si>
  <si>
    <t>US7442108</t>
  </si>
  <si>
    <t>US6791472</t>
  </si>
  <si>
    <t xml:space="preserve">Apparatus and method for remote sensing and receiving </t>
  </si>
  <si>
    <t>US6357292</t>
  </si>
  <si>
    <t>US6672151</t>
  </si>
  <si>
    <t xml:space="preserve">System for a retail environment </t>
  </si>
  <si>
    <t>US6584375</t>
  </si>
  <si>
    <t xml:space="preserve">Automated road transportation system </t>
  </si>
  <si>
    <t>US4361202</t>
  </si>
  <si>
    <t xml:space="preserve">Autonomous machine </t>
  </si>
  <si>
    <t>US7085624</t>
  </si>
  <si>
    <t xml:space="preserve">Virtual surgery system </t>
  </si>
  <si>
    <t>US5882206</t>
  </si>
  <si>
    <t xml:space="preserve">Method for localization of beacons for an autonomous device </t>
  </si>
  <si>
    <t>US5682313</t>
  </si>
  <si>
    <t>US7226367</t>
  </si>
  <si>
    <t>US7677948</t>
  </si>
  <si>
    <t xml:space="preserve">Interfacing with a mobile telepresence robot </t>
  </si>
  <si>
    <t>US8718837</t>
  </si>
  <si>
    <t xml:space="preserve">Visual navigation system for mobile robots </t>
  </si>
  <si>
    <t>US4779203</t>
  </si>
  <si>
    <t xml:space="preserve">Customizable and wearable device with electronic images </t>
  </si>
  <si>
    <t>US7751285</t>
  </si>
  <si>
    <t xml:space="preserve">Orientation adjustment system and robot using same </t>
  </si>
  <si>
    <t>US4815008</t>
  </si>
  <si>
    <t xml:space="preserve">Mobile robot and controller for same </t>
  </si>
  <si>
    <t>US8180486</t>
  </si>
  <si>
    <t xml:space="preserve">Methods for facilitating a retail environment </t>
  </si>
  <si>
    <t>US7206753</t>
  </si>
  <si>
    <t xml:space="preserve">Transformer station tour inspection robot-based binocular vision navigation system </t>
  </si>
  <si>
    <t>CN203386240</t>
  </si>
  <si>
    <t xml:space="preserve">Methods and systems for providing instructions to a robotic device </t>
  </si>
  <si>
    <t>US8380349</t>
  </si>
  <si>
    <t xml:space="preserve">Three-piece wound golf ball </t>
  </si>
  <si>
    <t>US5827167</t>
  </si>
  <si>
    <t xml:space="preserve">Method of controlling movement of mobile robot </t>
  </si>
  <si>
    <t>US7818090</t>
  </si>
  <si>
    <t xml:space="preserve">Methods and systems for generating query and result-based relevance indexes </t>
  </si>
  <si>
    <t>US7680775</t>
  </si>
  <si>
    <t xml:space="preserve">Wearable computing apparatus and method </t>
  </si>
  <si>
    <t>US2014347265</t>
  </si>
  <si>
    <t xml:space="preserve">Surgical instrument comprising a lockable battery housing </t>
  </si>
  <si>
    <t>US2016256161</t>
  </si>
  <si>
    <t xml:space="preserve">Real-time geographic information system and method </t>
  </si>
  <si>
    <t>US2007027591</t>
  </si>
  <si>
    <t xml:space="preserve">Mobilizing Webpages by Selecting, Arranging, Adapting, Substituting and/or Supplementing Content for Mobile and/or other Electronic Devices; and Optimizing Content for Mobile and/or other Electronic Devices; and Enhancing Usability of Mobile Devices </t>
  </si>
  <si>
    <t>US2008072139</t>
  </si>
  <si>
    <t xml:space="preserve">Monitoring apparatus </t>
  </si>
  <si>
    <t>US2003229474</t>
  </si>
  <si>
    <t xml:space="preserve">Networked multi-role robotic vehicle </t>
  </si>
  <si>
    <t>US2007198144</t>
  </si>
  <si>
    <t xml:space="preserve">System and method for dynamically providing visual action or activity news feed </t>
  </si>
  <si>
    <t>US2014129942</t>
  </si>
  <si>
    <t xml:space="preserve">Spatially aware mobile projection </t>
  </si>
  <si>
    <t>US2007282564</t>
  </si>
  <si>
    <t xml:space="preserve">Schedule management system using interactive robot and method and computer-readable medium thereof </t>
  </si>
  <si>
    <t>US2011125540</t>
  </si>
  <si>
    <t>US2007250212</t>
  </si>
  <si>
    <t xml:space="preserve">System and method for dynamically monitoring, recording, processing, attaching dynamic, contextual and accessible active links and presenting of physical or digital activities, actions, locations, logs, life stream, behavior and status </t>
  </si>
  <si>
    <t>US2011276396</t>
  </si>
  <si>
    <t xml:space="preserve">Computer Simulation Method With User-Defined Transportation And Layout </t>
  </si>
  <si>
    <t>US2008134056</t>
  </si>
  <si>
    <t xml:space="preserve">System and method for reconfiguring an autonomous robot </t>
  </si>
  <si>
    <t>US2005234592</t>
  </si>
  <si>
    <t xml:space="preserve">Behavior controlling apparatus, behavior control method, behavior control program and mobile robot apparatus </t>
  </si>
  <si>
    <t>US2004230340</t>
  </si>
  <si>
    <t xml:space="preserve">Mobile Inspection Robot </t>
  </si>
  <si>
    <t>US2013231779</t>
  </si>
  <si>
    <t xml:space="preserve">Aerial farm robot system for crop dusting, planting, fertilizing and other field jobs </t>
  </si>
  <si>
    <t>US2014303814</t>
  </si>
  <si>
    <t xml:space="preserve">Lighting module </t>
  </si>
  <si>
    <t>US2005128752</t>
  </si>
  <si>
    <t xml:space="preserve">Mobile video teleconferencing authentication and management system and method </t>
  </si>
  <si>
    <t>US2007120965</t>
  </si>
  <si>
    <t xml:space="preserve">Tele-presence robot system with software modularity, projector and laser pointer </t>
  </si>
  <si>
    <t>US2010268383</t>
  </si>
  <si>
    <t>US2008194357</t>
  </si>
  <si>
    <t xml:space="preserve">Floor controller for real-time control of music signal processing, mixing, video and lighting </t>
  </si>
  <si>
    <t>US2002005111</t>
  </si>
  <si>
    <t xml:space="preserve">Spatially Aware Mobile Projection </t>
  </si>
  <si>
    <t>US2011111849</t>
  </si>
  <si>
    <t xml:space="preserve">Morality system and method for video game: system and method for creating story, deeper meaning and emotions, enhanced characters and AI, and dramatic art in video games </t>
  </si>
  <si>
    <t>US2007087798</t>
  </si>
  <si>
    <t xml:space="preserve">Internet based airline ticket purchasing and vacation planning system and method </t>
  </si>
  <si>
    <t>US2005021424</t>
  </si>
  <si>
    <t xml:space="preserve">Surface aware, object aware, and image aware handheld projector </t>
  </si>
  <si>
    <t>US2013229396</t>
  </si>
  <si>
    <t xml:space="preserve">Multilevel semiotic and fuzzy logic user and metadata interface means for interactive multimedia system having cognitive adaptive capability </t>
  </si>
  <si>
    <t>US2009132441</t>
  </si>
  <si>
    <t xml:space="preserve">A test development system and method for software with a graphical user interface </t>
  </si>
  <si>
    <t>EP0869433</t>
  </si>
  <si>
    <t xml:space="preserve">System and method for advertising using image search and classification </t>
  </si>
  <si>
    <t>US2012239506</t>
  </si>
  <si>
    <t>US2005046373</t>
  </si>
  <si>
    <t xml:space="preserve">Multiscale intra-cortical neural interface system </t>
  </si>
  <si>
    <t>US2011307079</t>
  </si>
  <si>
    <t>US2007129174</t>
  </si>
  <si>
    <t xml:space="preserve">Method and system for estimating response to token instance of interest </t>
  </si>
  <si>
    <t>US2013103624</t>
  </si>
  <si>
    <t xml:space="preserve">Navigation positioning method for tour inspection robot of transformer substation </t>
  </si>
  <si>
    <t>CN104571103</t>
  </si>
  <si>
    <t xml:space="preserve">Large-Scale Surface Reconstruction That Is Robust Against Tracking And Mapping Errors </t>
  </si>
  <si>
    <t>US2015145985</t>
  </si>
  <si>
    <t xml:space="preserve">Method for acquiring a given product through a public infomation network, such as the internet </t>
  </si>
  <si>
    <t>US2004236634</t>
  </si>
  <si>
    <t xml:space="preserve">System and method for providing information to travelers </t>
  </si>
  <si>
    <t>US2006184313</t>
  </si>
  <si>
    <t xml:space="preserve">Navigation device and method of controlling navigation device </t>
  </si>
  <si>
    <t>US2010191457</t>
  </si>
  <si>
    <t xml:space="preserve">Remote controller of patrol robot </t>
  </si>
  <si>
    <t>CN204090393</t>
  </si>
  <si>
    <t xml:space="preserve">Tour-inspection sweeping robot system and tour-inspection sweeping method thereof </t>
  </si>
  <si>
    <t>CN107414866</t>
  </si>
  <si>
    <t xml:space="preserve">Full coverage seed patrol robot design method traversal path planning algorithm </t>
  </si>
  <si>
    <t>CN108255178</t>
  </si>
  <si>
    <t xml:space="preserve">Cloud platform satellite map-based mobile robot navigation method and system </t>
  </si>
  <si>
    <t>CN105938367</t>
  </si>
  <si>
    <t xml:space="preserve">Privacy-aware personalized content for the smart home </t>
  </si>
  <si>
    <t>US2016260135</t>
  </si>
  <si>
    <t xml:space="preserve">Kiosk system </t>
  </si>
  <si>
    <t>US2004193313</t>
  </si>
  <si>
    <t xml:space="preserve">Shot generation from previsualization of a physical environment </t>
  </si>
  <si>
    <t>US2010156906</t>
  </si>
  <si>
    <t xml:space="preserve">Password protection system and method </t>
  </si>
  <si>
    <t>US7734779</t>
  </si>
  <si>
    <t xml:space="preserve">Photographic mapping in a simulation </t>
  </si>
  <si>
    <t>US2008018667</t>
  </si>
  <si>
    <t xml:space="preserve">Environmental control system retrofittable with multiple types of boiler-based heating systems </t>
  </si>
  <si>
    <t>US2015276239</t>
  </si>
  <si>
    <t xml:space="preserve">Method and apparatus to implement an errands engine </t>
  </si>
  <si>
    <t>US2004205394</t>
  </si>
  <si>
    <t xml:space="preserve">Computational Systems and Methods for health services planning and matching </t>
  </si>
  <si>
    <t>US2010241454</t>
  </si>
  <si>
    <t xml:space="preserve">Facilitating radio frequency communications among environmental control system components </t>
  </si>
  <si>
    <t>US2015276266</t>
  </si>
  <si>
    <t xml:space="preserve">Apparatuses, Systems and Methods for Automated Crop Picking </t>
  </si>
  <si>
    <t>US2011022231</t>
  </si>
  <si>
    <t xml:space="preserve">Advanced performance widget display system </t>
  </si>
  <si>
    <t>US2005151941</t>
  </si>
  <si>
    <t xml:space="preserve">Adaptive scheduling of a service robot </t>
  </si>
  <si>
    <t>US2011166701</t>
  </si>
  <si>
    <t xml:space="preserve">Uav flight display </t>
  </si>
  <si>
    <t>US2016117853</t>
  </si>
  <si>
    <t xml:space="preserve">Apparatus and method for expanding keyword and search system using keyword expansion apparatus </t>
  </si>
  <si>
    <t>KR20040063641</t>
  </si>
  <si>
    <t xml:space="preserve">Substation intelligent robot inspection system and inspection methods </t>
  </si>
  <si>
    <t>CN102280826</t>
  </si>
  <si>
    <t xml:space="preserve">Safety joint for robotic arm </t>
  </si>
  <si>
    <t>US4741642</t>
  </si>
  <si>
    <t xml:space="preserve">Power circuit scanning test robot airplane and controlling system </t>
  </si>
  <si>
    <t>CN1645284</t>
  </si>
  <si>
    <t xml:space="preserve">System and method for disseminating information and implementing medical interventions to facilitate the safe emergence of users from predicaments </t>
  </si>
  <si>
    <t>US2015137972</t>
  </si>
  <si>
    <t xml:space="preserve">System and method for augmented reality using multi-modal sensory recognition from artifacts of interest </t>
  </si>
  <si>
    <t>US2013191250</t>
  </si>
  <si>
    <t xml:space="preserve">Dining room service robot system </t>
  </si>
  <si>
    <t>CN101436037</t>
  </si>
  <si>
    <t xml:space="preserve">Bipedal robot device and its operating method </t>
  </si>
  <si>
    <t>JP2001198865</t>
  </si>
  <si>
    <t xml:space="preserve">Mobile phone interactive system for blind and device thereof </t>
  </si>
  <si>
    <t>CN101741952</t>
  </si>
  <si>
    <t xml:space="preserve">Lower limb walking external skeleton capable of being worn </t>
  </si>
  <si>
    <t>CN1586434</t>
  </si>
  <si>
    <t xml:space="preserve">Computational systems and methods for health services planning and matching </t>
  </si>
  <si>
    <t>US2010235184</t>
  </si>
  <si>
    <t xml:space="preserve">Information delivery server, recording medium, and information delivery method </t>
  </si>
  <si>
    <t>US2005029342</t>
  </si>
  <si>
    <t>US6267695</t>
  </si>
  <si>
    <t>US2010235185</t>
  </si>
  <si>
    <t xml:space="preserve">digital sensor relative position </t>
  </si>
  <si>
    <t>FR2769088</t>
  </si>
  <si>
    <t xml:space="preserve">Computational models for supporting situated interactions in multi-user scenarios </t>
  </si>
  <si>
    <t>US8473420</t>
  </si>
  <si>
    <t xml:space="preserve">Outdoor blind guiding robot based on global position system (GPS), general packet radio service (GPRS) and radio frequency identification devices (RFID) and navigational positioning method </t>
  </si>
  <si>
    <t>CN103126862</t>
  </si>
  <si>
    <t xml:space="preserve">Robotic System Controlled by Multi Participants </t>
  </si>
  <si>
    <t>US2015100461</t>
  </si>
  <si>
    <t xml:space="preserve">System and method for simulating a rock band experience </t>
  </si>
  <si>
    <t>EP2206540</t>
  </si>
  <si>
    <t xml:space="preserve">Security system and mobile robot </t>
  </si>
  <si>
    <t>JP2004185080</t>
  </si>
  <si>
    <t xml:space="preserve">Methods and apparatus for using smart environment devices via application program interfaces </t>
  </si>
  <si>
    <t>US2017192402</t>
  </si>
  <si>
    <t xml:space="preserve">Device, method for identifying environment, program, recording medium and robot device </t>
  </si>
  <si>
    <t>JP2004110802</t>
  </si>
  <si>
    <t xml:space="preserve">Obstacle-crossing travelling mechanism for inspection robot and inspection robot device </t>
  </si>
  <si>
    <t>CN102522715</t>
  </si>
  <si>
    <t xml:space="preserve">Robotic pesticide application </t>
  </si>
  <si>
    <t>US2012042563</t>
  </si>
  <si>
    <t xml:space="preserve">Positioning applications for an electronic reading device </t>
  </si>
  <si>
    <t>US6839623</t>
  </si>
  <si>
    <t xml:space="preserve">System for providing animal moving video </t>
  </si>
  <si>
    <t>JPH10304351</t>
  </si>
  <si>
    <t xml:space="preserve">User-relocatable self-learning environmental control device capable of adapting previous learnings to current location in controlled environment </t>
  </si>
  <si>
    <t>US2015276238</t>
  </si>
  <si>
    <t xml:space="preserve">Behavioral event measurement system and related method </t>
  </si>
  <si>
    <t>US2015220814</t>
  </si>
  <si>
    <t xml:space="preserve">Intuitively computing method and system </t>
  </si>
  <si>
    <t>JP2013527947</t>
  </si>
  <si>
    <t xml:space="preserve">Personal oral hygiene composition and device </t>
  </si>
  <si>
    <t>US2004091431</t>
  </si>
  <si>
    <t xml:space="preserve">Ground wire patrol checking robot of high voltage power line </t>
  </si>
  <si>
    <t>CN101196551</t>
  </si>
  <si>
    <t xml:space="preserve">A track intelligent tour-inspection robot </t>
  </si>
  <si>
    <t>CN203616653</t>
  </si>
  <si>
    <t xml:space="preserve">Binocular vision navigation system and method based on power robot </t>
  </si>
  <si>
    <t>CN103413313</t>
  </si>
  <si>
    <t xml:space="preserve">Robot device </t>
  </si>
  <si>
    <t>JP2005103679</t>
  </si>
  <si>
    <t xml:space="preserve">Panoramic mirror and imaging system using the same </t>
  </si>
  <si>
    <t>WO2005106543</t>
  </si>
  <si>
    <t xml:space="preserve">Customer demand-initiated system and method for on-line information retrieval, interactive negotiation, procurement, and exchange </t>
  </si>
  <si>
    <t>WO0133464</t>
  </si>
  <si>
    <t xml:space="preserve">System and method for non workpiece to perform a vacuum process, handling of low pollution and high throughput </t>
  </si>
  <si>
    <t>JP2002504744</t>
  </si>
  <si>
    <t xml:space="preserve">Agent system, information providing method , information providing apparatus , and data recording medium </t>
  </si>
  <si>
    <t>US7441190</t>
  </si>
  <si>
    <t xml:space="preserve">Rectilinear Mirror and Imaging System Having the Same </t>
  </si>
  <si>
    <t>US2007217042</t>
  </si>
  <si>
    <t xml:space="preserve">Pheromone for robotic boundary </t>
  </si>
  <si>
    <t>US2011190931</t>
  </si>
  <si>
    <t xml:space="preserve">Interactive code processing platform providing interaction between parties generating and disseminating single and multidimensional optical and digital codes </t>
  </si>
  <si>
    <t>US2013092730</t>
  </si>
  <si>
    <t xml:space="preserve">Apparatus and method for multiplexing a biochip </t>
  </si>
  <si>
    <t>JP2004515231</t>
  </si>
  <si>
    <t xml:space="preserve">Pneumatic walking robot </t>
  </si>
  <si>
    <t>CN2246054</t>
  </si>
  <si>
    <t xml:space="preserve">Track Inspection robot system </t>
  </si>
  <si>
    <t>CN103823438</t>
  </si>
  <si>
    <t xml:space="preserve">Digital data distribution system </t>
  </si>
  <si>
    <t>US7457515</t>
  </si>
  <si>
    <t xml:space="preserve">Self-adapting intelligent walking method for pipe cleaning robot </t>
  </si>
  <si>
    <t>CN101353063</t>
  </si>
  <si>
    <t xml:space="preserve">Mounting stand for multi-sensing environmental control device </t>
  </si>
  <si>
    <t>US2015276237</t>
  </si>
  <si>
    <t xml:space="preserve">Method for intelligently diagnosing thermal defects of high-voltage transmission line based on infrared image </t>
  </si>
  <si>
    <t>CN102565625</t>
  </si>
  <si>
    <t xml:space="preserve">Electronic advertisement method and system using advertisement intermediation site </t>
  </si>
  <si>
    <t>US2010070351</t>
  </si>
  <si>
    <t xml:space="preserve">Transmission line tour inspection device suitable for unmanned aerial vehicle </t>
  </si>
  <si>
    <t>CN102255259</t>
  </si>
  <si>
    <t xml:space="preserve">Parts mounting method and apparatus </t>
  </si>
  <si>
    <t>EP1018862</t>
  </si>
  <si>
    <t xml:space="preserve">Transformer substation inspection robot global path planning method based on magnetic navigation </t>
  </si>
  <si>
    <t>CN102420392</t>
  </si>
  <si>
    <t xml:space="preserve">Long-distance control wellhead operation device for workover operation </t>
  </si>
  <si>
    <t>CN102191923</t>
  </si>
  <si>
    <t xml:space="preserve">Subjective map generating system </t>
  </si>
  <si>
    <t>JP2007011391</t>
  </si>
  <si>
    <t xml:space="preserve">Transformer station intelligent robot inspection system </t>
  </si>
  <si>
    <t>CN202178515</t>
  </si>
  <si>
    <t xml:space="preserve">Ultrahigh-tension power transmission lines earth polling robot </t>
  </si>
  <si>
    <t>CN201035117</t>
  </si>
  <si>
    <t xml:space="preserve">Wearable head-mounted display and camera system with multiple modes </t>
  </si>
  <si>
    <t>US2015362733</t>
  </si>
  <si>
    <t xml:space="preserve">Inspection robot for transformer station </t>
  </si>
  <si>
    <t>CN203422665</t>
  </si>
  <si>
    <t xml:space="preserve">Vehicle-mounted insulator cleaning device </t>
  </si>
  <si>
    <t>CN202238711</t>
  </si>
  <si>
    <t xml:space="preserve">Portable information equipment </t>
  </si>
  <si>
    <t>JPH10185609</t>
  </si>
  <si>
    <t xml:space="preserve">Device for automatic management of renting and keeping cycles or electric bikes </t>
  </si>
  <si>
    <t>WO02067210</t>
  </si>
  <si>
    <t xml:space="preserve">Outdoor blind guidance service system and method oriented to blind disturbance people </t>
  </si>
  <si>
    <t>CN101483806</t>
  </si>
  <si>
    <t xml:space="preserve">Robot for cleaning glass </t>
  </si>
  <si>
    <t>CN202083961</t>
  </si>
  <si>
    <t xml:space="preserve">Method for connecting parallel connection walking robots and parallel connection walking robot thereof </t>
  </si>
  <si>
    <t>CN101973027</t>
  </si>
  <si>
    <t xml:space="preserve">Ersonal care systems, products, and methods </t>
  </si>
  <si>
    <t>CN102405029</t>
  </si>
  <si>
    <t xml:space="preserve">Dual-purpose double-arm mobile robot for ground moving and space truss climbing </t>
  </si>
  <si>
    <t>CN101434268</t>
  </si>
  <si>
    <t xml:space="preserve">Security robot </t>
  </si>
  <si>
    <t>JP2012215959</t>
  </si>
  <si>
    <t>JP2004098233</t>
  </si>
  <si>
    <t xml:space="preserve">Hyper Adapter and Method for Accessing Documents in a Document Base </t>
  </si>
  <si>
    <t>US2013204874</t>
  </si>
  <si>
    <t xml:space="preserve">Methods of managing animals and milking station </t>
  </si>
  <si>
    <t>US2004261723</t>
  </si>
  <si>
    <t>US2005260141</t>
  </si>
  <si>
    <t>US2011098132</t>
  </si>
  <si>
    <t xml:space="preserve">Insulator cleaning mechanical arm </t>
  </si>
  <si>
    <t>CN102357487</t>
  </si>
  <si>
    <t xml:space="preserve">Apparatus and method for target market solution based on real-time customer support system </t>
  </si>
  <si>
    <t>KR20000072818</t>
  </si>
  <si>
    <t>CN101578625</t>
  </si>
  <si>
    <t>CN101578626</t>
  </si>
  <si>
    <t xml:space="preserve">Manipulator for cleaning insulator </t>
  </si>
  <si>
    <t>CN202316365</t>
  </si>
  <si>
    <t xml:space="preserve">Communication system and communication illuminator </t>
  </si>
  <si>
    <t>JP2004312393</t>
  </si>
  <si>
    <t>CN207804199</t>
  </si>
  <si>
    <t xml:space="preserve">Monitoring robot for photovoltaic power station </t>
  </si>
  <si>
    <t>CN203312911</t>
  </si>
  <si>
    <t xml:space="preserve">Calculation method for driving area of tour inspection robot of transformer station </t>
  </si>
  <si>
    <t>CN106599760</t>
  </si>
  <si>
    <t xml:space="preserve">Intelligent automatic sea farming system and method thereof </t>
  </si>
  <si>
    <t>CN107992089</t>
  </si>
  <si>
    <t xml:space="preserve">City service intelligent shared outdoor media information release platform and release method </t>
  </si>
  <si>
    <t>CN107918888</t>
  </si>
  <si>
    <t xml:space="preserve">Cyclic robot system </t>
  </si>
  <si>
    <t>JPH08124066</t>
  </si>
  <si>
    <t xml:space="preserve">Omnidirectionally picked-up image sending system and its method </t>
  </si>
  <si>
    <t>JPH11205772</t>
  </si>
  <si>
    <t xml:space="preserve">Unmanned maintenance system </t>
  </si>
  <si>
    <t>CN1794124</t>
  </si>
  <si>
    <t xml:space="preserve">Robot security system </t>
  </si>
  <si>
    <t>JP2003288118</t>
  </si>
  <si>
    <t xml:space="preserve">Inspection robot special for cable trenches of substations </t>
  </si>
  <si>
    <t>CN105108728</t>
  </si>
  <si>
    <t xml:space="preserve">Solar power plant for thermal treatment of products </t>
  </si>
  <si>
    <t>RU2271502</t>
  </si>
  <si>
    <t xml:space="preserve">Intelligent scenic region service robot </t>
  </si>
  <si>
    <t>CN104407545</t>
  </si>
  <si>
    <t xml:space="preserve">Communication robot </t>
  </si>
  <si>
    <t>JP2007216363</t>
  </si>
  <si>
    <t xml:space="preserve">automated Speditionshof </t>
  </si>
  <si>
    <t>DE10322765</t>
  </si>
  <si>
    <t xml:space="preserve">Outdoor equipment burglar alarm </t>
  </si>
  <si>
    <t>CN201319202</t>
  </si>
  <si>
    <t xml:space="preserve">In-vehicle device, data preparation device, and data preparation program </t>
  </si>
  <si>
    <t>JP2004051074</t>
  </si>
  <si>
    <t xml:space="preserve">On-vehicle device, data generation device and data generation program </t>
  </si>
  <si>
    <t>JP2004061252</t>
  </si>
  <si>
    <t xml:space="preserve">On-vehicle device, and device and program for data creation </t>
  </si>
  <si>
    <t>JP2004037953</t>
  </si>
  <si>
    <t xml:space="preserve">On-vehicle equipment, data creation device, data creation program, and vehicle-mounted agent system </t>
  </si>
  <si>
    <t>JP2004163232</t>
  </si>
  <si>
    <t xml:space="preserve">Structural design of patrol robot in transformer substation </t>
  </si>
  <si>
    <t>CN202025365</t>
  </si>
  <si>
    <t>CN203812055</t>
  </si>
  <si>
    <t xml:space="preserve">Autonomous mobile-body patrolling system and method for compensating for position of autonomous mobile-body </t>
  </si>
  <si>
    <t>JP2003295951</t>
  </si>
  <si>
    <t xml:space="preserve">Vehicle video providing system and virtual vehicle traveling system </t>
  </si>
  <si>
    <t>JPH10304339</t>
  </si>
  <si>
    <t xml:space="preserve">Storage housing for pool robot </t>
  </si>
  <si>
    <t>WO2016026059</t>
  </si>
  <si>
    <t xml:space="preserve">On-board device, data preparation device and data preparation program </t>
  </si>
  <si>
    <t>JP2004045616</t>
  </si>
  <si>
    <t xml:space="preserve">Method and apparatus for enabling people to find each other and stay together in virtual environments </t>
  </si>
  <si>
    <t>US9306880</t>
  </si>
  <si>
    <t xml:space="preserve">Hoisting type automatic tour inspection robot </t>
  </si>
  <si>
    <t>CN203772421</t>
  </si>
  <si>
    <t xml:space="preserve">Photovoltaic power station cleaning robot achieving direct dust removal on basis of draught fan and working method of photovoltaic power station cleaning robot </t>
  </si>
  <si>
    <t>CN105881555</t>
  </si>
  <si>
    <t xml:space="preserve">Overhead power transmission line on-line inspection and monitoring device based on hierarchical wireless communication </t>
  </si>
  <si>
    <t>CN204012935</t>
  </si>
  <si>
    <t xml:space="preserve">Method for conveying parcels through conveying mechanism </t>
  </si>
  <si>
    <t>CN105704247</t>
  </si>
  <si>
    <t xml:space="preserve">Onboard agent system and interactive operation control system </t>
  </si>
  <si>
    <t>JP2004054883</t>
  </si>
  <si>
    <t xml:space="preserve">Information retrieval system, program and information storage medium </t>
  </si>
  <si>
    <t>JP2003058571</t>
  </si>
  <si>
    <t>WO2011005024</t>
  </si>
  <si>
    <t xml:space="preserve">Moving robot system </t>
  </si>
  <si>
    <t>JP2005288628</t>
  </si>
  <si>
    <t xml:space="preserve">Access management system in combination of biometrics authentication and robot apparatus, access management robot apparatus, and program for the same apparatus </t>
  </si>
  <si>
    <t>JP2008065763</t>
  </si>
  <si>
    <t xml:space="preserve">Robot, information providing method and information providing system </t>
  </si>
  <si>
    <t>JP6393377</t>
  </si>
  <si>
    <t>JP4963394</t>
  </si>
  <si>
    <t>JP4684976</t>
  </si>
  <si>
    <t xml:space="preserve">Sound abnormality detecting system for power equipment </t>
  </si>
  <si>
    <t>CN202083757</t>
  </si>
  <si>
    <t xml:space="preserve">Intelligent service robot for scenic region </t>
  </si>
  <si>
    <t>CN204215204</t>
  </si>
  <si>
    <t xml:space="preserve">Electric transmission and transformation equipment failure tour-inspection core system based on supersonic wave and infrared thermography </t>
  </si>
  <si>
    <t>CN203455444</t>
  </si>
  <si>
    <t xml:space="preserve">Robot is tourd in climbing of transmission line shaft tower </t>
  </si>
  <si>
    <t>CN204577979</t>
  </si>
  <si>
    <t xml:space="preserve">Electric power robot-based binocular vision navigation system </t>
  </si>
  <si>
    <t>CN203386241</t>
  </si>
  <si>
    <t xml:space="preserve">Robot for fighting game, system and method for fighting game using the same </t>
  </si>
  <si>
    <t>KR101247213</t>
  </si>
  <si>
    <t xml:space="preserve">Mobile monitoring robot </t>
  </si>
  <si>
    <t>JP4732023</t>
  </si>
  <si>
    <t xml:space="preserve">Transformer station inspection tour robot for all-time fault detection </t>
  </si>
  <si>
    <t>CN202177817</t>
  </si>
  <si>
    <t xml:space="preserve">A transport mechanism that is used for between automatic vending terminal and sight -seeing bus </t>
  </si>
  <si>
    <t>CN205680195</t>
  </si>
  <si>
    <t xml:space="preserve">On-vehicle equipment, data creation device, and data creation program </t>
  </si>
  <si>
    <t>JP2004028702</t>
  </si>
  <si>
    <t xml:space="preserve">Aerial gluing robot for running maintenance of curtain wall and method thereof </t>
  </si>
  <si>
    <t>CN107618671</t>
  </si>
  <si>
    <t xml:space="preserve">Intelligent robot for tour inspection of power equipment </t>
  </si>
  <si>
    <t>CN106936085</t>
  </si>
  <si>
    <t xml:space="preserve">Multidimensional safety tour inspection device for station </t>
  </si>
  <si>
    <t>CN106654941</t>
  </si>
  <si>
    <t xml:space="preserve">Tangible (upstream vertical chain) new technologies based on new designs and new compositions that increase people's quality of life relevant to my companies 'lines' of business </t>
  </si>
  <si>
    <t>CA2642458</t>
  </si>
  <si>
    <t xml:space="preserve">Models, methods, techniques to make things work better, and automating these operations (m&amp;t) </t>
  </si>
  <si>
    <t>CA2636886</t>
  </si>
  <si>
    <t xml:space="preserve">Damage detecting system for tube-outside inspecting robot </t>
  </si>
  <si>
    <t>JP2000280189</t>
  </si>
  <si>
    <t xml:space="preserve">Assistant analysis system and method for intelligent robot patrol of substations </t>
  </si>
  <si>
    <t>CN107680195</t>
  </si>
  <si>
    <t xml:space="preserve">Information processing device and information processing method </t>
  </si>
  <si>
    <t>US2017244472</t>
  </si>
  <si>
    <t xml:space="preserve">Photovoltaic power plant cleans machine people based on fan directly removes dust </t>
  </si>
  <si>
    <t>CN205685347</t>
  </si>
  <si>
    <t xml:space="preserve">State-of mind, situational awareness engine apparatus and method </t>
  </si>
  <si>
    <t>US2015127405</t>
  </si>
  <si>
    <t xml:space="preserve">Garden street view </t>
  </si>
  <si>
    <t>US2017372514</t>
  </si>
  <si>
    <t xml:space="preserve">Wireless robot system that charges of garage intelligence </t>
  </si>
  <si>
    <t>CN205736997</t>
  </si>
  <si>
    <t xml:space="preserve">Intelligent startup life space and platform </t>
  </si>
  <si>
    <t>CN108133441</t>
  </si>
  <si>
    <t xml:space="preserve">Transformer substation patrol robot positioning and navigation system </t>
  </si>
  <si>
    <t>CN104165636</t>
  </si>
  <si>
    <t xml:space="preserve">Three -dimensional outdoor scene monitoring device of special high -voltage substation </t>
  </si>
  <si>
    <t>CN206249417</t>
  </si>
  <si>
    <t>CA2859622</t>
  </si>
  <si>
    <t xml:space="preserve">Video viewing experiences using still images </t>
  </si>
  <si>
    <t>CA2288428</t>
  </si>
  <si>
    <t xml:space="preserve">Remotely-operated robot, and robot self position identifying method </t>
  </si>
  <si>
    <t>CN100451897</t>
  </si>
  <si>
    <t xml:space="preserve">Battery mounted robot </t>
  </si>
  <si>
    <t>JP2004291154</t>
  </si>
  <si>
    <t xml:space="preserve">Super charging station for electric vehicle intelligent charging </t>
  </si>
  <si>
    <t>CN104868547</t>
  </si>
  <si>
    <t xml:space="preserve">Facility monitoring by a distributed robotic system </t>
  </si>
  <si>
    <t>WO2018051349</t>
  </si>
  <si>
    <t xml:space="preserve">Flaw detection system for tube outside part inspection robot </t>
  </si>
  <si>
    <t>JP2000266728</t>
  </si>
  <si>
    <t xml:space="preserve">Automatic obstacle avoiding method of substation inspection robot </t>
  </si>
  <si>
    <t>CN106324619</t>
  </si>
  <si>
    <t xml:space="preserve">Transfer system and transfer network </t>
  </si>
  <si>
    <t>CN107934419</t>
  </si>
  <si>
    <t xml:space="preserve">Power robot based binocular vision navigation system and method based on </t>
  </si>
  <si>
    <t>WO2015024407</t>
  </si>
  <si>
    <t xml:space="preserve">Master -control room remote intelligent of transformer substation tours robot </t>
  </si>
  <si>
    <t>CN207096814</t>
  </si>
  <si>
    <t xml:space="preserve">Mobile, the information processing apparatus, the mobile system, information processing method and information processing program </t>
  </si>
  <si>
    <t>JPWO2017029982</t>
  </si>
  <si>
    <t xml:space="preserve">Autonomous navigation method based on laser scanner </t>
  </si>
  <si>
    <t>CN105137998</t>
  </si>
  <si>
    <t xml:space="preserve">Instrument recognition method for transformer substation patrol inspection robot </t>
  </si>
  <si>
    <t>CN105913095</t>
  </si>
  <si>
    <t xml:space="preserve">System and method of handling materials </t>
  </si>
  <si>
    <t>ES2389821</t>
  </si>
  <si>
    <t xml:space="preserve">Shop card </t>
  </si>
  <si>
    <t>JP2007128488</t>
  </si>
  <si>
    <t xml:space="preserve">Two-dimensional laser radar calibration apparatus and method for positioning and navigation of substation tour inspection robot </t>
  </si>
  <si>
    <t>CN106556826</t>
  </si>
  <si>
    <t xml:space="preserve">Infrared double-vision intelligent online inspection equipment </t>
  </si>
  <si>
    <t>CN106737564</t>
  </si>
  <si>
    <t xml:space="preserve">A method for performing an at least in sections, the virtual factory management and visualization apparatus </t>
  </si>
  <si>
    <t>DE102016219049</t>
  </si>
  <si>
    <t xml:space="preserve">FMCG customized production system </t>
  </si>
  <si>
    <t>CN108349607</t>
  </si>
  <si>
    <t xml:space="preserve">Simplified interface and operation in a watering system </t>
  </si>
  <si>
    <t>CN107534677</t>
  </si>
  <si>
    <t>CN105549612</t>
  </si>
  <si>
    <t>CA2357064</t>
  </si>
  <si>
    <t xml:space="preserve">Built on stilts cable of robot walking is patrolled and examined to transformer substation's intelligence </t>
  </si>
  <si>
    <t>CN205242189</t>
  </si>
  <si>
    <t xml:space="preserve">Robot is patrolled and examined to transformer substation's intelligence of built on stilts cable </t>
  </si>
  <si>
    <t>CN205193591</t>
  </si>
  <si>
    <t xml:space="preserve">One kind of intelligent wireless charging robot system garage </t>
  </si>
  <si>
    <t>CN105922884</t>
  </si>
  <si>
    <t xml:space="preserve">Simulation flying device and system </t>
  </si>
  <si>
    <t>CN206543402</t>
  </si>
  <si>
    <t xml:space="preserve">Inspection robot system having an image processing and method for adaptively adjusting the polarizer </t>
  </si>
  <si>
    <t>CN104851144</t>
  </si>
  <si>
    <t>WO2015056177</t>
  </si>
  <si>
    <t xml:space="preserve">Autonomously moving body and operation system for managing inside of facility </t>
  </si>
  <si>
    <t>WO2017030188</t>
  </si>
  <si>
    <t xml:space="preserve">engine control device </t>
  </si>
  <si>
    <t>FR2639774</t>
  </si>
  <si>
    <t xml:space="preserve">Unattended substation emergency monitoring system </t>
  </si>
  <si>
    <t>CN106208395</t>
  </si>
  <si>
    <t xml:space="preserve">Battery formula removes device and system tourd </t>
  </si>
  <si>
    <t>CN207340060</t>
  </si>
  <si>
    <t xml:space="preserve">Freewheel Stable with underfloor heating. </t>
  </si>
  <si>
    <t>NL1038381</t>
  </si>
  <si>
    <t xml:space="preserve">Infrared double -view intelligence is equipment of patrolling and examining on line </t>
  </si>
  <si>
    <t>CN206455652</t>
  </si>
  <si>
    <t xml:space="preserve">Video tape picture and text data generating and coding method and picture and text data playback device </t>
  </si>
  <si>
    <t>CN1219283</t>
  </si>
  <si>
    <t xml:space="preserve">Retrieval system and retrieval method </t>
  </si>
  <si>
    <t>JP2009093429</t>
  </si>
  <si>
    <t xml:space="preserve">Trajectory control of a robot which includes a system and method of emergency escape route </t>
  </si>
  <si>
    <t>ES2407980</t>
  </si>
  <si>
    <t xml:space="preserve">Radio positioning system </t>
  </si>
  <si>
    <t>JP2017531811</t>
  </si>
  <si>
    <t xml:space="preserve">Tower </t>
  </si>
  <si>
    <t>LU82388</t>
  </si>
  <si>
    <t xml:space="preserve">Haptic human machine interface and wearable electronics methods and apparatus </t>
  </si>
  <si>
    <t>WO2018098046</t>
  </si>
  <si>
    <t xml:space="preserve">Reconnaissance robot of qxcomm technology </t>
  </si>
  <si>
    <t>CN206406063</t>
  </si>
  <si>
    <t xml:space="preserve">Nobody system of patrolling and examining of intelligence </t>
  </si>
  <si>
    <t>CN205486332</t>
  </si>
  <si>
    <t xml:space="preserve">Intelligent robot </t>
  </si>
  <si>
    <t>CN108098763</t>
  </si>
  <si>
    <t xml:space="preserve">English training method and English training device </t>
  </si>
  <si>
    <t>CN103198722</t>
  </si>
  <si>
    <t xml:space="preserve">Product disposal system </t>
  </si>
  <si>
    <t>WO9721501</t>
  </si>
  <si>
    <t xml:space="preserve">Kind of outdoor tourism safety monitoring system </t>
  </si>
  <si>
    <t>CN103197642</t>
  </si>
  <si>
    <t xml:space="preserve">Outdoor tourism post house </t>
  </si>
  <si>
    <t>CN206158239</t>
  </si>
  <si>
    <t xml:space="preserve">Self-service travel system based on network platform </t>
  </si>
  <si>
    <t>CN103345716</t>
  </si>
  <si>
    <t xml:space="preserve">Tourism operation supervision and safety emergency management linkage command platform system </t>
  </si>
  <si>
    <t>CN104835085</t>
  </si>
  <si>
    <t xml:space="preserve">Method and system for providing narrative information to a traveler </t>
  </si>
  <si>
    <t>US6845321</t>
  </si>
  <si>
    <t xml:space="preserve">System and method for social networking gaming with an augmented reality </t>
  </si>
  <si>
    <t>US8814691</t>
  </si>
  <si>
    <t>US6456234</t>
  </si>
  <si>
    <t xml:space="preserve">Technique for effectively providing concierge-like services in a directory assistance system </t>
  </si>
  <si>
    <t>US6775371</t>
  </si>
  <si>
    <t xml:space="preserve">System, method and article of manufacture for location-based filtering for shopping agent in the physical world </t>
  </si>
  <si>
    <t>US6317718</t>
  </si>
  <si>
    <t xml:space="preserve">Systems and methods for preventing unauthorized use of digital content </t>
  </si>
  <si>
    <t>US7237123</t>
  </si>
  <si>
    <t xml:space="preserve">Travel reservation information and planning system </t>
  </si>
  <si>
    <t>US5948040</t>
  </si>
  <si>
    <t xml:space="preserve">Telecommunications initiated internet link system </t>
  </si>
  <si>
    <t>US8635164</t>
  </si>
  <si>
    <t xml:space="preserve">Compensation of propagation delays of wireless signals </t>
  </si>
  <si>
    <t>US8326319</t>
  </si>
  <si>
    <t xml:space="preserve">Platform and applications for wireless location and other complex services </t>
  </si>
  <si>
    <t>US8135413</t>
  </si>
  <si>
    <t xml:space="preserve">Apparatus for internetworked wireless integrated network sensors (WINS) </t>
  </si>
  <si>
    <t>US8140658</t>
  </si>
  <si>
    <t xml:space="preserve">System for housing an audio system in an aquatic environment </t>
  </si>
  <si>
    <t>US7263032</t>
  </si>
  <si>
    <t xml:space="preserve">Method and system for location based group formation </t>
  </si>
  <si>
    <t>US7359724</t>
  </si>
  <si>
    <t xml:space="preserve">Wireless communication of context sensitive content, systems methods and computer program product </t>
  </si>
  <si>
    <t>US7239871</t>
  </si>
  <si>
    <t xml:space="preserve">Protective housing for an audio device </t>
  </si>
  <si>
    <t>US7535799</t>
  </si>
  <si>
    <t>US7065242</t>
  </si>
  <si>
    <t xml:space="preserve">Weather information delivery systems and methods providing planning functionality and navigational tools </t>
  </si>
  <si>
    <t>US7185044</t>
  </si>
  <si>
    <t xml:space="preserve">Targeted content delivery </t>
  </si>
  <si>
    <t>US9413794</t>
  </si>
  <si>
    <t xml:space="preserve">Methods and apparatus for intelligent selection of goods and services offered to conferees </t>
  </si>
  <si>
    <t>US7364068</t>
  </si>
  <si>
    <t xml:space="preserve">System for providing wireless waterproof audio </t>
  </si>
  <si>
    <t>US7755975</t>
  </si>
  <si>
    <t xml:space="preserve">Ring skill viewing platform </t>
  </si>
  <si>
    <t>CN206971818</t>
  </si>
  <si>
    <t xml:space="preserve">System and method for monitoring patrol personnel for outdoor display screen </t>
  </si>
  <si>
    <t>CN101169872</t>
  </si>
  <si>
    <t xml:space="preserve">Foldable boat with light weight hull construction system </t>
  </si>
  <si>
    <t>US6615762</t>
  </si>
  <si>
    <t>US9413710</t>
  </si>
  <si>
    <t xml:space="preserve">Customizable toy for playing a wireless interactive game having both physical and virtual elements </t>
  </si>
  <si>
    <t>US8814688</t>
  </si>
  <si>
    <t xml:space="preserve">Low spin golf ball comprising silicone material </t>
  </si>
  <si>
    <t>US6162134</t>
  </si>
  <si>
    <t xml:space="preserve">Method of providing narrative information to a traveler </t>
  </si>
  <si>
    <t>US7647166</t>
  </si>
  <si>
    <t xml:space="preserve">Multi-platform gaming system using RFID-tagged toys </t>
  </si>
  <si>
    <t>US8702515</t>
  </si>
  <si>
    <t xml:space="preserve">Machining technology of antitheft nut of 35KV outdoor upper rod platform support </t>
  </si>
  <si>
    <t>CN105710255</t>
  </si>
  <si>
    <t xml:space="preserve">Anti-theft device for 35 kV outdoor pole-climbing platform support </t>
  </si>
  <si>
    <t>CN105697507</t>
  </si>
  <si>
    <t xml:space="preserve">Method and system for conditional acceptance to a group </t>
  </si>
  <si>
    <t>US2005149443</t>
  </si>
  <si>
    <t xml:space="preserve">System and method of targeted marketing </t>
  </si>
  <si>
    <t>US2005222906</t>
  </si>
  <si>
    <t xml:space="preserve">Providing information to a user </t>
  </si>
  <si>
    <t>US2009019061</t>
  </si>
  <si>
    <t xml:space="preserve">Projection triggering through an external marker in an augmented reality eyepiece </t>
  </si>
  <si>
    <t>US2011214082</t>
  </si>
  <si>
    <t xml:space="preserve">Methods and apparatus for gathering and delivering contextual messages in a mobile communication system </t>
  </si>
  <si>
    <t>US2008045236</t>
  </si>
  <si>
    <t xml:space="preserve">System and method for active mobile collaboration </t>
  </si>
  <si>
    <t>US2005041793</t>
  </si>
  <si>
    <t xml:space="preserve">Method and system for golf swing analysis and training for putters </t>
  </si>
  <si>
    <t>US2006166738</t>
  </si>
  <si>
    <t>US2011213664</t>
  </si>
  <si>
    <t xml:space="preserve">Restaurant automation system </t>
  </si>
  <si>
    <t>US2004158494</t>
  </si>
  <si>
    <t xml:space="preserve">Wireless location establishing device </t>
  </si>
  <si>
    <t>US2012190386</t>
  </si>
  <si>
    <t xml:space="preserve">Apparatuses, Methods and Systems for a Code-Mediated Content Delivery Platform </t>
  </si>
  <si>
    <t>US2011264527</t>
  </si>
  <si>
    <t xml:space="preserve">Method, apparatus and system for hosting a group of terminals </t>
  </si>
  <si>
    <t>US2005037708</t>
  </si>
  <si>
    <t>US2009319348</t>
  </si>
  <si>
    <t xml:space="preserve">Systems and methods for simulating a rock band experience </t>
  </si>
  <si>
    <t>US2009104956</t>
  </si>
  <si>
    <t xml:space="preserve">Integrated branding, social bookmarking, and aggregation system for media content </t>
  </si>
  <si>
    <t>US2010153848</t>
  </si>
  <si>
    <t xml:space="preserve">Methods and systems of advanced real estate searching </t>
  </si>
  <si>
    <t>US2010094548</t>
  </si>
  <si>
    <t xml:space="preserve">System and method for booking a performance venue </t>
  </si>
  <si>
    <t>US2003187802</t>
  </si>
  <si>
    <t xml:space="preserve">Advertising Futures Marketplace Methods and Systems </t>
  </si>
  <si>
    <t>US2009119172</t>
  </si>
  <si>
    <t xml:space="preserve">Fantasy sports live </t>
  </si>
  <si>
    <t>US2006046807</t>
  </si>
  <si>
    <t xml:space="preserve">Device with displays </t>
  </si>
  <si>
    <t>US2014184471</t>
  </si>
  <si>
    <t xml:space="preserve">Location-aware application searching </t>
  </si>
  <si>
    <t>US2012284256</t>
  </si>
  <si>
    <t xml:space="preserve">Systems and methods for distributing electronic files </t>
  </si>
  <si>
    <t>US2006190290</t>
  </si>
  <si>
    <t xml:space="preserve">Systems and methods for establishing communications between mobile device users </t>
  </si>
  <si>
    <t>US2013185368</t>
  </si>
  <si>
    <t xml:space="preserve">Method and apparatus for generating augmented reality content </t>
  </si>
  <si>
    <t>US2012086727</t>
  </si>
  <si>
    <t xml:space="preserve">System and method for building a communication platform for the telematics domain using a distribution of network objects </t>
  </si>
  <si>
    <t>US2003120826</t>
  </si>
  <si>
    <t xml:space="preserve">System and Method for a Shared Media Experience </t>
  </si>
  <si>
    <t>US2013103814</t>
  </si>
  <si>
    <t xml:space="preserve">System and method for venue attendance management </t>
  </si>
  <si>
    <t>US2009319306</t>
  </si>
  <si>
    <t xml:space="preserve">Associating comments with playback of media content </t>
  </si>
  <si>
    <t>US2012151320</t>
  </si>
  <si>
    <t xml:space="preserve">Pocket concierge and multimedia, wireless call center system and method </t>
  </si>
  <si>
    <t>US2002006787</t>
  </si>
  <si>
    <t xml:space="preserve">Systems and Methods for Defining Group of Users with Mobile Devices </t>
  </si>
  <si>
    <t>US2012202428</t>
  </si>
  <si>
    <t xml:space="preserve">Tourism, cultural and creative body of the electric business service platform </t>
  </si>
  <si>
    <t>CN108596794</t>
  </si>
  <si>
    <t xml:space="preserve">Enhanced world wide web-based communications </t>
  </si>
  <si>
    <t>US2012323704</t>
  </si>
  <si>
    <t xml:space="preserve">Motion-sensitive input device and associated camera for sensing gestures </t>
  </si>
  <si>
    <t>US2013116051</t>
  </si>
  <si>
    <t xml:space="preserve">GPS tuner </t>
  </si>
  <si>
    <t>US2013096819</t>
  </si>
  <si>
    <t xml:space="preserve">Mobile terminal intelligence network communication system that rides based on APP platform </t>
  </si>
  <si>
    <t>CN205754869</t>
  </si>
  <si>
    <t xml:space="preserve">Electronic capture and communication of promotions using a wireless device </t>
  </si>
  <si>
    <t>US2009030787</t>
  </si>
  <si>
    <t xml:space="preserve">Vehicular Content Distribution </t>
  </si>
  <si>
    <t>US2011164562</t>
  </si>
  <si>
    <t xml:space="preserve">System and Method for Providing Communications to a Group of Recipients Across Multiple Communication Platform Types </t>
  </si>
  <si>
    <t>US2009016504</t>
  </si>
  <si>
    <t xml:space="preserve">Information assistance system and method for effectively consulting multiple resources to assist a user to perform a task </t>
  </si>
  <si>
    <t>US2004114571</t>
  </si>
  <si>
    <t xml:space="preserve">Visit sports multi -functional corridor building device , product and system </t>
  </si>
  <si>
    <t>CN207453078</t>
  </si>
  <si>
    <t xml:space="preserve">Intelligent control system for tourist attraction in wireless 4G platform, </t>
  </si>
  <si>
    <t>CN107908162</t>
  </si>
  <si>
    <t xml:space="preserve">Agriculture production monitoring and management system based on internet of things </t>
  </si>
  <si>
    <t>CN203241793</t>
  </si>
  <si>
    <t xml:space="preserve">Industrial tourism sightseeing passageway that can comprehensively demonstrate enterprise's production procedure </t>
  </si>
  <si>
    <t>CN206015866</t>
  </si>
  <si>
    <t xml:space="preserve">But sightseeing window self -cleaning's industrial tourism sightseeing passageway </t>
  </si>
  <si>
    <t>CN206015868</t>
  </si>
  <si>
    <t xml:space="preserve">Sightseeing window clear industrial tourism sightseeing passageway of being convenient for </t>
  </si>
  <si>
    <t>CN206016352</t>
  </si>
  <si>
    <t xml:space="preserve">Safe convenient industrial tourism intelligence sightseeing passageway </t>
  </si>
  <si>
    <t>CN206015867</t>
  </si>
  <si>
    <t xml:space="preserve">Safe industrial tourism sightseeing passageway </t>
  </si>
  <si>
    <t>CN206016349</t>
  </si>
  <si>
    <t xml:space="preserve">Kinds of tourism industry with smart synchronization channel audio guide system </t>
  </si>
  <si>
    <t>CN106205432</t>
  </si>
  <si>
    <t xml:space="preserve">Assembled tourism room </t>
  </si>
  <si>
    <t>CN207499508</t>
  </si>
  <si>
    <t xml:space="preserve">Be equipped with synchronous voice system's industrial tourism sightseeing passageway </t>
  </si>
  <si>
    <t>CN206016351</t>
  </si>
  <si>
    <t xml:space="preserve">Collection and distribution system </t>
  </si>
  <si>
    <t>US2008221745</t>
  </si>
  <si>
    <t xml:space="preserve">Deep sea culture platform integrating marine leisure traveling fishing tour and sightseeing </t>
  </si>
  <si>
    <t>CN106942095</t>
  </si>
  <si>
    <t xml:space="preserve">Activity computer systems </t>
  </si>
  <si>
    <t>WO2018148274</t>
  </si>
  <si>
    <t xml:space="preserve">Comparing subsets of user identities of a social networking platform </t>
  </si>
  <si>
    <t>US9361392</t>
  </si>
  <si>
    <t xml:space="preserve">Systems and methods for audio roaming for mobile devices </t>
  </si>
  <si>
    <t>US2012202485</t>
  </si>
  <si>
    <t xml:space="preserve">Systems, methods and devices for trip management functions </t>
  </si>
  <si>
    <t>US2006089793</t>
  </si>
  <si>
    <t xml:space="preserve">Method, device and system for capturing digital images in a variety of settings and venues </t>
  </si>
  <si>
    <t>US2006269264</t>
  </si>
  <si>
    <t xml:space="preserve">Universally interactive request for information </t>
  </si>
  <si>
    <t>US2012023131</t>
  </si>
  <si>
    <t xml:space="preserve">Sporting equipment container having display means </t>
  </si>
  <si>
    <t>US2004026280</t>
  </si>
  <si>
    <t xml:space="preserve">Methods, devices and systems for providing mobile advertising and on-demand information to user communication devices </t>
  </si>
  <si>
    <t>US2014344062</t>
  </si>
  <si>
    <t xml:space="preserve">Integrated safety accessory arrangement and components for users of personal watercraft </t>
  </si>
  <si>
    <t>US2002166493</t>
  </si>
  <si>
    <t xml:space="preserve">Pan and tilt positioning unit </t>
  </si>
  <si>
    <t>US6880987</t>
  </si>
  <si>
    <t xml:space="preserve">Computer system for creating and playing location aware games </t>
  </si>
  <si>
    <t>US2007087828</t>
  </si>
  <si>
    <t>US6102816</t>
  </si>
  <si>
    <t xml:space="preserve">Board game apparatus </t>
  </si>
  <si>
    <t>US3883142</t>
  </si>
  <si>
    <t xml:space="preserve">Ship </t>
  </si>
  <si>
    <t>US2141181</t>
  </si>
  <si>
    <t xml:space="preserve">Wireless IoT (Internet of Things) glasses </t>
  </si>
  <si>
    <t>CN201903695</t>
  </si>
  <si>
    <t xml:space="preserve">Video device integratable with jacket, pants, belt, badge and other clothing and accessories and methods of use thereof </t>
  </si>
  <si>
    <t>US2006028430</t>
  </si>
  <si>
    <t xml:space="preserve">Rocket-powered entertainment vehicle </t>
  </si>
  <si>
    <t>US2010096491</t>
  </si>
  <si>
    <t xml:space="preserve">Method of providing geographic information for a navigation system </t>
  </si>
  <si>
    <t>US8265864</t>
  </si>
  <si>
    <t xml:space="preserve">Methods and Systems for Performing Proximity-Based Targeting of Advertisements to Internet-Connectable Devices and Utilizing Predicted Locations of Internet-Connectable Devices Using Data Networks </t>
  </si>
  <si>
    <t>US2013060640</t>
  </si>
  <si>
    <t xml:space="preserve">Heel unit for alpine touring binding </t>
  </si>
  <si>
    <t>WO2009105866</t>
  </si>
  <si>
    <t xml:space="preserve">Outdoor guide system, outdoor guide method and portable information terminal </t>
  </si>
  <si>
    <t>JP2003014488</t>
  </si>
  <si>
    <t xml:space="preserve">User positional and venue information integration system and method </t>
  </si>
  <si>
    <t>US2007225911</t>
  </si>
  <si>
    <t xml:space="preserve">Capture and display of annotations in paper and electronic documents </t>
  </si>
  <si>
    <t>CN101765840</t>
  </si>
  <si>
    <t xml:space="preserve">Intelligent parking-place public service system </t>
  </si>
  <si>
    <t>CN102622871</t>
  </si>
  <si>
    <t xml:space="preserve">System and Method for Dynamic Integration of Advertisements in a Virtual Environment </t>
  </si>
  <si>
    <t>US2013124311</t>
  </si>
  <si>
    <t>WO2006014459</t>
  </si>
  <si>
    <t xml:space="preserve">Data Analysis </t>
  </si>
  <si>
    <t>US2014046983</t>
  </si>
  <si>
    <t xml:space="preserve">Base block with removable ballast for portable tower, system and method </t>
  </si>
  <si>
    <t>US5623786</t>
  </si>
  <si>
    <t xml:space="preserve">Systems and Methods for Group Information Server Among Mobile Devices </t>
  </si>
  <si>
    <t>US2012202551</t>
  </si>
  <si>
    <t xml:space="preserve">Culture and tourism contents unification platform service method and system using a smart qr code </t>
  </si>
  <si>
    <t>KR101048644</t>
  </si>
  <si>
    <t xml:space="preserve">Satellite and three-dimensional city based digital fire fighting early warning intelligent management system </t>
  </si>
  <si>
    <t>CN102063690</t>
  </si>
  <si>
    <t xml:space="preserve">Method of visiting a site </t>
  </si>
  <si>
    <t>US2009267728</t>
  </si>
  <si>
    <t xml:space="preserve">Information processing system capable of realizing immediate business transaction through mobile terminals embedded in touched core engine and method thereof </t>
  </si>
  <si>
    <t>CN102156943</t>
  </si>
  <si>
    <t xml:space="preserve">Systems and Methods for Generating Multimedia Applications </t>
  </si>
  <si>
    <t>US2010287529</t>
  </si>
  <si>
    <t xml:space="preserve">Athletic performance sensing and/or tracking systems and methods </t>
  </si>
  <si>
    <t>CN101583403</t>
  </si>
  <si>
    <t xml:space="preserve">Method of playing a question and answer board game </t>
  </si>
  <si>
    <t>US4998736</t>
  </si>
  <si>
    <t xml:space="preserve">Method and system for a virtual training and coaching service </t>
  </si>
  <si>
    <t>US2012144301</t>
  </si>
  <si>
    <t xml:space="preserve">Method of Operating a Navigation System </t>
  </si>
  <si>
    <t>US2011191019</t>
  </si>
  <si>
    <t xml:space="preserve">System and method of providing a content discovery platform for optimizing social network engagements </t>
  </si>
  <si>
    <t>US2016321261</t>
  </si>
  <si>
    <t xml:space="preserve">Expert answer platform methods, apparatuses and media </t>
  </si>
  <si>
    <t>US2014324757</t>
  </si>
  <si>
    <t xml:space="preserve">Systems and methods of changing storyline based on player location </t>
  </si>
  <si>
    <t>US2012157197</t>
  </si>
  <si>
    <t xml:space="preserve">System, method, and computer program product for determining whether to prompt an action by a platform in connection with a mobile device </t>
  </si>
  <si>
    <t>US2018032997</t>
  </si>
  <si>
    <t xml:space="preserve">Information processing system and method for realizing referral commission real-time transaction through mobile terminals embedded with auction software clients </t>
  </si>
  <si>
    <t>CN102509231</t>
  </si>
  <si>
    <t xml:space="preserve">On-line monitoring system for transmission line fault </t>
  </si>
  <si>
    <t>CN1547306</t>
  </si>
  <si>
    <t xml:space="preserve">Assigning an Internet domain to a user as the user registers with a server </t>
  </si>
  <si>
    <t>US2012158875</t>
  </si>
  <si>
    <t xml:space="preserve">Location method and system for the mobile communication terminals based on a grid pattern matching </t>
  </si>
  <si>
    <t>JP2007537614</t>
  </si>
  <si>
    <t xml:space="preserve">PDA-based realization method for intelligent patrol of electric equipment </t>
  </si>
  <si>
    <t>CN103578154</t>
  </si>
  <si>
    <t xml:space="preserve">Device for outdoor activities security monitoring </t>
  </si>
  <si>
    <t>CN204562126</t>
  </si>
  <si>
    <t>KR100564728</t>
  </si>
  <si>
    <t xml:space="preserve">System and method for transporting personnel within an active workspace </t>
  </si>
  <si>
    <t>US2015066283</t>
  </si>
  <si>
    <t xml:space="preserve">Multiple suction cup attachment platform: securing an electronic device on a vertical surface </t>
  </si>
  <si>
    <t>US2015070839</t>
  </si>
  <si>
    <t>WO2012091814</t>
  </si>
  <si>
    <t xml:space="preserve">Lightweight sound and scent absorption or scent diffusion big game hunting blind and fishing house </t>
  </si>
  <si>
    <t>US2007033853</t>
  </si>
  <si>
    <t xml:space="preserve">In use adaptation of schedule for multi-vehicle ground processing operations </t>
  </si>
  <si>
    <t>EP2353353</t>
  </si>
  <si>
    <t xml:space="preserve">Golf ball covers containing high acid ionomers </t>
  </si>
  <si>
    <t>US6433094</t>
  </si>
  <si>
    <t xml:space="preserve">Combination multipurpose trailer and rooftop storage container and method therefor </t>
  </si>
  <si>
    <t>US7144070</t>
  </si>
  <si>
    <t xml:space="preserve">Sports footwear traction elements </t>
  </si>
  <si>
    <t>US2014130370</t>
  </si>
  <si>
    <t xml:space="preserve">Method and apparatus for managing streaming data </t>
  </si>
  <si>
    <t>WO0126378</t>
  </si>
  <si>
    <t xml:space="preserve">Internet-based real estate searching system and process </t>
  </si>
  <si>
    <t>US2008109433</t>
  </si>
  <si>
    <t xml:space="preserve">Game house management system, method for processing game information, and game house management program </t>
  </si>
  <si>
    <t>JP2004033321</t>
  </si>
  <si>
    <t xml:space="preserve">Elevated deck bus with removable roof </t>
  </si>
  <si>
    <t>US2006273624</t>
  </si>
  <si>
    <t xml:space="preserve">Tourist attraction intelligent guide system based on high precision positioning </t>
  </si>
  <si>
    <t>CN101510208</t>
  </si>
  <si>
    <t xml:space="preserve">Outdoor platform evacuation system for vertical transportation trunk and branch conversion of high-rise building </t>
  </si>
  <si>
    <t>CN103556843</t>
  </si>
  <si>
    <t xml:space="preserve">System using mobile communication terminal and network realtime service and method thereof </t>
  </si>
  <si>
    <t>CN1825347</t>
  </si>
  <si>
    <t xml:space="preserve">Installation outside vehicle, communication device between vehicles, installation outside vehicle, communication method between vehicles </t>
  </si>
  <si>
    <t>CN1536775</t>
  </si>
  <si>
    <t xml:space="preserve">Method for providing background music </t>
  </si>
  <si>
    <t>US8185445</t>
  </si>
  <si>
    <t xml:space="preserve">Method and system for watching and tracking birds </t>
  </si>
  <si>
    <t>US2003115215</t>
  </si>
  <si>
    <t xml:space="preserve">Beidou satellite SMS emergency system </t>
  </si>
  <si>
    <t>CN202916443</t>
  </si>
  <si>
    <t xml:space="preserve">Method for making high-presence virtual reality of exercise fitness equipment, and interactive system and method based on virtual reality </t>
  </si>
  <si>
    <t>CN101780321</t>
  </si>
  <si>
    <t xml:space="preserve">A management platform for a distribution network </t>
  </si>
  <si>
    <t>US2017228689</t>
  </si>
  <si>
    <t xml:space="preserve">Outdoor platform evacuation system for switching of vertical transportation trunk road and branch roads of high-rise building </t>
  </si>
  <si>
    <t>CN203594244</t>
  </si>
  <si>
    <t xml:space="preserve">Rapidly deployable primary stage unit </t>
  </si>
  <si>
    <t>US8678941</t>
  </si>
  <si>
    <t xml:space="preserve">Tractor/trailer back up kit </t>
  </si>
  <si>
    <t>US7184074</t>
  </si>
  <si>
    <t xml:space="preserve">Rotating platform for metrology purposes </t>
  </si>
  <si>
    <t>EP0113305</t>
  </si>
  <si>
    <t xml:space="preserve">Tourism mill sightseeing passageway that possesses key station sightseeing window </t>
  </si>
  <si>
    <t>CN206016350</t>
  </si>
  <si>
    <t xml:space="preserve">Tourism resource level-to-level administration platform and service terminal </t>
  </si>
  <si>
    <t>CN107481164</t>
  </si>
  <si>
    <t xml:space="preserve">Sightseeing and physical exercise multifunctional gallery product, method and system thereof </t>
  </si>
  <si>
    <t>CN108222245</t>
  </si>
  <si>
    <t xml:space="preserve">Tourist information recommendation method and apparatus </t>
  </si>
  <si>
    <t>CN108537373</t>
  </si>
  <si>
    <t xml:space="preserve">Smart gallery product, method, and system for cultural and sports activities </t>
  </si>
  <si>
    <t>WO2018113043</t>
  </si>
  <si>
    <t xml:space="preserve">Scene recognition technology used in outdoor augmented reality system </t>
  </si>
  <si>
    <t>CN102054166</t>
  </si>
  <si>
    <t xml:space="preserve">Tourist souvenir and information popularization method with tourist souvenir as carrier </t>
  </si>
  <si>
    <t>CN103136693</t>
  </si>
  <si>
    <t xml:space="preserve">Control system for automatic measuring domestic garbage in single boat </t>
  </si>
  <si>
    <t>CN101004819</t>
  </si>
  <si>
    <t xml:space="preserve">Movable vehicle-mounted computer working platform </t>
  </si>
  <si>
    <t>CN204020655</t>
  </si>
  <si>
    <t xml:space="preserve">Queen post fruit vegetables sightseeing greenhouse </t>
  </si>
  <si>
    <t>CN204498940</t>
  </si>
  <si>
    <t xml:space="preserve">Environment meteorological monitoring system for electric power iron tower based on Internet of things </t>
  </si>
  <si>
    <t>CN102681031</t>
  </si>
  <si>
    <t xml:space="preserve">Power network electricity transmission line fault monitoring system </t>
  </si>
  <si>
    <t>CN2715413</t>
  </si>
  <si>
    <t xml:space="preserve">Geo-spatial visualization and awareness of events </t>
  </si>
  <si>
    <t>US2013012242</t>
  </si>
  <si>
    <t xml:space="preserve">Point-Of-Interest contents management platform system interworking with printed maps </t>
  </si>
  <si>
    <t>KR101805839</t>
  </si>
  <si>
    <t xml:space="preserve">Distribution inspection map navigation and equipment information management service platform system </t>
  </si>
  <si>
    <t>CN102878993</t>
  </si>
  <si>
    <t xml:space="preserve">Safety monitoring platform </t>
  </si>
  <si>
    <t>US9852599</t>
  </si>
  <si>
    <t xml:space="preserve">Single-column formula fruit vegetables sightseeing greenhouse </t>
  </si>
  <si>
    <t>CN204498939</t>
  </si>
  <si>
    <t xml:space="preserve">Closed ships and light boats with sightseeing platform </t>
  </si>
  <si>
    <t>CN207106815</t>
  </si>
  <si>
    <t xml:space="preserve">Outdoor unit of air conditioner </t>
  </si>
  <si>
    <t>JP2014070791</t>
  </si>
  <si>
    <t xml:space="preserve">Real -scene -imitating tour apparatus </t>
  </si>
  <si>
    <t>CN204856624</t>
  </si>
  <si>
    <t xml:space="preserve">Full glass-type sightseeing cage </t>
  </si>
  <si>
    <t>CN201907903</t>
  </si>
  <si>
    <t xml:space="preserve">Multi-unit floating coastal wind-operated truss </t>
  </si>
  <si>
    <t>RU2258633</t>
  </si>
  <si>
    <t xml:space="preserve">Zip Line Attraction and Methods </t>
  </si>
  <si>
    <t>US2014182477</t>
  </si>
  <si>
    <t xml:space="preserve">This art design professional multimedia platform </t>
  </si>
  <si>
    <t>CN207842774</t>
  </si>
  <si>
    <t xml:space="preserve">Simulation training system of centralized control station </t>
  </si>
  <si>
    <t>CN101635106</t>
  </si>
  <si>
    <t xml:space="preserve">Amphibious vehicle with bolt-on aircraft conversion structures - has watertight body with tunnel-mounted propeller, and fixing for attaching aerodynamic lifting and control surfaces </t>
  </si>
  <si>
    <t>FR2692204</t>
  </si>
  <si>
    <t>WO2017184646</t>
  </si>
  <si>
    <t xml:space="preserve">Power distribution inspection map navigation and equipment information management hand-held terminal </t>
  </si>
  <si>
    <t>CN202903200</t>
  </si>
  <si>
    <t xml:space="preserve">Using qualification events to provide price differentiation for travel products </t>
  </si>
  <si>
    <t>US2014108067</t>
  </si>
  <si>
    <t xml:space="preserve">Service vessel </t>
  </si>
  <si>
    <t>EP2093143</t>
  </si>
  <si>
    <t xml:space="preserve">Cable safety inspection tour instrument </t>
  </si>
  <si>
    <t>CN204808009</t>
  </si>
  <si>
    <t xml:space="preserve">Tour aerogeneratrice (combining chimney effect, greenhouse, coriolis force and venturi effect) </t>
  </si>
  <si>
    <t>FR2874240</t>
  </si>
  <si>
    <t xml:space="preserve">Entity-Type Search System </t>
  </si>
  <si>
    <t>US2017083606</t>
  </si>
  <si>
    <t xml:space="preserve">Visual ultrasonic rapid inspection tour device used for power transmission and distribution line inspection tour </t>
  </si>
  <si>
    <t>CN204287392</t>
  </si>
  <si>
    <t xml:space="preserve">High altitude spiral cable car sightseeing infotainment system </t>
  </si>
  <si>
    <t>CN206664584</t>
  </si>
  <si>
    <t xml:space="preserve">Outdoor top of a kitchen range of telescopic car as a house </t>
  </si>
  <si>
    <t>CN205800906</t>
  </si>
  <si>
    <t xml:space="preserve">Multi-level control, variable access, multi-user contextually intelligent communication platform </t>
  </si>
  <si>
    <t>US2018278462</t>
  </si>
  <si>
    <t xml:space="preserve">Tourism is with table chair with foldable function </t>
  </si>
  <si>
    <t>CN207519833</t>
  </si>
  <si>
    <t xml:space="preserve">Panoramic sightseeing lift car </t>
  </si>
  <si>
    <t>CN202670966</t>
  </si>
  <si>
    <t xml:space="preserve">Intelligent interactive and augmented reality based user interface platform </t>
  </si>
  <si>
    <t>US2018165854</t>
  </si>
  <si>
    <t>GB2498406</t>
  </si>
  <si>
    <t xml:space="preserve">Sightseeing yacht </t>
  </si>
  <si>
    <t>CN207060342</t>
  </si>
  <si>
    <t xml:space="preserve">Systems and methods for audio roaming for mobile devices, group information server among mobile devices, and defining group of users with mobile devices </t>
  </si>
  <si>
    <t>WO2012104725</t>
  </si>
  <si>
    <t xml:space="preserve">Defining, displaying and interacting with tags in a three-dimensional model </t>
  </si>
  <si>
    <t>US2018143756</t>
  </si>
  <si>
    <t xml:space="preserve">Internet preference learning facility </t>
  </si>
  <si>
    <t>CN102625940</t>
  </si>
  <si>
    <t xml:space="preserve">System for referring to and/or embedding posts, videos or digital media within another post, video, digital data or digital media within 2d, 3d, 360 degree or spherical applications whereby to reach convergence or grouping </t>
  </si>
  <si>
    <t>US2017123614</t>
  </si>
  <si>
    <t xml:space="preserve">Tracking a person in a group of people </t>
  </si>
  <si>
    <t>US2018249295</t>
  </si>
  <si>
    <t xml:space="preserve">Kind of grid monitoring device inspections </t>
  </si>
  <si>
    <t>CN207802122</t>
  </si>
  <si>
    <t xml:space="preserve">Rail vehicle with sightseeing function </t>
  </si>
  <si>
    <t>CN206141550</t>
  </si>
  <si>
    <t xml:space="preserve">Control device for unmanned aerial vehicle and system for tour guide </t>
  </si>
  <si>
    <t>CN107436608</t>
  </si>
  <si>
    <t xml:space="preserve">Guide robot </t>
  </si>
  <si>
    <t>JP2018144118</t>
  </si>
  <si>
    <t xml:space="preserve">Methods for Interaction, Sharing, and Exploration over Geographical Locations </t>
  </si>
  <si>
    <t>US2007233367</t>
  </si>
  <si>
    <t xml:space="preserve">Multi-mode intelligent commercial service robot for store management </t>
  </si>
  <si>
    <t>CN103792905</t>
  </si>
  <si>
    <t xml:space="preserve">Method and system of providing a personalized performance </t>
  </si>
  <si>
    <t>US2009254836</t>
  </si>
  <si>
    <t xml:space="preserve">Working and learning application robot </t>
  </si>
  <si>
    <t>CN203399142</t>
  </si>
  <si>
    <t xml:space="preserve">Work learning application robot </t>
  </si>
  <si>
    <t>CN104010014</t>
  </si>
  <si>
    <t xml:space="preserve">Machine synthesis of a virtual video camera/image of a scene from multiple video cameras/images of the scene in accordance with a particular perspective on the scene, an object in the scene, or an event in the scene </t>
  </si>
  <si>
    <t>US5745126</t>
  </si>
  <si>
    <t xml:space="preserve">System for providing driving directions with visual cues </t>
  </si>
  <si>
    <t>US6199014</t>
  </si>
  <si>
    <t xml:space="preserve">Guided natural language interface system and method </t>
  </si>
  <si>
    <t>US7027975</t>
  </si>
  <si>
    <t xml:space="preserve">Agent based instruction system and method </t>
  </si>
  <si>
    <t>US6201948</t>
  </si>
  <si>
    <t xml:space="preserve">Method for providing human input to a computer </t>
  </si>
  <si>
    <t>US5982352</t>
  </si>
  <si>
    <t>US7098891</t>
  </si>
  <si>
    <t xml:space="preserve">Adaptive pattern recognition based controller apparatus and method and human-factored interface therefore </t>
  </si>
  <si>
    <t>US7242988</t>
  </si>
  <si>
    <t xml:space="preserve">Establishment of a deferred network communication session </t>
  </si>
  <si>
    <t>US7000019</t>
  </si>
  <si>
    <t xml:space="preserve">Distribution of content </t>
  </si>
  <si>
    <t>US7925973</t>
  </si>
  <si>
    <t xml:space="preserve">Methods and apparatus for classifying terminology utilizing a knowledge catalog </t>
  </si>
  <si>
    <t>US6487545</t>
  </si>
  <si>
    <t xml:space="preserve">Accident avoidance system </t>
  </si>
  <si>
    <t>US6370475</t>
  </si>
  <si>
    <t xml:space="preserve">Personalized medicine service </t>
  </si>
  <si>
    <t>US7730063</t>
  </si>
  <si>
    <t xml:space="preserve">Human-factored interface corporating adaptive pattern recognition based controller apparatus </t>
  </si>
  <si>
    <t>US5903454</t>
  </si>
  <si>
    <t xml:space="preserve">System and method for directed improvisation by computer controlled characters </t>
  </si>
  <si>
    <t>US6031549</t>
  </si>
  <si>
    <t xml:space="preserve">Push banking system and method </t>
  </si>
  <si>
    <t>US6535855</t>
  </si>
  <si>
    <t xml:space="preserve">System and method for obtaining user preferences and providing user recommendations for unseen physical and information goods and services </t>
  </si>
  <si>
    <t>US6801909</t>
  </si>
  <si>
    <t xml:space="preserve">Integrated routing/mapping information </t>
  </si>
  <si>
    <t>US6321158</t>
  </si>
  <si>
    <t xml:space="preserve">Inefficient fast PCR </t>
  </si>
  <si>
    <t>US6303343</t>
  </si>
  <si>
    <t xml:space="preserve">Man machine interfaces for entering data into a computer </t>
  </si>
  <si>
    <t>US6008800</t>
  </si>
  <si>
    <t xml:space="preserve">Real time eye tracking for human computer interaction </t>
  </si>
  <si>
    <t>US8885882</t>
  </si>
  <si>
    <t xml:space="preserve">System method and article of manufacture for integrated enterprise-wide control </t>
  </si>
  <si>
    <t>US6108662</t>
  </si>
  <si>
    <t xml:space="preserve">System, method and article of manufacture for utilizing external models for enterprise wide control </t>
  </si>
  <si>
    <t>US6161051</t>
  </si>
  <si>
    <t xml:space="preserve">System, method and article of manufacture for displaying an animated, realtime updated control sequence chart </t>
  </si>
  <si>
    <t>US6157864</t>
  </si>
  <si>
    <t xml:space="preserve">Method, system and business model for a buyer's auction with near perfect information using the internet </t>
  </si>
  <si>
    <t>US7330826</t>
  </si>
  <si>
    <t xml:space="preserve">Interactive tutorial method, system, and computer program product for real time media production </t>
  </si>
  <si>
    <t>US6909874</t>
  </si>
  <si>
    <t xml:space="preserve">System and method for managing knowledge </t>
  </si>
  <si>
    <t>US7685083</t>
  </si>
  <si>
    <t>US5172328</t>
  </si>
  <si>
    <t xml:space="preserve">Method and apparatus for wireless internet access </t>
  </si>
  <si>
    <t>US7025209</t>
  </si>
  <si>
    <t xml:space="preserve">Internet appliance system and method </t>
  </si>
  <si>
    <t>US8165916</t>
  </si>
  <si>
    <t xml:space="preserve">Method, system and computer program product for producing and distributing enhanced media downstreams </t>
  </si>
  <si>
    <t>US6760916</t>
  </si>
  <si>
    <t xml:space="preserve">Media recording device with packet data interface </t>
  </si>
  <si>
    <t>US6640145</t>
  </si>
  <si>
    <t xml:space="preserve">Systems and methods for a mobile application development and development platform </t>
  </si>
  <si>
    <t>US8261231</t>
  </si>
  <si>
    <t xml:space="preserve">Intelligent electronic appliance system and method </t>
  </si>
  <si>
    <t>US6850252</t>
  </si>
  <si>
    <t xml:space="preserve">Media recording device with remote graphic user interface </t>
  </si>
  <si>
    <t>US7006881</t>
  </si>
  <si>
    <t xml:space="preserve">Knowledge-engineering protocol-suite </t>
  </si>
  <si>
    <t>US6952688</t>
  </si>
  <si>
    <t xml:space="preserve">System, method and article of manufacture for building an enterprise-wide data model </t>
  </si>
  <si>
    <t>US6167406</t>
  </si>
  <si>
    <t xml:space="preserve">Virtual reality warehouse management system complement </t>
  </si>
  <si>
    <t>US6744436</t>
  </si>
  <si>
    <t xml:space="preserve">Economic filtering system for delivery of permission based, targeted, incentivized advertising </t>
  </si>
  <si>
    <t>US7660737</t>
  </si>
  <si>
    <t xml:space="preserve">Guide mode switching method and system and guide robot </t>
  </si>
  <si>
    <t>CN108153169</t>
  </si>
  <si>
    <t xml:space="preserve">Telepresence by human-assisted remote controlled devices and robots </t>
  </si>
  <si>
    <t>US7949616</t>
  </si>
  <si>
    <t>US7492054</t>
  </si>
  <si>
    <t>US6181371</t>
  </si>
  <si>
    <t>US8228305</t>
  </si>
  <si>
    <t xml:space="preserve">Method and apparatus for electronically extracting application specific multidimensional information from documents selected from a set of documents electronically extracted from a library of electronically searchable documents </t>
  </si>
  <si>
    <t>US6965900</t>
  </si>
  <si>
    <t xml:space="preserve">Method and system for using geographic data in computer game development </t>
  </si>
  <si>
    <t>US7970749</t>
  </si>
  <si>
    <t xml:space="preserve">Communication system employing space-based and terrestrial telecommunications equipment </t>
  </si>
  <si>
    <t>US5793813</t>
  </si>
  <si>
    <t xml:space="preserve">Multipoint, virtual control, and force based touch screen applications </t>
  </si>
  <si>
    <t>US7973773</t>
  </si>
  <si>
    <t xml:space="preserve">Method and apparatus for hierarchically decomposed bot scripts </t>
  </si>
  <si>
    <t>US6754647</t>
  </si>
  <si>
    <t xml:space="preserve">Content provider entity for communication session </t>
  </si>
  <si>
    <t>US7334017</t>
  </si>
  <si>
    <t xml:space="preserve">Human emulation robot system </t>
  </si>
  <si>
    <t>US7113848</t>
  </si>
  <si>
    <t xml:space="preserve">Method, artificially intelligent system and networked complex for facilitating group interactions </t>
  </si>
  <si>
    <t>US7769705</t>
  </si>
  <si>
    <t xml:space="preserve">System and method for digital video management </t>
  </si>
  <si>
    <t>US7859571</t>
  </si>
  <si>
    <t xml:space="preserve">Mobile system, a method of operating mobile system and a non-transitory computer readable medium for a programmable control of a mobile system </t>
  </si>
  <si>
    <t>US8364136</t>
  </si>
  <si>
    <t xml:space="preserve">Devices and methods for biochip multiplexing </t>
  </si>
  <si>
    <t>US7312087</t>
  </si>
  <si>
    <t xml:space="preserve">Anticipatory user interface </t>
  </si>
  <si>
    <t>RU2353068</t>
  </si>
  <si>
    <t xml:space="preserve">Application programming interface for geographic data in computer games </t>
  </si>
  <si>
    <t>US7828655</t>
  </si>
  <si>
    <t xml:space="preserve">Cap-pap test </t>
  </si>
  <si>
    <t>US6143512</t>
  </si>
  <si>
    <t xml:space="preserve">Cushioning conversion system and method </t>
  </si>
  <si>
    <t>US6877297</t>
  </si>
  <si>
    <t xml:space="preserve">Capacitor array sensors for determining conformity to surface shape </t>
  </si>
  <si>
    <t>US4908574</t>
  </si>
  <si>
    <t xml:space="preserve">Apparatus for generating behaviour in an object </t>
  </si>
  <si>
    <t>CN100392562</t>
  </si>
  <si>
    <t>US8037506</t>
  </si>
  <si>
    <t xml:space="preserve">Optical method and apparatus for determining status of agricultural products </t>
  </si>
  <si>
    <t>US7215420</t>
  </si>
  <si>
    <t xml:space="preserve">Real-time collaborative commerce in a multiple browser environment </t>
  </si>
  <si>
    <t>US2006122917</t>
  </si>
  <si>
    <t xml:space="preserve">Robotic pick up and deliver system </t>
  </si>
  <si>
    <t>US6543983</t>
  </si>
  <si>
    <t xml:space="preserve">Landmark-based routing </t>
  </si>
  <si>
    <t>US7912637</t>
  </si>
  <si>
    <t xml:space="preserve">System and method for location, understanding and assimilation of digital documents through abstract indicia </t>
  </si>
  <si>
    <t>US2003050927</t>
  </si>
  <si>
    <t xml:space="preserve">Fabrication and Application of Nanofiber Ribbons and Sheets and Twisted and Non-Twisted Nanofiber Yarns </t>
  </si>
  <si>
    <t>US2008170982</t>
  </si>
  <si>
    <t xml:space="preserve">Automated accounting system that values, controls, records and bills the uses of equipment/vehicles for society </t>
  </si>
  <si>
    <t>US2006287783</t>
  </si>
  <si>
    <t>US2003221118</t>
  </si>
  <si>
    <t xml:space="preserve">Transaction visual capturing apparatuses, methods and systems </t>
  </si>
  <si>
    <t>US2013218721</t>
  </si>
  <si>
    <t xml:space="preserve">Information collection in multi-participant online communities </t>
  </si>
  <si>
    <t>US2008091692</t>
  </si>
  <si>
    <t xml:space="preserve">Method, system, and computer program product for producing and distributing enhanced media </t>
  </si>
  <si>
    <t>US2003001880</t>
  </si>
  <si>
    <t xml:space="preserve">Systems and methods for marketing health products and/or services to health consumers and health providers </t>
  </si>
  <si>
    <t>US2006247968</t>
  </si>
  <si>
    <t xml:space="preserve">Customizable expert agent </t>
  </si>
  <si>
    <t>US2003028498</t>
  </si>
  <si>
    <t xml:space="preserve">Computer-aided system for 360Âº heads up display of safety/mission critical data </t>
  </si>
  <si>
    <t>US2010238161</t>
  </si>
  <si>
    <t xml:space="preserve">Information nervous system </t>
  </si>
  <si>
    <t>US2007016563</t>
  </si>
  <si>
    <t xml:space="preserve">Spoken language interface </t>
  </si>
  <si>
    <t>US2005033582</t>
  </si>
  <si>
    <t xml:space="preserve">System, method and article of manufacture for managing a medical services network </t>
  </si>
  <si>
    <t>US2001051881</t>
  </si>
  <si>
    <t xml:space="preserve">Method and apparatus for search, visual navigation, analysis and retrieval of information from networks with remote notification and content delivery </t>
  </si>
  <si>
    <t>US2004030741</t>
  </si>
  <si>
    <t xml:space="preserve">Computing grid for massively multi-player online games and other multi-user immersive persistent-state and session-based applications </t>
  </si>
  <si>
    <t>US2003177187</t>
  </si>
  <si>
    <t xml:space="preserve">Control system for controlling display device, server, medium and controlling method </t>
  </si>
  <si>
    <t>US2002167484</t>
  </si>
  <si>
    <t xml:space="preserve">Methods and systems for electronic mail internet target and direct marketing and electronic mail banner </t>
  </si>
  <si>
    <t>US2004117451</t>
  </si>
  <si>
    <t xml:space="preserve">Protein arrays </t>
  </si>
  <si>
    <t>US2004198637</t>
  </si>
  <si>
    <t xml:space="preserve">Computer-Aided System for 360Âº Heads Up Display of Safety/Mission Critical Data </t>
  </si>
  <si>
    <t>US2013162632</t>
  </si>
  <si>
    <t xml:space="preserve">Personalization services for entities from multiple sources </t>
  </si>
  <si>
    <t>US2004220926</t>
  </si>
  <si>
    <t xml:space="preserve">Simulated phenomena interaction game </t>
  </si>
  <si>
    <t>US2007265089</t>
  </si>
  <si>
    <t xml:space="preserve">Methods and systems for electronic mail, internet target and direct marketing, and electronic mail banner </t>
  </si>
  <si>
    <t>US2002188689</t>
  </si>
  <si>
    <t>US2004220791</t>
  </si>
  <si>
    <t xml:space="preserve">Method system and computer program product for providing customer service over the world-wide web </t>
  </si>
  <si>
    <t>US2001054064</t>
  </si>
  <si>
    <t xml:space="preserve">Computer-aided system for 360 degree heads up display of safety/mission critical data </t>
  </si>
  <si>
    <t>US2010240988</t>
  </si>
  <si>
    <t xml:space="preserve">Systems and methods for personalizing responses to user requests </t>
  </si>
  <si>
    <t>US2008183678</t>
  </si>
  <si>
    <t xml:space="preserve">Determining strategies for increasing loyalty of a population to an entity </t>
  </si>
  <si>
    <t>US2008065471</t>
  </si>
  <si>
    <t xml:space="preserve">Systems and methods for using derivative financial products in capacity-driven industries </t>
  </si>
  <si>
    <t>US2002133456</t>
  </si>
  <si>
    <t xml:space="preserve">Integration of gene expression data and non-gene data </t>
  </si>
  <si>
    <t>US2006020398</t>
  </si>
  <si>
    <t xml:space="preserve">Hybrid joint photographer's experts group (JPEG) /moving picture experts group (MPEG) specialized security video camera </t>
  </si>
  <si>
    <t>US2004109059</t>
  </si>
  <si>
    <t xml:space="preserve">Control of appliances, kitchen and home </t>
  </si>
  <si>
    <t>US2010182136</t>
  </si>
  <si>
    <t xml:space="preserve">Systems, methods, and devices including modular, fixed and transportable structures incorporating solar and wind generation technologies for production of electricity </t>
  </si>
  <si>
    <t>US2011049992</t>
  </si>
  <si>
    <t xml:space="preserve">Systems and methods of interactive production marketing </t>
  </si>
  <si>
    <t>US2009254931</t>
  </si>
  <si>
    <t xml:space="preserve">Knowledge graph based search system </t>
  </si>
  <si>
    <t>US2012158633</t>
  </si>
  <si>
    <t xml:space="preserve">Commerce-enabled environment for interacting with simulated phenomena </t>
  </si>
  <si>
    <t>US2005009608</t>
  </si>
  <si>
    <t xml:space="preserve">Smart-home control system providing hvac system dependent responses to hazard detection events </t>
  </si>
  <si>
    <t>US2015100167</t>
  </si>
  <si>
    <t xml:space="preserve">Social-topical adaptive networking (stan) system allowing for cooperative inter-coupling with external social networking systems and other content sources </t>
  </si>
  <si>
    <t>US2012042263</t>
  </si>
  <si>
    <t xml:space="preserve">Apparatus for and method of automated processing of biological samples </t>
  </si>
  <si>
    <t>US2011287447</t>
  </si>
  <si>
    <t xml:space="preserve">System and Method for Finding and Using Styles in Electronic Communications </t>
  </si>
  <si>
    <t>US2005198160</t>
  </si>
  <si>
    <t xml:space="preserve">System and Method for Improving Internet Communication by Using Intermediate Nodes </t>
  </si>
  <si>
    <t>US2015067819</t>
  </si>
  <si>
    <t xml:space="preserve">Method and apparatus for electronically extracting application specific multidimensional information from a library of searchable documents and for providing the application specific information to a user application </t>
  </si>
  <si>
    <t>US2003115188</t>
  </si>
  <si>
    <t xml:space="preserve">Systems and methods for a specialized application development and deployment platform </t>
  </si>
  <si>
    <t>US2013305218</t>
  </si>
  <si>
    <t xml:space="preserve">Operating environment with gestural control and multiple client devices, displays, and users </t>
  </si>
  <si>
    <t>US2015077326</t>
  </si>
  <si>
    <t xml:space="preserve">Voice activated virtual assistant </t>
  </si>
  <si>
    <t>US2013031476</t>
  </si>
  <si>
    <t xml:space="preserve">Method for routing a robotic apparatus to a service station and robotic apparatus service system using thereof </t>
  </si>
  <si>
    <t>US2008161969</t>
  </si>
  <si>
    <t xml:space="preserve">Acquiring, managing, distributing, and presenting contextual data relating to a known postion for location-based services to and between users </t>
  </si>
  <si>
    <t>US2005055353</t>
  </si>
  <si>
    <t xml:space="preserve">Receptionist robot system </t>
  </si>
  <si>
    <t>US2004111273</t>
  </si>
  <si>
    <t xml:space="preserve">Functional arrays for high throughput characterization of gene expression regulatory elements </t>
  </si>
  <si>
    <t>US2007161031</t>
  </si>
  <si>
    <t xml:space="preserve">Personalized Medicine System </t>
  </si>
  <si>
    <t>US2012010867</t>
  </si>
  <si>
    <t xml:space="preserve">Electronic personal interactive device </t>
  </si>
  <si>
    <t>US2011283190</t>
  </si>
  <si>
    <t xml:space="preserve">Tour guide robot and moving area calibration method, computer readable storage medium </t>
  </si>
  <si>
    <t>EP3382489</t>
  </si>
  <si>
    <t xml:space="preserve">Systems and methods for high speed array printing and hybridization </t>
  </si>
  <si>
    <t>US2008227663</t>
  </si>
  <si>
    <t xml:space="preserve">Universal artificial intelligence software program </t>
  </si>
  <si>
    <t>US2003101151</t>
  </si>
  <si>
    <t xml:space="preserve">Systems and methods for a voice- and gesture-controlled mobile application development and deployment platform </t>
  </si>
  <si>
    <t>US2014109046</t>
  </si>
  <si>
    <t xml:space="preserve">Hydrate-based desalination using compound permeable restraint panels and vaporization-based cooling </t>
  </si>
  <si>
    <t>US2009254417</t>
  </si>
  <si>
    <t xml:space="preserve">Power supply control device and method thereof, image processing apparatus, and non-transitory computer readable medium storing power supply control program </t>
  </si>
  <si>
    <t>US2013010335</t>
  </si>
  <si>
    <t xml:space="preserve">Microdroplet-based 3-D volumetric displays utilizing emitted and moving droplet projection screens </t>
  </si>
  <si>
    <t>US2010321478</t>
  </si>
  <si>
    <t xml:space="preserve">Systems and Methods to Facilitate Transition from Communication to Commerce </t>
  </si>
  <si>
    <t>US2007189520</t>
  </si>
  <si>
    <t xml:space="preserve">Method and system of processing a query using human assistants </t>
  </si>
  <si>
    <t>US2011106617</t>
  </si>
  <si>
    <t xml:space="preserve">Method and system for enabling commerce using bridge between real world and proprietary environments </t>
  </si>
  <si>
    <t>US2008208749</t>
  </si>
  <si>
    <t>US2008319660</t>
  </si>
  <si>
    <t xml:space="preserve">System and method for controlling drone delivery or pick up during a delivery or pick up phase of drone operation </t>
  </si>
  <si>
    <t>US2016033966</t>
  </si>
  <si>
    <t xml:space="preserve">Clinical information system </t>
  </si>
  <si>
    <t>US2009089100</t>
  </si>
  <si>
    <t xml:space="preserve">Generating a courier shipping label or the like, including an ornamental graphic design, at a non-courier printer </t>
  </si>
  <si>
    <t>US2002030854</t>
  </si>
  <si>
    <t xml:space="preserve">Methods and systems for food preparation in a robotic cooking kitchen </t>
  </si>
  <si>
    <t>US2015290795</t>
  </si>
  <si>
    <t xml:space="preserve">Nucleic acid molecules and polypeptides for a human cation channel polypeptide </t>
  </si>
  <si>
    <t>US2003096249</t>
  </si>
  <si>
    <t xml:space="preserve">Integrating a Search Service with a Social Network Resource </t>
  </si>
  <si>
    <t>US2011252011</t>
  </si>
  <si>
    <t xml:space="preserve">Universal electronic payment system: to include "PS1 &amp; PFN Connect TM", and the same technology to provide wireless interoperability for first responder communications in a national security program </t>
  </si>
  <si>
    <t>US2007079012</t>
  </si>
  <si>
    <t xml:space="preserve">Apparatus and method for providing a virtual assistant </t>
  </si>
  <si>
    <t>US2014164476</t>
  </si>
  <si>
    <t xml:space="preserve">Automated tool set for improving operations in an ecommerce business </t>
  </si>
  <si>
    <t>US2003212583</t>
  </si>
  <si>
    <t xml:space="preserve">Method, system and medium for assessing the impact of various ailments on health related quality of life </t>
  </si>
  <si>
    <t>US2006218007</t>
  </si>
  <si>
    <t xml:space="preserve">Composite compositions for electrophoresis </t>
  </si>
  <si>
    <t>US2005121325</t>
  </si>
  <si>
    <t xml:space="preserve">System for expediting procurement of deliverables from expedited service areas </t>
  </si>
  <si>
    <t>US2009048878</t>
  </si>
  <si>
    <t xml:space="preserve">Systems and methods for a mobile business application development and deployment platform </t>
  </si>
  <si>
    <t>US2013247005</t>
  </si>
  <si>
    <t xml:space="preserve">Movable selective debridging apparatus for debridging soldered joints on printed circuit boards </t>
  </si>
  <si>
    <t>US6168065</t>
  </si>
  <si>
    <t xml:space="preserve">Computer game development factory system and method </t>
  </si>
  <si>
    <t>US7967678</t>
  </si>
  <si>
    <t xml:space="preserve">Microfluidic devices </t>
  </si>
  <si>
    <t>US2013210639</t>
  </si>
  <si>
    <t xml:space="preserve">Method and device for controlling an inputting data </t>
  </si>
  <si>
    <t>US2011209087</t>
  </si>
  <si>
    <t xml:space="preserve">Adaptive pattern recognition based controller apparatus and method and human-factored interface thereore </t>
  </si>
  <si>
    <t>US2012017232</t>
  </si>
  <si>
    <t xml:space="preserve">Systems and methods for presenting media asset clips on a media equipment device </t>
  </si>
  <si>
    <t>US2011107215</t>
  </si>
  <si>
    <t xml:space="preserve">Interactive information system for an airplane </t>
  </si>
  <si>
    <t>US2010217458</t>
  </si>
  <si>
    <t xml:space="preserve">Autonomous and Semi-Autonomous Modes for Robotic Capture of Images and Videos </t>
  </si>
  <si>
    <t>US2012277914</t>
  </si>
  <si>
    <t xml:space="preserve">Non-contact feeding device </t>
  </si>
  <si>
    <t>JP2004166459</t>
  </si>
  <si>
    <t xml:space="preserve">Geographic area templates for computer games </t>
  </si>
  <si>
    <t>US2005202862</t>
  </si>
  <si>
    <t xml:space="preserve">Smart wearable devices and system therefor </t>
  </si>
  <si>
    <t>US2015324181</t>
  </si>
  <si>
    <t xml:space="preserve">Device, system, and method of protecting brand names and domain names </t>
  </si>
  <si>
    <t>US2016055490</t>
  </si>
  <si>
    <t xml:space="preserve">Multilingual document retrieval system </t>
  </si>
  <si>
    <t>US7047182</t>
  </si>
  <si>
    <t xml:space="preserve">Self-evolving artificial intelligent cyber robot system </t>
  </si>
  <si>
    <t>KR20090086805</t>
  </si>
  <si>
    <t>US2014325373</t>
  </si>
  <si>
    <t xml:space="preserve">Method and device for simultaneously molecularly cloning and polylocus profiling of genomes or genome mixtures </t>
  </si>
  <si>
    <t>WO03016546</t>
  </si>
  <si>
    <t xml:space="preserve">Methods and systems for brands social networks (bsn) platform </t>
  </si>
  <si>
    <t>WO2010001406</t>
  </si>
  <si>
    <t>JP2004261941</t>
  </si>
  <si>
    <t xml:space="preserve">Natural language context-sensitive and knowledge-based interaction environment for dynamic and flexible product, service and information search and presentation applications </t>
  </si>
  <si>
    <t>WO02073331</t>
  </si>
  <si>
    <t xml:space="preserve">Method and system for an emergency location information service (e-lis) from automated vehicles </t>
  </si>
  <si>
    <t>US2015334545</t>
  </si>
  <si>
    <t xml:space="preserve">Road segment safety rating system </t>
  </si>
  <si>
    <t>US2016171521</t>
  </si>
  <si>
    <t xml:space="preserve">A digital imaging system for assays in well plates, gels and blots </t>
  </si>
  <si>
    <t>WO9807022</t>
  </si>
  <si>
    <t xml:space="preserve">Mounting of a pane in an opening by means of adhesives, especially of a vehicle windshield, for an easier removal of it </t>
  </si>
  <si>
    <t>EP0121480</t>
  </si>
  <si>
    <t xml:space="preserve">Charging system for moving robot, method for searching for charging station, moving robot, connector, and electric connection structure </t>
  </si>
  <si>
    <t>JP2001125641</t>
  </si>
  <si>
    <t xml:space="preserve">Charge system of and charge control method for mobile robot, charge station, mobile robot and its control method </t>
  </si>
  <si>
    <t>JP2001121455</t>
  </si>
  <si>
    <t xml:space="preserve">Data issuing method information display system, and charging method </t>
  </si>
  <si>
    <t>JP2001321571</t>
  </si>
  <si>
    <t xml:space="preserve">Process and apparatus for providing a one-dimensional computer input interface allowing movement in one or two directions to conduct pointer operations usually performed with a mouse and character input usually performed with a keyboard </t>
  </si>
  <si>
    <t>US8013837</t>
  </si>
  <si>
    <t>US8032477</t>
  </si>
  <si>
    <t xml:space="preserve">Method and system of providing verified content </t>
  </si>
  <si>
    <t>US2011307496</t>
  </si>
  <si>
    <t xml:space="preserve">Method and apparatus for providing information about a real-world space </t>
  </si>
  <si>
    <t>US2004137911</t>
  </si>
  <si>
    <t xml:space="preserve">A session robotic system </t>
  </si>
  <si>
    <t>CN101187990</t>
  </si>
  <si>
    <t xml:space="preserve">Networked toys </t>
  </si>
  <si>
    <t>WO0112285</t>
  </si>
  <si>
    <t xml:space="preserve">Method and system for mobile commerce marketing related to position </t>
  </si>
  <si>
    <t>CN101017554</t>
  </si>
  <si>
    <t xml:space="preserve">Global performance optimising process for electric vehicles and their infrastructure </t>
  </si>
  <si>
    <t>FR2721559</t>
  </si>
  <si>
    <t>WO9961984</t>
  </si>
  <si>
    <t xml:space="preserve">Object network </t>
  </si>
  <si>
    <t>CN101825890</t>
  </si>
  <si>
    <t xml:space="preserve">Application of localization, positioning &amp; navigation systems for robotic enabled mobile products </t>
  </si>
  <si>
    <t>CN102083352</t>
  </si>
  <si>
    <t xml:space="preserve">Social network for media topics of information relating to the science of positivism </t>
  </si>
  <si>
    <t>US2014059443</t>
  </si>
  <si>
    <t xml:space="preserve">Apparatus and methods for providing a persistent companion device </t>
  </si>
  <si>
    <t>US2014277735</t>
  </si>
  <si>
    <t xml:space="preserve">Tile lighting methods and systems </t>
  </si>
  <si>
    <t>WO2004094896</t>
  </si>
  <si>
    <t>WO2007021974</t>
  </si>
  <si>
    <t xml:space="preserve">Online television messenger </t>
  </si>
  <si>
    <t>WO03047257</t>
  </si>
  <si>
    <t>US8069131</t>
  </si>
  <si>
    <t xml:space="preserve">Zulu numbers for object identification and enhancement </t>
  </si>
  <si>
    <t>US2012241516</t>
  </si>
  <si>
    <t xml:space="preserve">Information search system, information search method, information search device, information search program, image recognition device, image recognition method, image recognition program, and sales sy </t>
  </si>
  <si>
    <t>CN1914611</t>
  </si>
  <si>
    <t xml:space="preserve">Autonomous safety and security device on an unmanned platform under command and control of a cellular phone </t>
  </si>
  <si>
    <t>US9589448</t>
  </si>
  <si>
    <t xml:space="preserve">Heated reaction chamber in a unified fluid circuit of a hematology diagnostic instrument </t>
  </si>
  <si>
    <t>US5908599</t>
  </si>
  <si>
    <t xml:space="preserve">Resource based virtual communities </t>
  </si>
  <si>
    <t>CN101116051</t>
  </si>
  <si>
    <t xml:space="preserve">Tactile feedback button for a hazard detector and fabrication method thereof </t>
  </si>
  <si>
    <t>US2015096876</t>
  </si>
  <si>
    <t xml:space="preserve">System and method for improved directory assistance searches </t>
  </si>
  <si>
    <t>US8184797</t>
  </si>
  <si>
    <t>US2005026631</t>
  </si>
  <si>
    <t xml:space="preserve">Ornament apparatus, system &amp; method </t>
  </si>
  <si>
    <t>US2010226617</t>
  </si>
  <si>
    <t>US2015314454</t>
  </si>
  <si>
    <t xml:space="preserve">Under-actuated artificial limb hand </t>
  </si>
  <si>
    <t>CN103565562</t>
  </si>
  <si>
    <t>US2014250145</t>
  </si>
  <si>
    <t xml:space="preserve">Multifunction Apparatus for Telecommunications </t>
  </si>
  <si>
    <t>US2011141218</t>
  </si>
  <si>
    <t xml:space="preserve">Personalized access to web sites </t>
  </si>
  <si>
    <t>WO0048110</t>
  </si>
  <si>
    <t>US2010241448</t>
  </si>
  <si>
    <t xml:space="preserve">Multimedia television system for interactive social media and social network </t>
  </si>
  <si>
    <t>US2015271557</t>
  </si>
  <si>
    <t xml:space="preserve">Display device and method thereof </t>
  </si>
  <si>
    <t>WO2006049150</t>
  </si>
  <si>
    <t>USRE45062</t>
  </si>
  <si>
    <t xml:space="preserve">Car navigation system, car navigation method, and program </t>
  </si>
  <si>
    <t>JP2005345325</t>
  </si>
  <si>
    <t xml:space="preserve">Mapping patterns of movement based on the aggregation of spatial information contained in wireless transmissions </t>
  </si>
  <si>
    <t>US6975939</t>
  </si>
  <si>
    <t xml:space="preserve">Analysis and manipulation of images and video for generation of surround views </t>
  </si>
  <si>
    <t>US2015130799</t>
  </si>
  <si>
    <t xml:space="preserve">Game with detection capability </t>
  </si>
  <si>
    <t>US2011053173</t>
  </si>
  <si>
    <t xml:space="preserve">Automatic injection device </t>
  </si>
  <si>
    <t>CN101484199</t>
  </si>
  <si>
    <t xml:space="preserve">Methods for identifying nucleotides at defined positions in target nucleic acids </t>
  </si>
  <si>
    <t>US2004058349</t>
  </si>
  <si>
    <t xml:space="preserve">Counterpart artificial intelligence software program </t>
  </si>
  <si>
    <t>US2006179022</t>
  </si>
  <si>
    <t xml:space="preserve">Robot control, training and collaboration in an immersive virtual reality environment </t>
  </si>
  <si>
    <t>US2016257000</t>
  </si>
  <si>
    <t>WO2007078599</t>
  </si>
  <si>
    <t xml:space="preserve">Desired information working device and method therefor, and recording medium </t>
  </si>
  <si>
    <t>JP2000132566</t>
  </si>
  <si>
    <t xml:space="preserve">Method and its System for Offering Fit Information Through Internet </t>
  </si>
  <si>
    <t>KR20020018321</t>
  </si>
  <si>
    <t xml:space="preserve">Systems and methods for providing interactive content with a media asset on a media equipment device </t>
  </si>
  <si>
    <t>US2011138417</t>
  </si>
  <si>
    <t xml:space="preserve">Haptically-Enabled Co-Robotics for Underwater Tasks </t>
  </si>
  <si>
    <t>US2014320629</t>
  </si>
  <si>
    <t xml:space="preserve">Removal of dye-labeled dideoxy terminators from DNA sequencing reactions </t>
  </si>
  <si>
    <t>US6818760</t>
  </si>
  <si>
    <t>EP0455477</t>
  </si>
  <si>
    <t xml:space="preserve">Adjustable parallax distance, wide field of view, stereoscopic imaging system </t>
  </si>
  <si>
    <t>US9185391</t>
  </si>
  <si>
    <t xml:space="preserve">Continuous processing system for chemical/mechanical polishing </t>
  </si>
  <si>
    <t>JPH09174420</t>
  </si>
  <si>
    <t xml:space="preserve">Loading test device for five-axis linkage machine tools </t>
  </si>
  <si>
    <t>CN101871851</t>
  </si>
  <si>
    <t xml:space="preserve">A force feedback provided manipulator </t>
  </si>
  <si>
    <t>CN1864939</t>
  </si>
  <si>
    <t xml:space="preserve">Optic fiber security system </t>
  </si>
  <si>
    <t>WO9418649</t>
  </si>
  <si>
    <t xml:space="preserve">Three-dimensional (3D) scene display system </t>
  </si>
  <si>
    <t>CN102542129</t>
  </si>
  <si>
    <t xml:space="preserve">Variable modular system for mfg. special vehicles - has driver's cab fitted with coupling profile for assembly of sandwiched vehicle panels </t>
  </si>
  <si>
    <t>DE4318080</t>
  </si>
  <si>
    <t xml:space="preserve">Method for registration of terminal information and method of utilizing it </t>
  </si>
  <si>
    <t>JP2003223449</t>
  </si>
  <si>
    <t xml:space="preserve">Remote controlled cooking robot </t>
  </si>
  <si>
    <t>CN101675855</t>
  </si>
  <si>
    <t xml:space="preserve">Methods for performing driver identity verification </t>
  </si>
  <si>
    <t>CN101296821</t>
  </si>
  <si>
    <t xml:space="preserve">System and method for a comprehensive integrated education system </t>
  </si>
  <si>
    <t>US2014255889</t>
  </si>
  <si>
    <t xml:space="preserve">Method and System for Providing on-the-spot Exhibition Object Guidance Service </t>
  </si>
  <si>
    <t>KR20050017816</t>
  </si>
  <si>
    <t xml:space="preserve">Automatic answering device, automatic answering system, conversation scenario editing device, conversation server, and automatic answering method </t>
  </si>
  <si>
    <t>US2010049517</t>
  </si>
  <si>
    <t xml:space="preserve">Front axle carrier for motor vehicles </t>
  </si>
  <si>
    <t>CN101855124</t>
  </si>
  <si>
    <t xml:space="preserve">Distributed content exchange and presentation system </t>
  </si>
  <si>
    <t>CN101443800</t>
  </si>
  <si>
    <t xml:space="preserve">3d entity digital magnifying glass system having 3d visual instruction function </t>
  </si>
  <si>
    <t>WO2005093687</t>
  </si>
  <si>
    <t xml:space="preserve">Programmable joint simulator with force and motion feedback </t>
  </si>
  <si>
    <t>WO03001483</t>
  </si>
  <si>
    <t xml:space="preserve">Method and apparatus for optical information, method and apparatus for reproducing optical information, apparatus for recording/reproducing optical information, and optical information recording medium </t>
  </si>
  <si>
    <t>WO9944195</t>
  </si>
  <si>
    <t xml:space="preserve">Event driven motion systems </t>
  </si>
  <si>
    <t>US2010131078</t>
  </si>
  <si>
    <t xml:space="preserve">Process control in the textile field </t>
  </si>
  <si>
    <t>EP0541483</t>
  </si>
  <si>
    <t xml:space="preserve">Enhanced display of environmental navigation features to vehicle operator </t>
  </si>
  <si>
    <t>WO02073535</t>
  </si>
  <si>
    <t xml:space="preserve">Remote selling system and method for merchandise </t>
  </si>
  <si>
    <t>JP2003099629</t>
  </si>
  <si>
    <t xml:space="preserve">Network marketing method </t>
  </si>
  <si>
    <t>CN101645155</t>
  </si>
  <si>
    <t xml:space="preserve">Rapid thermal firing IR conveyor furnace having high intensity heating section </t>
  </si>
  <si>
    <t>CN101478882</t>
  </si>
  <si>
    <t xml:space="preserve">Systems and methods for simulating dialog between a user and media equipment device </t>
  </si>
  <si>
    <t>US2011106536</t>
  </si>
  <si>
    <t xml:space="preserve">Business information provision service system </t>
  </si>
  <si>
    <t>JP2010026602</t>
  </si>
  <si>
    <t xml:space="preserve">Internet-Assisted Systems and Methods for Building a Customer Base for Musicians </t>
  </si>
  <si>
    <t>US2011295669</t>
  </si>
  <si>
    <t xml:space="preserve">Ocean tunnel traffic equipment system using buoyancying of duplication structure of block pipes </t>
  </si>
  <si>
    <t>KR20120066690</t>
  </si>
  <si>
    <t xml:space="preserve">Position determining means </t>
  </si>
  <si>
    <t>US2366939</t>
  </si>
  <si>
    <t xml:space="preserve">Shopping space route guidance systems, devices and methods </t>
  </si>
  <si>
    <t>US2016258762</t>
  </si>
  <si>
    <t xml:space="preserve">3-dimensional multi-layered modular computer architecture </t>
  </si>
  <si>
    <t>US2013063854</t>
  </si>
  <si>
    <t xml:space="preserve">Distribution value measuring method and measuring system using distribution value sensor therefore </t>
  </si>
  <si>
    <t>WO2008032661</t>
  </si>
  <si>
    <t xml:space="preserve">Methods and Apparatuses to Provide Multimedia Connections </t>
  </si>
  <si>
    <t>US2007159973</t>
  </si>
  <si>
    <t xml:space="preserve">Automated system to update insurance carrier with exposure data in real-time </t>
  </si>
  <si>
    <t>US8666786</t>
  </si>
  <si>
    <t xml:space="preserve">Multi-axis joystick and transducer means therefore </t>
  </si>
  <si>
    <t>WO03088204</t>
  </si>
  <si>
    <t xml:space="preserve">Monitoring system with autonomous mobile body, monitoring device, autonomous mobile body, monitoring method and monitoring program </t>
  </si>
  <si>
    <t>JP2012078950</t>
  </si>
  <si>
    <t xml:space="preserve">Device and method for placing orthodontic appliance brackets onto teeth </t>
  </si>
  <si>
    <t>WO0187179</t>
  </si>
  <si>
    <t xml:space="preserve">Methods and systems for transportation using unmanned aerial vehicles </t>
  </si>
  <si>
    <t>US2017129603</t>
  </si>
  <si>
    <t xml:space="preserve">Mobile intranet system, html document converting method and mobile internet authentification method </t>
  </si>
  <si>
    <t>JP2001337887</t>
  </si>
  <si>
    <t xml:space="preserve">System for measuring finger movement </t>
  </si>
  <si>
    <t>JP2002065641</t>
  </si>
  <si>
    <t xml:space="preserve">Star Identification and Alignment System </t>
  </si>
  <si>
    <t>US2008174863</t>
  </si>
  <si>
    <t xml:space="preserve">Apparatus for the automatic dispensing and semi-automatic repositioning of commercial products </t>
  </si>
  <si>
    <t>WO2009138538</t>
  </si>
  <si>
    <t xml:space="preserve">System and method for click fraud protection </t>
  </si>
  <si>
    <t>US2013110648</t>
  </si>
  <si>
    <t>WO9213121</t>
  </si>
  <si>
    <t xml:space="preserve">Tourism request-answer system answer abstracting method based on ontology reasoning </t>
  </si>
  <si>
    <t>CN101436206</t>
  </si>
  <si>
    <t xml:space="preserve">Circulating tumor and tumor stem cell detection using genomic specific probes </t>
  </si>
  <si>
    <t>WO2010005991</t>
  </si>
  <si>
    <t xml:space="preserve">Page generating system and page generating method based on WAP (Wireless Application Protocol) platform </t>
  </si>
  <si>
    <t>CN102340529</t>
  </si>
  <si>
    <t xml:space="preserve">3-dimension contents giving system and operation method thereof </t>
  </si>
  <si>
    <t>KR20060070002</t>
  </si>
  <si>
    <t xml:space="preserve">Reception and information robot system </t>
  </si>
  <si>
    <t>JPH07295637</t>
  </si>
  <si>
    <t xml:space="preserve">Grating transducer for acoustic touch screen </t>
  </si>
  <si>
    <t>CN1242096</t>
  </si>
  <si>
    <t xml:space="preserve">Systems and methods for generating virtual item displays </t>
  </si>
  <si>
    <t>US9412203</t>
  </si>
  <si>
    <t xml:space="preserve">Flexible multichamber medicine container and its mfg. method and use </t>
  </si>
  <si>
    <t>CN1515239</t>
  </si>
  <si>
    <t xml:space="preserve">Transfer Learning For Predictive Model Development </t>
  </si>
  <si>
    <t>US2015235143</t>
  </si>
  <si>
    <t xml:space="preserve">System and methods for on-body gestural interfaces and projection displays </t>
  </si>
  <si>
    <t>US2017123487</t>
  </si>
  <si>
    <t xml:space="preserve">Method for guide service for person using moving robot </t>
  </si>
  <si>
    <t>KR20110103537</t>
  </si>
  <si>
    <t xml:space="preserve">Robot arm </t>
  </si>
  <si>
    <t>WO2007095662</t>
  </si>
  <si>
    <t xml:space="preserve">Rolling </t>
  </si>
  <si>
    <t>DE10392207</t>
  </si>
  <si>
    <t xml:space="preserve">Household robot for the automatic suction of dust from the floor surfaces </t>
  </si>
  <si>
    <t>WO0007492</t>
  </si>
  <si>
    <t>US8898098</t>
  </si>
  <si>
    <t xml:space="preserve">A system, method, computer program and data signal for the registration, monitoring and control of machines and devices </t>
  </si>
  <si>
    <t>WO2014071465</t>
  </si>
  <si>
    <t xml:space="preserve">In-building service system </t>
  </si>
  <si>
    <t>JP2012094001</t>
  </si>
  <si>
    <t xml:space="preserve">Cast al alloys </t>
  </si>
  <si>
    <t>CN101855375</t>
  </si>
  <si>
    <t xml:space="preserve">Remote-control-type cooking robot </t>
  </si>
  <si>
    <t>CN201404047</t>
  </si>
  <si>
    <t xml:space="preserve">Synergy of dopamine d2 and adenosine a2 receptors activates pka signaling via beta/gamma dimers </t>
  </si>
  <si>
    <t>WO03082211</t>
  </si>
  <si>
    <t xml:space="preserve">Non-contact power transmission apparatus, non-contact signal transmitter, separation type machine using them and control method thereof </t>
  </si>
  <si>
    <t>WO9326020</t>
  </si>
  <si>
    <t xml:space="preserve">Method and process for registration, creation and management of micro shares of real or intangible properties and advertisements in a network system </t>
  </si>
  <si>
    <t>US2015310497</t>
  </si>
  <si>
    <t xml:space="preserve">Garage for setting a plurality of two-wheeled vehicles, in particular those with an electric drive </t>
  </si>
  <si>
    <t>DE102011055030</t>
  </si>
  <si>
    <t xml:space="preserve">Single molecule amplification and detection of Dna </t>
  </si>
  <si>
    <t>JP2006511239</t>
  </si>
  <si>
    <t xml:space="preserve">Device and method for instilling intrinsic motivation regarding eye contact in children affected by eye contact disorders </t>
  </si>
  <si>
    <t>US2017360647</t>
  </si>
  <si>
    <t xml:space="preserve">System and method for electronic commerce and other uses </t>
  </si>
  <si>
    <t>CN101689255</t>
  </si>
  <si>
    <t xml:space="preserve">Sentence description method, structured sentence description method, retrieval sentence data integration method, information processing system and apparatus, information processing apparatus with means for sentence data description, information processing apparatus with means for sentence data retrieval, and information processing apparatus with means for content recording reproduction </t>
  </si>
  <si>
    <t>JP2011123851</t>
  </si>
  <si>
    <t xml:space="preserve">Method for supporting electronic commercial transaction and system for supporting electronic commercial transaction </t>
  </si>
  <si>
    <t>JP2002133290</t>
  </si>
  <si>
    <t xml:space="preserve">The apparatus and method of automated robotic delivery </t>
  </si>
  <si>
    <t>KR101280908</t>
  </si>
  <si>
    <t xml:space="preserve">Household robot for automatic vacuum cleaning floor surfaces </t>
  </si>
  <si>
    <t>DE19916427</t>
  </si>
  <si>
    <t xml:space="preserve">Automatic vending machine, spiral rack and box rack to be used for the same </t>
  </si>
  <si>
    <t>JP2000331234</t>
  </si>
  <si>
    <t xml:space="preserve">Virtual reality e-commerce platform system and application method thereof </t>
  </si>
  <si>
    <t>CN103761667</t>
  </si>
  <si>
    <t xml:space="preserve">Robot charging and guiding system </t>
  </si>
  <si>
    <t>JP2006239797</t>
  </si>
  <si>
    <t xml:space="preserve">Personal helper bot system </t>
  </si>
  <si>
    <t>US2016044380</t>
  </si>
  <si>
    <t xml:space="preserve">Systems and methods for providing interactive content during writing and production of a media asset </t>
  </si>
  <si>
    <t>US2011135278</t>
  </si>
  <si>
    <t>WO9961967</t>
  </si>
  <si>
    <t xml:space="preserve">Information display system and charging method </t>
  </si>
  <si>
    <t>JP2008114095</t>
  </si>
  <si>
    <t xml:space="preserve">Technique for designing and manufacturing precision-folded, high strength, fatigue-resistant structure and sheet therefor </t>
  </si>
  <si>
    <t>JP2009202233</t>
  </si>
  <si>
    <t>US9527217</t>
  </si>
  <si>
    <t xml:space="preserve">Exhibit explanation robot and exhibit explanation method using the robot </t>
  </si>
  <si>
    <t>JP2011020223</t>
  </si>
  <si>
    <t xml:space="preserve">Commercial walking robot able to balance walk </t>
  </si>
  <si>
    <t>CN2298990</t>
  </si>
  <si>
    <t xml:space="preserve">Man-machine interactive intelligent robot </t>
  </si>
  <si>
    <t>CN106737750</t>
  </si>
  <si>
    <t xml:space="preserve">Moving receptionist robot and the system thereof </t>
  </si>
  <si>
    <t>KR101012288</t>
  </si>
  <si>
    <t xml:space="preserve">Natural language dialog system, helper agent in natural language dialog system, and computer-readable recording medium which agent program is recorded </t>
  </si>
  <si>
    <t>JP2001337827</t>
  </si>
  <si>
    <t xml:space="preserve">Method and system for facilitating commercial transactions using a telepresence robot </t>
  </si>
  <si>
    <t>WO2008106088</t>
  </si>
  <si>
    <t xml:space="preserve">Method and device for conducting personalized marketing with user by using human-computer interaction technology </t>
  </si>
  <si>
    <t>CN101556669</t>
  </si>
  <si>
    <t xml:space="preserve">Watercraft that harvest both locomotive thrust and electrical power from wave motion </t>
  </si>
  <si>
    <t>CN103635384</t>
  </si>
  <si>
    <t xml:space="preserve">Blade for cutting body of fish and body of fish-cutting apparatus </t>
  </si>
  <si>
    <t>JP2000069902</t>
  </si>
  <si>
    <t xml:space="preserve">Biosensor array formed by junctions of functionalized electrodes </t>
  </si>
  <si>
    <t>WO2012116385</t>
  </si>
  <si>
    <t xml:space="preserve">Diagnosis and prognosis of infectious diesease clinical phenotypes and other physiologic states using host gene expresion biomarkers in blood </t>
  </si>
  <si>
    <t>WO2007011412</t>
  </si>
  <si>
    <t xml:space="preserve">A method and apparatus for the title trading network </t>
  </si>
  <si>
    <t>JP2005525653</t>
  </si>
  <si>
    <t xml:space="preserve">Network system or discount negotiation system </t>
  </si>
  <si>
    <t>JP2006313393</t>
  </si>
  <si>
    <t xml:space="preserve">Augmented reality's wisdom tourism system </t>
  </si>
  <si>
    <t>CN206193936</t>
  </si>
  <si>
    <t xml:space="preserve">Electronic advertisement method using advertisement intermediation site </t>
  </si>
  <si>
    <t>KR100822491</t>
  </si>
  <si>
    <t xml:space="preserve">Personalized media automatic creation system </t>
  </si>
  <si>
    <t>JP2003529975</t>
  </si>
  <si>
    <t xml:space="preserve">Object additional display method, and program, script, plug-in, tag, image, data, object, content, advertisement, and document for object additive display </t>
  </si>
  <si>
    <t>JP2004341965</t>
  </si>
  <si>
    <t xml:space="preserve">Integrated interactive system and method for visualizing human physiology, disease, treatment options and use </t>
  </si>
  <si>
    <t>US2013040274</t>
  </si>
  <si>
    <t xml:space="preserve">Systems, methods, and devices for generating critical mass in a mobile advertising, media, and communications platform </t>
  </si>
  <si>
    <t>US2017200197</t>
  </si>
  <si>
    <t xml:space="preserve">3-dimensino image generating apparatus using multi-joint robot and method thereof </t>
  </si>
  <si>
    <t>KR100529721</t>
  </si>
  <si>
    <t xml:space="preserve">A power station for robot cleanner </t>
  </si>
  <si>
    <t>KR101428846</t>
  </si>
  <si>
    <t>JP2009518716</t>
  </si>
  <si>
    <t xml:space="preserve">Real-time in a virtual reality environment virtual view point </t>
  </si>
  <si>
    <t>JP2004537082</t>
  </si>
  <si>
    <t xml:space="preserve">User interface design and evaluation system and hand interaction based user interface design and evaluation system </t>
  </si>
  <si>
    <t>KR20060071302</t>
  </si>
  <si>
    <t xml:space="preserve">Band shift livestock farm territory light shows guide to visitors robot of maring </t>
  </si>
  <si>
    <t>CN206075140</t>
  </si>
  <si>
    <t xml:space="preserve">Automated diagnostic system and method </t>
  </si>
  <si>
    <t>JP2003528373</t>
  </si>
  <si>
    <t xml:space="preserve">Virtual photorealistic digital actor system for remote service of customers </t>
  </si>
  <si>
    <t>US2017011745</t>
  </si>
  <si>
    <t xml:space="preserve">Apparatus, system and method for generating intelligent personalized information in wired/wireless convergence network based on IP multimedia subsystem </t>
  </si>
  <si>
    <t>KR101021763</t>
  </si>
  <si>
    <t xml:space="preserve">Systems and methods for locating and/or mapping buried utilities using vehicle-mounted locating devices </t>
  </si>
  <si>
    <t>US2017307670</t>
  </si>
  <si>
    <t xml:space="preserve">System and method for evaluation of object autonomy </t>
  </si>
  <si>
    <t>US2016321381</t>
  </si>
  <si>
    <t xml:space="preserve">Robotic assistant for laparoscopic surgery </t>
  </si>
  <si>
    <t>WO2004032752</t>
  </si>
  <si>
    <t xml:space="preserve">Multi-source bridge network distribution system and method </t>
  </si>
  <si>
    <t>KR20080081182</t>
  </si>
  <si>
    <t xml:space="preserve">Charge traffic system by non-contact power supply </t>
  </si>
  <si>
    <t>JP2012153277</t>
  </si>
  <si>
    <t xml:space="preserve">Systems and methods for generating biological material </t>
  </si>
  <si>
    <t>WO2007001962</t>
  </si>
  <si>
    <t>KR20070104472</t>
  </si>
  <si>
    <t>KR20100054878</t>
  </si>
  <si>
    <t xml:space="preserve">Applications for light (photic digital sound and images alphanumeric artificial language) </t>
  </si>
  <si>
    <t>WO2008062258</t>
  </si>
  <si>
    <t xml:space="preserve">Robot System </t>
  </si>
  <si>
    <t>KR101099808</t>
  </si>
  <si>
    <t xml:space="preserve">Semisupervised autoencoder for sentiment analysis </t>
  </si>
  <si>
    <t>US2018165554</t>
  </si>
  <si>
    <t xml:space="preserve">Propulsion invertible water jets and directional controls for autoatizados pool cleaner. </t>
  </si>
  <si>
    <t>ES2239946</t>
  </si>
  <si>
    <t xml:space="preserve">Wearable Electronic, Multi-Sensory, Human/Machine, Human/Human Interfaces </t>
  </si>
  <si>
    <t>US2018081439</t>
  </si>
  <si>
    <t xml:space="preserve">Persistent companion device configuration and deployment platform </t>
  </si>
  <si>
    <t>US2017206064</t>
  </si>
  <si>
    <t xml:space="preserve">Method and system for purchasing products or services appearing in playing media without interrupting viewing </t>
  </si>
  <si>
    <t>US9087358</t>
  </si>
  <si>
    <t xml:space="preserve">Robot for traffic guide </t>
  </si>
  <si>
    <t>JPH0883394</t>
  </si>
  <si>
    <t xml:space="preserve">Digital rights management and audience measurement systems and methods </t>
  </si>
  <si>
    <t>CN101682461</t>
  </si>
  <si>
    <t xml:space="preserve">Modular device for securely transporting and moving heavy equipment on a multi-purpose vehicle, used in the medical, food distribution, communication and leisure fields </t>
  </si>
  <si>
    <t>FR2807981</t>
  </si>
  <si>
    <t xml:space="preserve">Virtualization, visualization and autonomous design &amp; development of objects </t>
  </si>
  <si>
    <t>US2018089349</t>
  </si>
  <si>
    <t xml:space="preserve">Development of a 3 DOF Robot for Harvesting a Lettuce Using Machine Vision and Fuzzy Logic Control </t>
  </si>
  <si>
    <t>KR100375681</t>
  </si>
  <si>
    <t xml:space="preserve">Modular storage system with movable rack, specially applicable to motor vehicles </t>
  </si>
  <si>
    <t>WO9627063</t>
  </si>
  <si>
    <t xml:space="preserve">The avatar character messenger on matching advertising system and that business model/method </t>
  </si>
  <si>
    <t>KR20080077706</t>
  </si>
  <si>
    <t>KR20140040094</t>
  </si>
  <si>
    <t xml:space="preserve">Customer service robot and related systems and methods </t>
  </si>
  <si>
    <t>KR20170097017</t>
  </si>
  <si>
    <t xml:space="preserve">Video clip sales device </t>
  </si>
  <si>
    <t>JPH05182414</t>
  </si>
  <si>
    <t xml:space="preserve">Kind of long-monument whole industry chain ecological wisdom was shared with the business model </t>
  </si>
  <si>
    <t>CN108346000</t>
  </si>
  <si>
    <t xml:space="preserve">Intelligent whole-industrial-chain management platform and operation method thereof </t>
  </si>
  <si>
    <t>CN108062717</t>
  </si>
  <si>
    <t xml:space="preserve">Neural links/artificial intelligence/computer-robotics/automation/mind control over any and all things </t>
  </si>
  <si>
    <t>CA2625795</t>
  </si>
  <si>
    <t xml:space="preserve">Flow-state discrimination device, flow-state discrimination method, flow-state discrimination program, and robot control system using the device, method and program </t>
  </si>
  <si>
    <t>JP2012203646</t>
  </si>
  <si>
    <t xml:space="preserve">Humanoid game-playing robot, method and system for using said robot </t>
  </si>
  <si>
    <t>CN103079657</t>
  </si>
  <si>
    <t xml:space="preserve">Methods for Pruning Fruit Plants and Methods for Harvesting Fruit </t>
  </si>
  <si>
    <t>US2018092304</t>
  </si>
  <si>
    <t>KR101323597</t>
  </si>
  <si>
    <t xml:space="preserve">Robot Device for Advertisement </t>
  </si>
  <si>
    <t>KR200471454</t>
  </si>
  <si>
    <t xml:space="preserve">Buying and selling information exchange apparatus and method </t>
  </si>
  <si>
    <t>JP6373980</t>
  </si>
  <si>
    <t xml:space="preserve">Total management system using underground space information </t>
  </si>
  <si>
    <t>KR101763495</t>
  </si>
  <si>
    <t xml:space="preserve">Apparatus for drying dip-coated medicaments </t>
  </si>
  <si>
    <t>CA2481836</t>
  </si>
  <si>
    <t>KR101247932</t>
  </si>
  <si>
    <t xml:space="preserve">A method for navigation of an endoscopic instrument with the technical endoscopy and associated apparatus </t>
  </si>
  <si>
    <t>DE102009010263</t>
  </si>
  <si>
    <t xml:space="preserve">Method of processing natural expression, processing and response method, apparatus, and systems </t>
  </si>
  <si>
    <t>JP6182272</t>
  </si>
  <si>
    <t xml:space="preserve">Arm-wrestling robot and the control method </t>
  </si>
  <si>
    <t>KR101230536</t>
  </si>
  <si>
    <t xml:space="preserve">Method and system for detection of tool performance degradation and mismatch </t>
  </si>
  <si>
    <t>KR101609017</t>
  </si>
  <si>
    <t xml:space="preserve">An Automated Book Scanner Using Commercial Cameras and Commercial Flatbed Scanners </t>
  </si>
  <si>
    <t>KR101683376</t>
  </si>
  <si>
    <t xml:space="preserve">Multi-objective optimization calculating method based on internet-of-things whole-course monitoring of 3G communication technology </t>
  </si>
  <si>
    <t>CN104580337</t>
  </si>
  <si>
    <t xml:space="preserve">Method for providing instant message service using bot </t>
  </si>
  <si>
    <t>KR20150037804</t>
  </si>
  <si>
    <t xml:space="preserve">RF CC1101 system-based multifunctional cruise ship shipping intelligent terminal </t>
  </si>
  <si>
    <t>CN104574938</t>
  </si>
  <si>
    <t xml:space="preserve">Equipment for a virtual interactive experience </t>
  </si>
  <si>
    <t>WO2010009869</t>
  </si>
  <si>
    <t xml:space="preserve">Autonomous mobile body, monitoring system and communication method </t>
  </si>
  <si>
    <t>JP2009083051</t>
  </si>
  <si>
    <t xml:space="preserve">Game server stress test script generation method and device </t>
  </si>
  <si>
    <t>CN105959177</t>
  </si>
  <si>
    <t xml:space="preserve">Trademark system </t>
  </si>
  <si>
    <t>KR20030085985</t>
  </si>
  <si>
    <t>KR20070056017</t>
  </si>
  <si>
    <t xml:space="preserve">Sheet-shaped device </t>
  </si>
  <si>
    <t>WO2018174109</t>
  </si>
  <si>
    <t xml:space="preserve">multimedia interactive system for e-commerce. </t>
  </si>
  <si>
    <t>ES2346118</t>
  </si>
  <si>
    <t xml:space="preserve">Method and system for location based recordal of user activity </t>
  </si>
  <si>
    <t>CN1526125</t>
  </si>
  <si>
    <t xml:space="preserve">Methods, system and apparatus for the detection, diagnosis and treatment of biological rhythm disorders </t>
  </si>
  <si>
    <t>KR20130057997</t>
  </si>
  <si>
    <t xml:space="preserve">Loci of important qualitative traits (QTL) conferring resistance to corn Fijivirus. </t>
  </si>
  <si>
    <t>ES2498440</t>
  </si>
  <si>
    <t xml:space="preserve">Special fairy tale amusement park and amusing method </t>
  </si>
  <si>
    <t>CN1094327</t>
  </si>
  <si>
    <t xml:space="preserve">The device telephone device 100 to improve a robot and a reminder feature phone features </t>
  </si>
  <si>
    <t>FI115362</t>
  </si>
  <si>
    <t xml:space="preserve">Visual tape playing device </t>
  </si>
  <si>
    <t>CN1668096</t>
  </si>
  <si>
    <t xml:space="preserve">An autopoietic network system endowed with distributed artificial intelligence for the supply of high volume high speed multimedia telesthesia, telemetry, telekinesis, telepresence </t>
  </si>
  <si>
    <t>CN1311879</t>
  </si>
  <si>
    <t xml:space="preserve">Online stroke management device based on membership and authority management method </t>
  </si>
  <si>
    <t>CN107438024</t>
  </si>
  <si>
    <t xml:space="preserve">Double-track vehicle </t>
  </si>
  <si>
    <t>WO2018041053</t>
  </si>
  <si>
    <t xml:space="preserve">Synthetic genomic variant-based secure transaction devices, systems and methods </t>
  </si>
  <si>
    <t>KR20170051478</t>
  </si>
  <si>
    <t xml:space="preserve">Maker Town system and platform </t>
  </si>
  <si>
    <t>CN107507119</t>
  </si>
  <si>
    <t xml:space="preserve">Real Estate Electronic Commerce System of Auction Type Having an Escrow Function </t>
  </si>
  <si>
    <t>KR20010084681</t>
  </si>
  <si>
    <t xml:space="preserve">Method, machine and devices for producing flexible 3d packaging, by means of folding a flap on itself </t>
  </si>
  <si>
    <t>WO2017021570</t>
  </si>
  <si>
    <t xml:space="preserve">System and method for targeting heart rhythm disorders using shaped ablation </t>
  </si>
  <si>
    <t>KR20140070502</t>
  </si>
  <si>
    <t xml:space="preserve">Systems, computer media, and methods for using electromagnetic frequency (emf) identification (id) devices for monitoring, collection, analysis, use and tracking of personal data, biometric data, medical data, transaction data, electronic payment data, and location data for one or more end user, pet, livestock, dairy cows, cattle or other animals, including use of unmanned surveillance vehicles, satellites or hand-held devices </t>
  </si>
  <si>
    <t>US2018211718</t>
  </si>
  <si>
    <t xml:space="preserve">Automatic sale device for motorists </t>
  </si>
  <si>
    <t>DE69532606</t>
  </si>
  <si>
    <t xml:space="preserve">Automatic plant for storing and dispensing goods </t>
  </si>
  <si>
    <t>WO2012020149</t>
  </si>
  <si>
    <t xml:space="preserve">Ultrasonic cutting device </t>
  </si>
  <si>
    <t>ES2561329</t>
  </si>
  <si>
    <t xml:space="preserve">Method and apparatus for palletizing packages irregular size and weight. </t>
  </si>
  <si>
    <t>ES2225394</t>
  </si>
  <si>
    <t xml:space="preserve">Mobile device for irradiation and detection of radiation </t>
  </si>
  <si>
    <t>CN101213442</t>
  </si>
  <si>
    <t xml:space="preserve">System and method for game theory-based design of robotic systems </t>
  </si>
  <si>
    <t>US2018060459</t>
  </si>
  <si>
    <t xml:space="preserve">Pneumatic system for dispatching object-carrying capsule </t>
  </si>
  <si>
    <t>WO2010131284</t>
  </si>
  <si>
    <t xml:space="preserve">Method and system for using geographic data for computer game development </t>
  </si>
  <si>
    <t>JP2006247343</t>
  </si>
  <si>
    <t xml:space="preserve">Method and apparatus for aggregating and linking place data </t>
  </si>
  <si>
    <t>CN103124966</t>
  </si>
  <si>
    <t xml:space="preserve">3G network-based internet-of-vehicle intelligent terminal and implementation method thereof </t>
  </si>
  <si>
    <t>CN104580327</t>
  </si>
  <si>
    <t xml:space="preserve">Tele-presence robot system with multi-cast features </t>
  </si>
  <si>
    <t>CN102089751</t>
  </si>
  <si>
    <t xml:space="preserve">Word flow annotation </t>
  </si>
  <si>
    <t>WO2018031745</t>
  </si>
  <si>
    <t xml:space="preserve">Stock right investment and financing information system for middle- and small-sized enterprises </t>
  </si>
  <si>
    <t>CN107481148</t>
  </si>
  <si>
    <t xml:space="preserve">Walking pattern forming device, biped locomotion robot apparatus, walking pattern forming method, biped locomotion robot apparatus control method, program, and recording medium </t>
  </si>
  <si>
    <t>WO2007032120</t>
  </si>
  <si>
    <t xml:space="preserve">Lipocalin protein </t>
  </si>
  <si>
    <t>CN101189257</t>
  </si>
  <si>
    <t xml:space="preserve">Methods, systems, apparatuses, and techniques for employing augmented reality and virtual reality </t>
  </si>
  <si>
    <t>US2018129276</t>
  </si>
  <si>
    <t xml:space="preserve">Management/operation system for mainly people and object utilizing ic tag and various codes </t>
  </si>
  <si>
    <t>JP2007299357</t>
  </si>
  <si>
    <t xml:space="preserve">Robot system. </t>
  </si>
  <si>
    <t>ES2623920</t>
  </si>
  <si>
    <t>WO2013191735</t>
  </si>
  <si>
    <t xml:space="preserve">Information processing device, information processing system, program and information processing method </t>
  </si>
  <si>
    <t>JP2017211932</t>
  </si>
  <si>
    <t xml:space="preserve">Safety tunnel high-speed wingless aircraft </t>
  </si>
  <si>
    <t>CN107618664</t>
  </si>
  <si>
    <t xml:space="preserve">The device telephone device to improve a robot and a reminder feature phone features </t>
  </si>
  <si>
    <t>FI110465</t>
  </si>
  <si>
    <t xml:space="preserve">Container transfer and processing system </t>
  </si>
  <si>
    <t>DE60130320</t>
  </si>
  <si>
    <t xml:space="preserve">How to realize the errand engine and equipment </t>
  </si>
  <si>
    <t>JP2006520976</t>
  </si>
  <si>
    <t xml:space="preserve">Access system </t>
  </si>
  <si>
    <t>CN108290685</t>
  </si>
  <si>
    <t xml:space="preserve">Dispositif de lecture de vitesse de rotation pour pulverisateur de peinture a bol tournant </t>
  </si>
  <si>
    <t>WO02086515</t>
  </si>
  <si>
    <t xml:space="preserve">Procede de fabrication d'un support d'analyse et utilisation pour la detection de toxines </t>
  </si>
  <si>
    <t>EP2668496</t>
  </si>
  <si>
    <t xml:space="preserve">Robot de co-manipulation comportant des moyens de commande du robot </t>
  </si>
  <si>
    <t>WO2015197333</t>
  </si>
  <si>
    <t xml:space="preserve">Procede de traitement de soudures de conduite en acier comprenant le martelage des soudures a l'interieur de la conduite </t>
  </si>
  <si>
    <t>FR2920105</t>
  </si>
  <si>
    <t xml:space="preserve">A system and method for performing tourism and shopping distribution </t>
  </si>
  <si>
    <t>CN108446928</t>
  </si>
  <si>
    <t xml:space="preserve">Methods and systems for generating a digital celebrity map tour guide </t>
  </si>
  <si>
    <t>US2016171011</t>
  </si>
  <si>
    <t xml:space="preserve">Intelligent rural tourism service platform </t>
  </si>
  <si>
    <t>CN106600481</t>
  </si>
  <si>
    <t xml:space="preserve">Cluster mapping based on measured neural activity and physiological data </t>
  </si>
  <si>
    <t>US2017109437</t>
  </si>
  <si>
    <t xml:space="preserve">All-field smart tourism system </t>
  </si>
  <si>
    <t>CN107657483</t>
  </si>
  <si>
    <t xml:space="preserve">Android embedded platform based campus guide system </t>
  </si>
  <si>
    <t>CN105530605</t>
  </si>
  <si>
    <t xml:space="preserve">Quick boarding business system with RF-SIM card mobile phone </t>
  </si>
  <si>
    <t>CN101661641</t>
  </si>
  <si>
    <t xml:space="preserve">Remote demonstration of business capabilities in an e-commerce environment </t>
  </si>
  <si>
    <t>US6345239</t>
  </si>
  <si>
    <t xml:space="preserve">System of building information integrated guide to visitors based on image contrast discernment </t>
  </si>
  <si>
    <t>CN207198847</t>
  </si>
  <si>
    <t xml:space="preserve">Guide e helps device based on LTE -Fi radio network gateway </t>
  </si>
  <si>
    <t>CN205490664</t>
  </si>
  <si>
    <t xml:space="preserve">System and method for determining and/or transmitting and/or establishing communication with a mobile device user for providing, for example, concessions, tournaments, competitions, matching, reallocating, upgrading, selling tickets, other event admittance means, goods and/or services </t>
  </si>
  <si>
    <t>US7280975</t>
  </si>
  <si>
    <t xml:space="preserve">System and method for reallocating and/or upgrading and/or selling tickets, other event admittance means, goods and/or services </t>
  </si>
  <si>
    <t>US7216109</t>
  </si>
  <si>
    <t xml:space="preserve">Electronic menu document creator in a virtual financial environment </t>
  </si>
  <si>
    <t>US7167844</t>
  </si>
  <si>
    <t xml:space="preserve">Providing a notification when a plurality of users are altering similar data in a health care solution environment </t>
  </si>
  <si>
    <t>US6701345</t>
  </si>
  <si>
    <t xml:space="preserve">System, method and article of manufacture for initiation of bidding in a virtual trade financial environment </t>
  </si>
  <si>
    <t>US7610233</t>
  </si>
  <si>
    <t xml:space="preserve">Account settlement and financing in an e-commerce environment </t>
  </si>
  <si>
    <t>US6629081</t>
  </si>
  <si>
    <t xml:space="preserve">Error and load summary reporting in a health care solution environment </t>
  </si>
  <si>
    <t>US7403901</t>
  </si>
  <si>
    <t xml:space="preserve">Model of everything with UR-URL combination identity-identifier-addressing-indexing method, means, and apparatus </t>
  </si>
  <si>
    <t>US7774388</t>
  </si>
  <si>
    <t xml:space="preserve">System for profiling mobile station activity in a predictive command wireless game system </t>
  </si>
  <si>
    <t>US6527641</t>
  </si>
  <si>
    <t xml:space="preserve">System, method and article of manufacture for implementing a hybrid network </t>
  </si>
  <si>
    <t>US6611867</t>
  </si>
  <si>
    <t xml:space="preserve">Computer aided routing and positioning system </t>
  </si>
  <si>
    <t>US5802492</t>
  </si>
  <si>
    <t xml:space="preserve">Electronic television program guide with remote product ordering </t>
  </si>
  <si>
    <t>US6357043</t>
  </si>
  <si>
    <t xml:space="preserve">Electronic television program guide schedule system and method with data feed access </t>
  </si>
  <si>
    <t>US6014184</t>
  </si>
  <si>
    <t xml:space="preserve">Machine dynamic selection of one video camera/image of a scene from multiple video cameras/images of the scene in accordance with a particular perspective on the scene, an object in the scene, or an event in the scene </t>
  </si>
  <si>
    <t>US5729471</t>
  </si>
  <si>
    <t>US6769128</t>
  </si>
  <si>
    <t xml:space="preserve">Applying a user profile in a virtual space </t>
  </si>
  <si>
    <t>US6793580</t>
  </si>
  <si>
    <t xml:space="preserve">System with user directed enrichment and import/export control </t>
  </si>
  <si>
    <t>US7647349</t>
  </si>
  <si>
    <t xml:space="preserve">Method and system for communication, publishing, searching, sharing and dynamically providing a journal feed </t>
  </si>
  <si>
    <t>US7991764</t>
  </si>
  <si>
    <t xml:space="preserve">System for propagating enrichment between documents </t>
  </si>
  <si>
    <t>US6928425</t>
  </si>
  <si>
    <t xml:space="preserve">Meta-document management system with user definable personalities </t>
  </si>
  <si>
    <t>US6732090</t>
  </si>
  <si>
    <t xml:space="preserve">Meta-document management system with document identifiers </t>
  </si>
  <si>
    <t>US7284191</t>
  </si>
  <si>
    <t xml:space="preserve">Document-centric system with auto-completion </t>
  </si>
  <si>
    <t>US6820075</t>
  </si>
  <si>
    <t xml:space="preserve">System for automatically generating queries </t>
  </si>
  <si>
    <t>US6778979</t>
  </si>
  <si>
    <t xml:space="preserve">Method for remotely controlling a display of information from a storage media </t>
  </si>
  <si>
    <t>US5788507</t>
  </si>
  <si>
    <t xml:space="preserve">System, method and article of manufacture for mobile communication utilizing an interface support framework </t>
  </si>
  <si>
    <t>US6356905</t>
  </si>
  <si>
    <t xml:space="preserve">Initiating an agreement in an e-commerce environment </t>
  </si>
  <si>
    <t>US7069234</t>
  </si>
  <si>
    <t xml:space="preserve">Method and apparatus for a location sensitive database </t>
  </si>
  <si>
    <t>US6442479</t>
  </si>
  <si>
    <t xml:space="preserve">See-through near-eye display glasses with a small scale image source </t>
  </si>
  <si>
    <t>US8472120</t>
  </si>
  <si>
    <t xml:space="preserve">Network-based traffic congestion notification service </t>
  </si>
  <si>
    <t>US6253146</t>
  </si>
  <si>
    <t xml:space="preserve">See-through near-eye display glasses including a curved polarizing film in the image source, a partially reflective, partially transmitting optical element and an optically flat film </t>
  </si>
  <si>
    <t>US8488246</t>
  </si>
  <si>
    <t xml:space="preserve">System for providing an interface for accessing data in a discussion database </t>
  </si>
  <si>
    <t>US6571235</t>
  </si>
  <si>
    <t xml:space="preserve">See-through near-eye display glasses including a partially reflective, partially transmitting optical element </t>
  </si>
  <si>
    <t>US8477425</t>
  </si>
  <si>
    <t xml:space="preserve">System for facilitating the navigation of data </t>
  </si>
  <si>
    <t>US6671692</t>
  </si>
  <si>
    <t xml:space="preserve">System, method and article of manufacture for demonstrating E-commerce capabilities via a simulation on a network </t>
  </si>
  <si>
    <t>US6427132</t>
  </si>
  <si>
    <t xml:space="preserve">Method of creating and using notes decision capsules </t>
  </si>
  <si>
    <t>US6094655</t>
  </si>
  <si>
    <t xml:space="preserve">Automated selection of appropriate information based on a computer user's context </t>
  </si>
  <si>
    <t>US7073129</t>
  </si>
  <si>
    <t>US7386517</t>
  </si>
  <si>
    <t xml:space="preserve">System for effectively collecting and disseminating data </t>
  </si>
  <si>
    <t>US6671693</t>
  </si>
  <si>
    <t xml:space="preserve">System and method for reallocating and/or upgrading and/or selling tickets, other even admittance means, goods and/or services </t>
  </si>
  <si>
    <t>US7162454</t>
  </si>
  <si>
    <t xml:space="preserve">Internet-based on-line comparison shopping system and method of interactive purchase and sale of products </t>
  </si>
  <si>
    <t>US7107226</t>
  </si>
  <si>
    <t xml:space="preserve">Universal web shopping cart and method of on-line transaction processing </t>
  </si>
  <si>
    <t>US6101482</t>
  </si>
  <si>
    <t xml:space="preserve">Interactive information delivery system </t>
  </si>
  <si>
    <t>US6005561</t>
  </si>
  <si>
    <t xml:space="preserve">Method for displaying multiple performance measurements of a web site using a platform independent program </t>
  </si>
  <si>
    <t>US6381635</t>
  </si>
  <si>
    <t xml:space="preserve">Mobile micro portal </t>
  </si>
  <si>
    <t>US6782253</t>
  </si>
  <si>
    <t xml:space="preserve">Content processing system for discourse </t>
  </si>
  <si>
    <t>US5694523</t>
  </si>
  <si>
    <t xml:space="preserve">Time and location based computing </t>
  </si>
  <si>
    <t>US5642303</t>
  </si>
  <si>
    <t xml:space="preserve">Virtual sales personnel </t>
  </si>
  <si>
    <t>US6070149</t>
  </si>
  <si>
    <t xml:space="preserve">See-through near-eye display glasses wherein image light is transmitted to and reflected from an optically flat film </t>
  </si>
  <si>
    <t>US8482859</t>
  </si>
  <si>
    <t>US7415424</t>
  </si>
  <si>
    <t xml:space="preserve">Method for calculating capacity measurements for an internet web site </t>
  </si>
  <si>
    <t>US6263361</t>
  </si>
  <si>
    <t xml:space="preserve">Methods, systems, and processes for the design and creation of rich-media applications via the internet </t>
  </si>
  <si>
    <t>US7000180</t>
  </si>
  <si>
    <t xml:space="preserve">Method and system for collaborative ontology modeling </t>
  </si>
  <si>
    <t>US7099885</t>
  </si>
  <si>
    <t xml:space="preserve">Method and system for grouping merchandise, services and users and for trading merchandise and services </t>
  </si>
  <si>
    <t>US7729977</t>
  </si>
  <si>
    <t xml:space="preserve">Drill-down method to historical data in a performance monitor using a platform independent program </t>
  </si>
  <si>
    <t>US6243105</t>
  </si>
  <si>
    <t xml:space="preserve">Report searching in a merger and acquisition environment </t>
  </si>
  <si>
    <t>US6581039</t>
  </si>
  <si>
    <t xml:space="preserve">Meta-document management system with transit triggered enrichment </t>
  </si>
  <si>
    <t>US7117432</t>
  </si>
  <si>
    <t xml:space="preserve">Flyback booster with removable rocket propulsion module </t>
  </si>
  <si>
    <t>US6612522</t>
  </si>
  <si>
    <t xml:space="preserve">See-through near-eye display glasses with a fast response photochromic film system for quick transition from dark to clear </t>
  </si>
  <si>
    <t>US9129295</t>
  </si>
  <si>
    <t xml:space="preserve">Eyepiece with uniformly illuminated reflective display </t>
  </si>
  <si>
    <t>US9128281</t>
  </si>
  <si>
    <t xml:space="preserve">Vertical axis wind turbine </t>
  </si>
  <si>
    <t>US6942454</t>
  </si>
  <si>
    <t xml:space="preserve">Multi-purpose hexagonal building module </t>
  </si>
  <si>
    <t>US5426900</t>
  </si>
  <si>
    <t xml:space="preserve">System and method for carrying out electronic-commerce transactions using web documents embodying electronic-commerce enabling applets automatically launched and executed in response to reading url-encoded symbols pointing thereto </t>
  </si>
  <si>
    <t>US6568595</t>
  </si>
  <si>
    <t xml:space="preserve">Method for setting and displaying performance thresholds using a platform independent program </t>
  </si>
  <si>
    <t>US6339750</t>
  </si>
  <si>
    <t xml:space="preserve">Complementary concurrent cooperative multi-processing multi-tasking processing system using shared memories with a minimum of four complementary processors </t>
  </si>
  <si>
    <t>US5566349</t>
  </si>
  <si>
    <t xml:space="preserve">Audio and video program recording, editing and playback systems using metadata </t>
  </si>
  <si>
    <t>US8230343</t>
  </si>
  <si>
    <t xml:space="preserve">Browser manager for a networked gaming system and method </t>
  </si>
  <si>
    <t>US8062134</t>
  </si>
  <si>
    <t xml:space="preserve">Normalizing and classifying locale-specific information </t>
  </si>
  <si>
    <t>US7225199</t>
  </si>
  <si>
    <t xml:space="preserve">System and method for URL based query for retrieving data related to a context </t>
  </si>
  <si>
    <t>US8032508</t>
  </si>
  <si>
    <t xml:space="preserve">Broadcast and presentation system and method </t>
  </si>
  <si>
    <t>US5577042</t>
  </si>
  <si>
    <t xml:space="preserve">Power management masked clock circuitry, systems and methods </t>
  </si>
  <si>
    <t>US5729720</t>
  </si>
  <si>
    <t xml:space="preserve">Ecological new city of wisdom of car as a house integration courtyard formula </t>
  </si>
  <si>
    <t>CN207228764</t>
  </si>
  <si>
    <t xml:space="preserve">Method and apparatus for generating and updating a pre-categorized song database from which consumers may select and then download desired playlists </t>
  </si>
  <si>
    <t>US7985911</t>
  </si>
  <si>
    <t xml:space="preserve">Denial cryptography based on graph theory </t>
  </si>
  <si>
    <t>US6823068</t>
  </si>
  <si>
    <t xml:space="preserve">Enterprise application platform </t>
  </si>
  <si>
    <t>US7496687</t>
  </si>
  <si>
    <t xml:space="preserve">Mobile multimedia guide system, e.g. for use in exhibitions or interactive city tours, is based on a WLAN network and provides location- dependent information to a PDA-equipped user </t>
  </si>
  <si>
    <t>DE102004014001</t>
  </si>
  <si>
    <t xml:space="preserve">Extensible business method with advertisement research as an example </t>
  </si>
  <si>
    <t>US2003036944</t>
  </si>
  <si>
    <t xml:space="preserve">Enhancements to business research over internet </t>
  </si>
  <si>
    <t>US2002042733</t>
  </si>
  <si>
    <t>US7562051</t>
  </si>
  <si>
    <t xml:space="preserve">Computer games having variable execution dependence with respect to spatial properties of a mobile unit. </t>
  </si>
  <si>
    <t>US2004219961</t>
  </si>
  <si>
    <t xml:space="preserve">Multicasting method and apparatus </t>
  </si>
  <si>
    <t>US7080153</t>
  </si>
  <si>
    <t xml:space="preserve">System and method for displaying online content in opposing-page magazine format </t>
  </si>
  <si>
    <t>US2001050658</t>
  </si>
  <si>
    <t xml:space="preserve">Method and system for customized, contextual, dynamic &amp; unified communication, zero click advertisement, dynamic e-commerce and prospective customers search engine </t>
  </si>
  <si>
    <t>US2014074629</t>
  </si>
  <si>
    <t xml:space="preserve">Methods and systems for allowing a group of users to interactively tour a computer network </t>
  </si>
  <si>
    <t>US2004225716</t>
  </si>
  <si>
    <t xml:space="preserve">Smart travel trail guide method </t>
  </si>
  <si>
    <t>KR101355885</t>
  </si>
  <si>
    <t xml:space="preserve">Data broadcasting system, receiving terminal device, contents providing server, and contents providing method </t>
  </si>
  <si>
    <t>US6975836</t>
  </si>
  <si>
    <t xml:space="preserve">Graphical user interface for an interactive collaboration system </t>
  </si>
  <si>
    <t>US2002085030</t>
  </si>
  <si>
    <t xml:space="preserve">Presentation file conversion system for interactive collaboration </t>
  </si>
  <si>
    <t>US2002087592</t>
  </si>
  <si>
    <t xml:space="preserve">Wireless device electronic wallet transaction validation </t>
  </si>
  <si>
    <t>US2008147546</t>
  </si>
  <si>
    <t xml:space="preserve">Augmented reality virtual guide system </t>
  </si>
  <si>
    <t>US2012113144</t>
  </si>
  <si>
    <t xml:space="preserve">Interactive media display across devices </t>
  </si>
  <si>
    <t>US7966638</t>
  </si>
  <si>
    <t xml:space="preserve">System and method for personalizing, customizing and distributing geographically distinctive products and travel information over the internet </t>
  </si>
  <si>
    <t>US2001051876</t>
  </si>
  <si>
    <t xml:space="preserve">System, method and computer program product for cross technology monitoring, profiling and predictive caching in a peer to peer broadcasting and viewing framework </t>
  </si>
  <si>
    <t>US2002194601</t>
  </si>
  <si>
    <t>US2009013052</t>
  </si>
  <si>
    <t xml:space="preserve">Ar glasses specific control interface based on a connected external device type </t>
  </si>
  <si>
    <t>US2014063054</t>
  </si>
  <si>
    <t xml:space="preserve">Ar glasses specific user interface and control interface based on a connected external device type </t>
  </si>
  <si>
    <t>US2014063055</t>
  </si>
  <si>
    <t>US2012004747</t>
  </si>
  <si>
    <t xml:space="preserve">System, method and computer program product for presenting media to a user in a media on demand framework </t>
  </si>
  <si>
    <t>US2003110503</t>
  </si>
  <si>
    <t xml:space="preserve">Personalized content control </t>
  </si>
  <si>
    <t>US2007208751</t>
  </si>
  <si>
    <t xml:space="preserve">Ar glasses with sensor and user action based control of external devices with feedback </t>
  </si>
  <si>
    <t>US2012194553</t>
  </si>
  <si>
    <t xml:space="preserve">Sensor-based command and control of external devices with feedback from the external device to the ar glasses </t>
  </si>
  <si>
    <t>US2012194550</t>
  </si>
  <si>
    <t xml:space="preserve">Systems and processes for measuring, evaluating and reporting audience response to audio, video, and other content </t>
  </si>
  <si>
    <t>US2002120501</t>
  </si>
  <si>
    <t xml:space="preserve">Bi-directional remote control for remotely controllable apparatus </t>
  </si>
  <si>
    <t>US2006041655</t>
  </si>
  <si>
    <t xml:space="preserve">Reprogrammable security for controlling piracy and enabling interactive content </t>
  </si>
  <si>
    <t>US2007033419</t>
  </si>
  <si>
    <t xml:space="preserve">Interactive voice communication method and system for information and entertainment </t>
  </si>
  <si>
    <t>US2002010584</t>
  </si>
  <si>
    <t xml:space="preserve">Electronic information access systems, methods for creation and related commercial models </t>
  </si>
  <si>
    <t>US2005132305</t>
  </si>
  <si>
    <t xml:space="preserve">Method of inserting/overlaying markers, data packets and objects relative to viewable content and enabling live social networking, N-dimensional virtual environments and/or other value derivable from the content </t>
  </si>
  <si>
    <t>US2008163379</t>
  </si>
  <si>
    <t xml:space="preserve">System and Method of a Knowledge Management and Networking Environment </t>
  </si>
  <si>
    <t>US2009077124</t>
  </si>
  <si>
    <t xml:space="preserve">System and method including asynchronous location-based messaging </t>
  </si>
  <si>
    <t>US2007161382</t>
  </si>
  <si>
    <t xml:space="preserve">Alert system for vehicle </t>
  </si>
  <si>
    <t>US2012062743</t>
  </si>
  <si>
    <t xml:space="preserve">Wideband direct-to-home broadcasting satellite communications system and method </t>
  </si>
  <si>
    <t>US2003217362</t>
  </si>
  <si>
    <t xml:space="preserve">System for inserting/overlaying markers, data packets and objects relative to viewable content and enabling live social networking, n-dimensional virtual environments and/or other value derivable from the content </t>
  </si>
  <si>
    <t>US2009165140</t>
  </si>
  <si>
    <t xml:space="preserve">Methods and compositions for the specific inhibition of gene expression by double-stranded RNA </t>
  </si>
  <si>
    <t>US2007265220</t>
  </si>
  <si>
    <t xml:space="preserve">Method, Device, Mobile Terminal, and Computer Program Product for a Point of Interest Based Scheme for Improving Mobile Visual Searching Functionalities </t>
  </si>
  <si>
    <t>US2008268876</t>
  </si>
  <si>
    <t xml:space="preserve">Sales presentation video on demand system </t>
  </si>
  <si>
    <t>US2006015925</t>
  </si>
  <si>
    <t xml:space="preserve">Voice-interactive marketplace providing time and money saving benefits and real-time promotion publishing and feedback </t>
  </si>
  <si>
    <t>US2003125958</t>
  </si>
  <si>
    <t xml:space="preserve">See-through near-eye display glasses with the optical assembly including absorptive polarizers or anti-reflective coatings to reduce stray light </t>
  </si>
  <si>
    <t>US2012242697</t>
  </si>
  <si>
    <t xml:space="preserve">Second Screens and Widgets </t>
  </si>
  <si>
    <t>US2010222102</t>
  </si>
  <si>
    <t>US2008120029</t>
  </si>
  <si>
    <t xml:space="preserve">Electronic television program guide schedule system and method with remote product ordering </t>
  </si>
  <si>
    <t>US2003204847</t>
  </si>
  <si>
    <t xml:space="preserve">E-commerce enabling virtual streaming multimedia server, system, method and article </t>
  </si>
  <si>
    <t>US2004199575</t>
  </si>
  <si>
    <t xml:space="preserve">Systems, processes and apparatus for creating, processing and interacting with audiobooks and other media </t>
  </si>
  <si>
    <t>US2005276570</t>
  </si>
  <si>
    <t xml:space="preserve">Sorting Games of Chance </t>
  </si>
  <si>
    <t>US2008248849</t>
  </si>
  <si>
    <t xml:space="preserve">Mobile Client Application for Mobile Payments </t>
  </si>
  <si>
    <t>US2007244811</t>
  </si>
  <si>
    <t xml:space="preserve">Meta-document management system with personality identifiers </t>
  </si>
  <si>
    <t>US2005022114</t>
  </si>
  <si>
    <t xml:space="preserve">See-through near-eye display glasses with a multi-segment processor-controlled optical layer </t>
  </si>
  <si>
    <t>US2012242698</t>
  </si>
  <si>
    <t xml:space="preserve">Apparatus and Method for Utilizing an Information Unit to Provide Navigation Features on a Device </t>
  </si>
  <si>
    <t>US2008141180</t>
  </si>
  <si>
    <t xml:space="preserve">Device, system and method of landmark-based routing and guidance </t>
  </si>
  <si>
    <t>US2008262717</t>
  </si>
  <si>
    <t xml:space="preserve">Grating in a light transmissive illumination system for see-through near-eye display glasses </t>
  </si>
  <si>
    <t>US2012235885</t>
  </si>
  <si>
    <t xml:space="preserve">Content and application delivery and management platform system and method </t>
  </si>
  <si>
    <t>US2002090934</t>
  </si>
  <si>
    <t xml:space="preserve">Method and system for efficient communication </t>
  </si>
  <si>
    <t>US2014071818</t>
  </si>
  <si>
    <t xml:space="preserve">Electronic messaging synchronized to media presentation </t>
  </si>
  <si>
    <t>US2004098754</t>
  </si>
  <si>
    <t xml:space="preserve">Apparatus and method for multimedia navigation </t>
  </si>
  <si>
    <t>US2003112467</t>
  </si>
  <si>
    <t xml:space="preserve">Mobile Person-to-Person Payment System </t>
  </si>
  <si>
    <t>US2007255652</t>
  </si>
  <si>
    <t xml:space="preserve">Public relations communication methods and systems </t>
  </si>
  <si>
    <t>US2006059129</t>
  </si>
  <si>
    <t>US2011191417</t>
  </si>
  <si>
    <t xml:space="preserve">Ar glasses with user action control of and between internal and external applications with feedback </t>
  </si>
  <si>
    <t>US2013314303</t>
  </si>
  <si>
    <t xml:space="preserve">Game of Chance Display </t>
  </si>
  <si>
    <t>US2008254881</t>
  </si>
  <si>
    <t xml:space="preserve">Game with chance element and strategy component that can be copied </t>
  </si>
  <si>
    <t>US2009061974</t>
  </si>
  <si>
    <t xml:space="preserve">Real estate transaction management system </t>
  </si>
  <si>
    <t>US2004143450</t>
  </si>
  <si>
    <t xml:space="preserve">Browser event tracking for distributed web-based processing, spatial organization and display of information </t>
  </si>
  <si>
    <t>US2009300528</t>
  </si>
  <si>
    <t xml:space="preserve">Content management and delivery method, system and apparatus </t>
  </si>
  <si>
    <t>US2011041153</t>
  </si>
  <si>
    <t xml:space="preserve">System and method for detecting, collecting, analyzing, and communicating event-related information </t>
  </si>
  <si>
    <t>US2009216747</t>
  </si>
  <si>
    <t xml:space="preserve">Ar glasses with event and sensor triggered control of ar eyepiece applications </t>
  </si>
  <si>
    <t>US2012212414</t>
  </si>
  <si>
    <t xml:space="preserve">Ar glasses with event and user action control of external applications </t>
  </si>
  <si>
    <t>US2012194419</t>
  </si>
  <si>
    <t xml:space="preserve">Ar glasses specific user interface based on a connected external device type </t>
  </si>
  <si>
    <t>US2012194549</t>
  </si>
  <si>
    <t xml:space="preserve">System and Method for Providing Data to be Used in a Presentation on a Device </t>
  </si>
  <si>
    <t>US2008120342</t>
  </si>
  <si>
    <t xml:space="preserve">System and method for data privacy in url based context queries </t>
  </si>
  <si>
    <t>US2010125605</t>
  </si>
  <si>
    <t xml:space="preserve">Ar glasses with state triggered eye control interaction with advertising facility </t>
  </si>
  <si>
    <t>US2012200601</t>
  </si>
  <si>
    <t xml:space="preserve">Dual &amp; parallel software development model </t>
  </si>
  <si>
    <t>US2003009740</t>
  </si>
  <si>
    <t>US2002065826</t>
  </si>
  <si>
    <t xml:space="preserve">Method for creating content oriented databases and content files </t>
  </si>
  <si>
    <t>US2002049705</t>
  </si>
  <si>
    <t xml:space="preserve">System and method for social networking for managing multidimensional life stream related active note(s) and associated multidimensional active resources and actions </t>
  </si>
  <si>
    <t>US2012316962</t>
  </si>
  <si>
    <t xml:space="preserve">System and method for autohyperlinking and navigation in url based context queries </t>
  </si>
  <si>
    <t>US2010125569</t>
  </si>
  <si>
    <t xml:space="preserve">Ar glasses with user action control and event input based control of eyepiece application </t>
  </si>
  <si>
    <t>US2012194418</t>
  </si>
  <si>
    <t xml:space="preserve">Ar glasses with event and sensor triggered user movement control of ar eyepiece facilities </t>
  </si>
  <si>
    <t>US2012206485</t>
  </si>
  <si>
    <t xml:space="preserve">Social Networking System </t>
  </si>
  <si>
    <t>US2008281622</t>
  </si>
  <si>
    <t xml:space="preserve">System and method for deriving income from url based context queries </t>
  </si>
  <si>
    <t>US2010125563</t>
  </si>
  <si>
    <t xml:space="preserve">Cross-platform messaging </t>
  </si>
  <si>
    <t>US2009069038</t>
  </si>
  <si>
    <t xml:space="preserve">System, device, and method for dermal imaging </t>
  </si>
  <si>
    <t>US2008194928</t>
  </si>
  <si>
    <t xml:space="preserve">Content management in out-of-home advertising networks </t>
  </si>
  <si>
    <t>US2011282727</t>
  </si>
  <si>
    <t xml:space="preserve">Apparatus and method for conflict resolution in remote control of digital video recorders and the like </t>
  </si>
  <si>
    <t>US2009220216</t>
  </si>
  <si>
    <t xml:space="preserve">Computer based interactive collaboration system architecture </t>
  </si>
  <si>
    <t>US2002085029</t>
  </si>
  <si>
    <t xml:space="preserve">Method for safer mid-air refueling </t>
  </si>
  <si>
    <t>US2003136874</t>
  </si>
  <si>
    <t xml:space="preserve">System and Method for Offering a Title for Sale Over the Internet </t>
  </si>
  <si>
    <t>US2008120196</t>
  </si>
  <si>
    <t xml:space="preserve">Ar glasses with event triggered user action control of ar eyepiece facility </t>
  </si>
  <si>
    <t>US2012194420</t>
  </si>
  <si>
    <t xml:space="preserve">Private network exchange with multiple service providers, having a portal, collaborative applications, and a directory service </t>
  </si>
  <si>
    <t>US2003055652</t>
  </si>
  <si>
    <t xml:space="preserve">Device and System for Utilizing an Information Unit to Present Content and Metadata on a Device </t>
  </si>
  <si>
    <t>US2008119953</t>
  </si>
  <si>
    <t xml:space="preserve">Ar glasses with predictive control of external device based on event input </t>
  </si>
  <si>
    <t>US2012194552</t>
  </si>
  <si>
    <t xml:space="preserve">Downloadable server-client collaborative mobile social computing application </t>
  </si>
  <si>
    <t>US2007186007</t>
  </si>
  <si>
    <t xml:space="preserve">Ar glasses with event, sensor, and user action based direct control of external devices with feedback </t>
  </si>
  <si>
    <t>US2012206335</t>
  </si>
  <si>
    <t xml:space="preserve">Ar glasses with event and sensor triggered ar eyepiece command and control facility of the ar eyepiece </t>
  </si>
  <si>
    <t>US2012212406</t>
  </si>
  <si>
    <t xml:space="preserve">Interface and method for managing multimedia content and related information </t>
  </si>
  <si>
    <t>US2003113100</t>
  </si>
  <si>
    <t xml:space="preserve">Method for conducting pharmacogenomics-based studies </t>
  </si>
  <si>
    <t>US2005250125</t>
  </si>
  <si>
    <t xml:space="preserve">System and method for delivering content to a group of see-through near eye display eyepieces </t>
  </si>
  <si>
    <t>US2012236031</t>
  </si>
  <si>
    <t xml:space="preserve">A wireless system for interacting with a virtual space </t>
  </si>
  <si>
    <t>EP1087323</t>
  </si>
  <si>
    <t xml:space="preserve">Device, system and method of contact-based routing and guidance </t>
  </si>
  <si>
    <t>US2008262714</t>
  </si>
  <si>
    <t xml:space="preserve">Ar glasses with user-action based command and control of external devices </t>
  </si>
  <si>
    <t>US2012194551</t>
  </si>
  <si>
    <t xml:space="preserve">See-through near-eye display glasses including a modular image source </t>
  </si>
  <si>
    <t>US2012236030</t>
  </si>
  <si>
    <t>US2012235886</t>
  </si>
  <si>
    <t xml:space="preserve">Web-Based Interactive Meeting Event Facility </t>
  </si>
  <si>
    <t>US2011289142</t>
  </si>
  <si>
    <t xml:space="preserve">Searching data storage systems and devices </t>
  </si>
  <si>
    <t>US2007005590</t>
  </si>
  <si>
    <t xml:space="preserve">Ar glasses with event and sensor triggered ar eyepiece interface to external devices </t>
  </si>
  <si>
    <t>US2012206323</t>
  </si>
  <si>
    <t xml:space="preserve">Decision object for associating a plurality of business plans </t>
  </si>
  <si>
    <t>US2008162382</t>
  </si>
  <si>
    <t>US2010175006</t>
  </si>
  <si>
    <t xml:space="preserve">See-through near-eye display glasses including an auto-brightness control for the display brightness based on the brightness in the environment </t>
  </si>
  <si>
    <t>US2012242678</t>
  </si>
  <si>
    <t xml:space="preserve">System and Method for Linking User Generated Data Pertaining to Sequential Content </t>
  </si>
  <si>
    <t>US2008120330</t>
  </si>
  <si>
    <t xml:space="preserve">Hosting platform </t>
  </si>
  <si>
    <t>US2010076863</t>
  </si>
  <si>
    <t xml:space="preserve">Ar glasses with event and user action capture device control of external applications </t>
  </si>
  <si>
    <t>US2012206334</t>
  </si>
  <si>
    <t xml:space="preserve">Apparatus And Method For Remote Wireless Control Of Digital Video Recorders And The Like </t>
  </si>
  <si>
    <t>US2009052863</t>
  </si>
  <si>
    <t xml:space="preserve">See-through near-eye display glasses with a light transmissive wedge shaped illumination system </t>
  </si>
  <si>
    <t>US2012235883</t>
  </si>
  <si>
    <t xml:space="preserve">Creating a Virtual University Experience </t>
  </si>
  <si>
    <t>US2007255805</t>
  </si>
  <si>
    <t xml:space="preserve">Virtual systems for spatial organization, navigation, and presentation of information </t>
  </si>
  <si>
    <t>US2011214050</t>
  </si>
  <si>
    <t xml:space="preserve">See-through near-eye display glasses including a partially reflective, partially transmitting optical element and an optically flat film </t>
  </si>
  <si>
    <t>US2012235887</t>
  </si>
  <si>
    <t xml:space="preserve">Method of automation of business processes and apparatus therefor </t>
  </si>
  <si>
    <t>US2005096937</t>
  </si>
  <si>
    <t xml:space="preserve">Method and system for deploying a business application </t>
  </si>
  <si>
    <t>US2007162501</t>
  </si>
  <si>
    <t xml:space="preserve">Content capture device and methods for automatically tagging content </t>
  </si>
  <si>
    <t>US2012072420</t>
  </si>
  <si>
    <t xml:space="preserve">Device and Method for Protecting Unauthorized Data from being used in a Presentation on a Device </t>
  </si>
  <si>
    <t>US2008120311</t>
  </si>
  <si>
    <t xml:space="preserve">Structured computer-assisted method and apparatus for filtering information presentation </t>
  </si>
  <si>
    <t>US2007185777</t>
  </si>
  <si>
    <t xml:space="preserve">Ar glasses with event and sensor input triggered user action capture device control of ar eyepiece facility </t>
  </si>
  <si>
    <t>US2012206322</t>
  </si>
  <si>
    <t xml:space="preserve">Methods, systems, and processes for the design and creation of rich-media applications via the Internet </t>
  </si>
  <si>
    <t>US2006190808</t>
  </si>
  <si>
    <t xml:space="preserve">System and Method for Correlating a First Title with a Second Title </t>
  </si>
  <si>
    <t>US2008140702</t>
  </si>
  <si>
    <t xml:space="preserve">System and Method for Creating a New Title that Incorporates a Preexisting Title </t>
  </si>
  <si>
    <t>US2008120312</t>
  </si>
  <si>
    <t xml:space="preserve">Translation Engine for Computer Authorizations Between Active Directory and Mainframe System </t>
  </si>
  <si>
    <t>US2008263640</t>
  </si>
  <si>
    <t xml:space="preserve">Using content </t>
  </si>
  <si>
    <t>US2013325870</t>
  </si>
  <si>
    <t xml:space="preserve">Optical imperfections in a light transmissive illumination system for see-through near-eye display glasses </t>
  </si>
  <si>
    <t>US2012235884</t>
  </si>
  <si>
    <t xml:space="preserve">Ar glasses with event, sensor, and user action based control of applications resident on external devices with feedback </t>
  </si>
  <si>
    <t>US2012200499</t>
  </si>
  <si>
    <t xml:space="preserve">Interactive tourism information management system </t>
  </si>
  <si>
    <t>CN103198385</t>
  </si>
  <si>
    <t xml:space="preserve">Interactive marketing guide </t>
  </si>
  <si>
    <t>US2002089534</t>
  </si>
  <si>
    <t xml:space="preserve">Ar glasses with sensor and user action based control of eyepiece applications with feedback </t>
  </si>
  <si>
    <t>US2012200488</t>
  </si>
  <si>
    <t xml:space="preserve">Gaming browser manager client system and method </t>
  </si>
  <si>
    <t>US2008171602</t>
  </si>
  <si>
    <t xml:space="preserve">System and method for generation of url based context queries </t>
  </si>
  <si>
    <t>US2010125562</t>
  </si>
  <si>
    <t xml:space="preserve">Media management and sharing system </t>
  </si>
  <si>
    <t>US2016149956</t>
  </si>
  <si>
    <t xml:space="preserve">Verifying and encouraging asset consumption in a communications network </t>
  </si>
  <si>
    <t>US2008216107</t>
  </si>
  <si>
    <t>US2015309316</t>
  </si>
  <si>
    <t xml:space="preserve">Content provision </t>
  </si>
  <si>
    <t>US2012240177</t>
  </si>
  <si>
    <t xml:space="preserve">Multi-process communication regarding gaming information </t>
  </si>
  <si>
    <t>US2012046110</t>
  </si>
  <si>
    <t xml:space="preserve">Telephone initiated protocol-improved media delivery platform </t>
  </si>
  <si>
    <t>US2010191608</t>
  </si>
  <si>
    <t xml:space="preserve">Notification service on transportation network </t>
  </si>
  <si>
    <t>US2004036611</t>
  </si>
  <si>
    <t xml:space="preserve">Performance-based logistics for aerospace and defense programs </t>
  </si>
  <si>
    <t>US2008126171</t>
  </si>
  <si>
    <t xml:space="preserve">System and method for distributing and managing multiple content feeds and supplemental content by content provider using an on-screen literactive interface </t>
  </si>
  <si>
    <t>US2014173660</t>
  </si>
  <si>
    <t xml:space="preserve">Systems and methods for blocking selected commercials </t>
  </si>
  <si>
    <t>US8312484</t>
  </si>
  <si>
    <t>US2012197896</t>
  </si>
  <si>
    <t xml:space="preserve">Life event recording system </t>
  </si>
  <si>
    <t>US2008005669</t>
  </si>
  <si>
    <t xml:space="preserve">Method and apparatus for providing collaboration between remote and on-site users of indirect augmented reality </t>
  </si>
  <si>
    <t>US2012249586</t>
  </si>
  <si>
    <t xml:space="preserve">Gps driven architecture for delivery of location based multimedia and method of use </t>
  </si>
  <si>
    <t>US2010113065</t>
  </si>
  <si>
    <t xml:space="preserve">Method for migrating or altering a messaging system </t>
  </si>
  <si>
    <t>US6208717</t>
  </si>
  <si>
    <t xml:space="preserve">Self-service home buying </t>
  </si>
  <si>
    <t>US2012246024</t>
  </si>
  <si>
    <t xml:space="preserve">Multi-Level Competition/Game, Talent, and Award Show Productions Systems, Methods and Apparatus </t>
  </si>
  <si>
    <t>US2011300916</t>
  </si>
  <si>
    <t xml:space="preserve">Task management system </t>
  </si>
  <si>
    <t>US2002144007</t>
  </si>
  <si>
    <t xml:space="preserve">Content center and method for business process applications </t>
  </si>
  <si>
    <t>US2007185721</t>
  </si>
  <si>
    <t xml:space="preserve">Systems and methods for controlling an electronic device </t>
  </si>
  <si>
    <t>US2011292299</t>
  </si>
  <si>
    <t xml:space="preserve">Information distribution systems, particularly tour guide systems </t>
  </si>
  <si>
    <t>WO9411967</t>
  </si>
  <si>
    <t xml:space="preserve">Method, System, and Apparatus for Facilitating Transactions Between Sellers and Buyers for Travel Related Services </t>
  </si>
  <si>
    <t>US2009287596</t>
  </si>
  <si>
    <t xml:space="preserve">System and method for determining and/or transmitting and/or establishing communication with a mobile device user for providing, for example, concessions, tournaments, competitions, matching, reallocating, upgrading, selling tickets, and other event admittance mean </t>
  </si>
  <si>
    <t>US7562028</t>
  </si>
  <si>
    <t xml:space="preserve">Portable studio </t>
  </si>
  <si>
    <t>US2010296801</t>
  </si>
  <si>
    <t>US2011269534</t>
  </si>
  <si>
    <t xml:space="preserve">GPS tracking &amp; behavior monitoring device with back-end software program service integrations </t>
  </si>
  <si>
    <t>US2008238768</t>
  </si>
  <si>
    <t xml:space="preserve">Creation and management of near field communications tags </t>
  </si>
  <si>
    <t>US2013314214</t>
  </si>
  <si>
    <t xml:space="preserve">Sports Matchmaker Systems </t>
  </si>
  <si>
    <t>US2009307234</t>
  </si>
  <si>
    <t>WO02102079</t>
  </si>
  <si>
    <t xml:space="preserve">System and method for event framework </t>
  </si>
  <si>
    <t>US2012143952</t>
  </si>
  <si>
    <t xml:space="preserve">Electronically facilitating real estate transfer </t>
  </si>
  <si>
    <t>US2003004861</t>
  </si>
  <si>
    <t xml:space="preserve">System and method for data acquisition and process and processing </t>
  </si>
  <si>
    <t>US2010005156</t>
  </si>
  <si>
    <t>US2012058826</t>
  </si>
  <si>
    <t xml:space="preserve">Semi-automatic navigation with an immersive image </t>
  </si>
  <si>
    <t>US2012092348</t>
  </si>
  <si>
    <t>US7823905</t>
  </si>
  <si>
    <t xml:space="preserve">Methods, processes and systems for centralized rich media content creation, custimization, and distributed presentation </t>
  </si>
  <si>
    <t>US2011161802</t>
  </si>
  <si>
    <t xml:space="preserve">Methods and systems for thermal control systems for self-contained floating marine parks </t>
  </si>
  <si>
    <t>US2007054745</t>
  </si>
  <si>
    <t xml:space="preserve">Method and apparatus for managing content tagging and tagged content </t>
  </si>
  <si>
    <t>US2012072463</t>
  </si>
  <si>
    <t xml:space="preserve">Transaction validation by location based services (LBS) </t>
  </si>
  <si>
    <t>US2013117155</t>
  </si>
  <si>
    <t xml:space="preserve">Modular semi-submersible structure and method for making such structure </t>
  </si>
  <si>
    <t>WO2013038433</t>
  </si>
  <si>
    <t>US2014129354</t>
  </si>
  <si>
    <t xml:space="preserve">Events video monitoring guiding and issuing method and system thereof </t>
  </si>
  <si>
    <t>CN101561969</t>
  </si>
  <si>
    <t xml:space="preserve">Intelligent automated assistant </t>
  </si>
  <si>
    <t>JP2013517566</t>
  </si>
  <si>
    <t>WO2012037290</t>
  </si>
  <si>
    <t xml:space="preserve">Media technology platform system, data acquisition system and network content supplying method </t>
  </si>
  <si>
    <t>CN101561825</t>
  </si>
  <si>
    <t xml:space="preserve">System and method to consume web content using television set </t>
  </si>
  <si>
    <t>WO2008142472</t>
  </si>
  <si>
    <t xml:space="preserve">Method and apparatus for automatically tagging content </t>
  </si>
  <si>
    <t>US2012072419</t>
  </si>
  <si>
    <t xml:space="preserve">Controller and peripheral user interface (pui) for media event </t>
  </si>
  <si>
    <t>US2005060238</t>
  </si>
  <si>
    <t xml:space="preserve">Complexity systems management method </t>
  </si>
  <si>
    <t>US2011173146</t>
  </si>
  <si>
    <t xml:space="preserve">Systems and methods for creating and using imbedded shortcodes and shortened physical and internet addresses </t>
  </si>
  <si>
    <t>US2011244882</t>
  </si>
  <si>
    <t xml:space="preserve">Travel information distribution system </t>
  </si>
  <si>
    <t>US2001034624</t>
  </si>
  <si>
    <t xml:space="preserve">A system, method and article of manufacture for a network-based predictive fault management system </t>
  </si>
  <si>
    <t>WO0117169</t>
  </si>
  <si>
    <t xml:space="preserve">Computer system and method for development and marketing of consumer products </t>
  </si>
  <si>
    <t>US2006116930</t>
  </si>
  <si>
    <t xml:space="preserve">System, Method and Device for Providing a Mobile Application Across Smartphone Platforms to Enable Consumer Connectivity and Control of Media </t>
  </si>
  <si>
    <t>US2012151509</t>
  </si>
  <si>
    <t xml:space="preserve">Apparatus and method for presenting navigation information based on instructions described in a script </t>
  </si>
  <si>
    <t>EP1003017</t>
  </si>
  <si>
    <t xml:space="preserve">Method and apparatus for sociable computing in ad-hoc and configured peer-to-peer networks </t>
  </si>
  <si>
    <t>US2012042000</t>
  </si>
  <si>
    <t xml:space="preserve">System and method for simulating real three-dimensional virtual network travel </t>
  </si>
  <si>
    <t>CN1932799</t>
  </si>
  <si>
    <t xml:space="preserve">Directional stream media advertisement insert-cut system </t>
  </si>
  <si>
    <t>CN101022353</t>
  </si>
  <si>
    <t xml:space="preserve">Analyzing Captured Sound and Seeking a Match Based on an Acoustic Fingerprint for Temporal and Geographic Presentation and Navigation of Linked Cultural, Artistic, and Historic Content </t>
  </si>
  <si>
    <t>US2015067512</t>
  </si>
  <si>
    <t xml:space="preserve">Processes and systems for creating and delivering granular idiomorphic media suitable for interstitial channels </t>
  </si>
  <si>
    <t>US2012233631</t>
  </si>
  <si>
    <t xml:space="preserve">Browser manager, gaming machine, gaming network, and system </t>
  </si>
  <si>
    <t>US2009062017</t>
  </si>
  <si>
    <t xml:space="preserve">Power demand side monitoring system and method </t>
  </si>
  <si>
    <t>CN103268115</t>
  </si>
  <si>
    <t>US2016187654</t>
  </si>
  <si>
    <t xml:space="preserve">Carryable shelf warehousing system based on automatic carry trolley </t>
  </si>
  <si>
    <t>CN102633077</t>
  </si>
  <si>
    <t xml:space="preserve">Connectivity augmented services architecture, discovery and connection </t>
  </si>
  <si>
    <t>US2016227471</t>
  </si>
  <si>
    <t xml:space="preserve">Devices and methods for controlling media event </t>
  </si>
  <si>
    <t>US2007180387</t>
  </si>
  <si>
    <t xml:space="preserve">Advertisement coupon publication system based of place-recognition </t>
  </si>
  <si>
    <t>KR20090000643</t>
  </si>
  <si>
    <t>US2010299201</t>
  </si>
  <si>
    <t xml:space="preserve">System and method for marketing </t>
  </si>
  <si>
    <t>US2012239469</t>
  </si>
  <si>
    <t xml:space="preserve">Method for realizing digital city system using virtual artificial comprehensive image and text information interaction </t>
  </si>
  <si>
    <t>CN1987857</t>
  </si>
  <si>
    <t xml:space="preserve">Virtual studio for identifying and developing public talent </t>
  </si>
  <si>
    <t>US2012047077</t>
  </si>
  <si>
    <t xml:space="preserve">Contents retrieval/exhibit system and method, and software storage medium </t>
  </si>
  <si>
    <t>JP2001326867</t>
  </si>
  <si>
    <t xml:space="preserve">A system, method and article of manufacture for an e-commerce based user framework design for maintaining user preferences, roles and details </t>
  </si>
  <si>
    <t>WO0109792</t>
  </si>
  <si>
    <t xml:space="preserve">Numeric channel tuner and directory server for media and services </t>
  </si>
  <si>
    <t>US2014351870</t>
  </si>
  <si>
    <t xml:space="preserve">System and method for creating customized, multi-platform video programming </t>
  </si>
  <si>
    <t>US2014143806</t>
  </si>
  <si>
    <t>US2012240144</t>
  </si>
  <si>
    <t xml:space="preserve">Mobile Location Identifier for Social Check-In Applications </t>
  </si>
  <si>
    <t>US2013252594</t>
  </si>
  <si>
    <t xml:space="preserve">System and method for using voice over telephone to access, process, and carry out transaction over internet </t>
  </si>
  <si>
    <t>JP2008027454</t>
  </si>
  <si>
    <t xml:space="preserve">Method and system for transmitting flow media by P2P set-top box technique </t>
  </si>
  <si>
    <t>CN101207805</t>
  </si>
  <si>
    <t xml:space="preserve">Presentation of an adaptive avatar </t>
  </si>
  <si>
    <t>US2010100907</t>
  </si>
  <si>
    <t xml:space="preserve">Customized and intellectual symbol, icon internet information searching system utilizing a mobile communication terminal and ip-based information terminal </t>
  </si>
  <si>
    <t>KR20100094021</t>
  </si>
  <si>
    <t xml:space="preserve">Mobile unit with camera and optical character recognition, optionally for conversion of imaged text into comprehensible speech </t>
  </si>
  <si>
    <t>WO2007082534</t>
  </si>
  <si>
    <t xml:space="preserve">Package opening and dispensing mechanism </t>
  </si>
  <si>
    <t>US3266541</t>
  </si>
  <si>
    <t xml:space="preserve">Providing multiple degrees of context for content consumed on computers and media players </t>
  </si>
  <si>
    <t>US8631351</t>
  </si>
  <si>
    <t xml:space="preserve">Process and system for reading contents of an electronic shopping cart </t>
  </si>
  <si>
    <t>WO0041118</t>
  </si>
  <si>
    <t xml:space="preserve">Shingle mechanism </t>
  </si>
  <si>
    <t>US3154307</t>
  </si>
  <si>
    <t xml:space="preserve">System and method for travel related commercial interactions </t>
  </si>
  <si>
    <t>US2009157439</t>
  </si>
  <si>
    <t xml:space="preserve">Sensors, scanners, and methods for automatically tagging content </t>
  </si>
  <si>
    <t>US2012067954</t>
  </si>
  <si>
    <t xml:space="preserve">Of community service management system </t>
  </si>
  <si>
    <t>CN102289739</t>
  </si>
  <si>
    <t xml:space="preserve">Emotion Based Travel Guide System and Method </t>
  </si>
  <si>
    <t>US2015300831</t>
  </si>
  <si>
    <t xml:space="preserve">Method and device for implementing portable guide and guard system </t>
  </si>
  <si>
    <t>US2004018838</t>
  </si>
  <si>
    <t xml:space="preserve">Electronic commerce system and method over three-dimensional virtual reality space </t>
  </si>
  <si>
    <t>WO0111511</t>
  </si>
  <si>
    <t xml:space="preserve">Global general-use commercial information processing system </t>
  </si>
  <si>
    <t>CN1892691</t>
  </si>
  <si>
    <t xml:space="preserve">Weight analyzer </t>
  </si>
  <si>
    <t>US2374105</t>
  </si>
  <si>
    <t xml:space="preserve">Wave powered electrical generator </t>
  </si>
  <si>
    <t>US7872365</t>
  </si>
  <si>
    <t xml:space="preserve">Virtual three-dimensional tourism real-time online intelligent navigation interactive traveling system </t>
  </si>
  <si>
    <t>CN101968833</t>
  </si>
  <si>
    <t xml:space="preserve">Advertising methods and system with improved media delivery platform </t>
  </si>
  <si>
    <t>US2010228630</t>
  </si>
  <si>
    <t xml:space="preserve">System and Method for Rewarding Smart Phone Users Personal Companion </t>
  </si>
  <si>
    <t>US2012101883</t>
  </si>
  <si>
    <t xml:space="preserve">Provision of content to the mobile communication facility </t>
  </si>
  <si>
    <t>JP2009510551</t>
  </si>
  <si>
    <t xml:space="preserve">System and method for sharing computer action scripts through a searchable database, and related applications thereof </t>
  </si>
  <si>
    <t>WO0116765</t>
  </si>
  <si>
    <t>US2012089499</t>
  </si>
  <si>
    <t xml:space="preserve">Method and system for ad-rotation and talent agencies allowing talent to protect and profit from talent and content </t>
  </si>
  <si>
    <t>US2008162287</t>
  </si>
  <si>
    <t xml:space="preserve">System and method for administering life safety programs </t>
  </si>
  <si>
    <t>US2003149759</t>
  </si>
  <si>
    <t xml:space="preserve">Visitor guidance system for large-scale facility, such as airport </t>
  </si>
  <si>
    <t>JP2007048132</t>
  </si>
  <si>
    <t xml:space="preserve">Pathfinding system </t>
  </si>
  <si>
    <t>CN1938562</t>
  </si>
  <si>
    <t xml:space="preserve">Integrated system and method of creating intelligent agents </t>
  </si>
  <si>
    <t>WO0109831</t>
  </si>
  <si>
    <t xml:space="preserve">Enhanced downloading from a computer network and profiling of a user of a computer network </t>
  </si>
  <si>
    <t>WO0190912</t>
  </si>
  <si>
    <t>US2011276555</t>
  </si>
  <si>
    <t>US2011320375</t>
  </si>
  <si>
    <t xml:space="preserve">System and method for the implementation of personal exercise programs using multi-functional apparatus managed and controlled by communications network-based computing devices </t>
  </si>
  <si>
    <t>WO03079134</t>
  </si>
  <si>
    <t xml:space="preserve">Method and system for robust social choices and vote elicitation </t>
  </si>
  <si>
    <t>US2014081717</t>
  </si>
  <si>
    <t xml:space="preserve">Network, element management system </t>
  </si>
  <si>
    <t>CN1364262</t>
  </si>
  <si>
    <t xml:space="preserve">Compact truss system </t>
  </si>
  <si>
    <t>US5237792</t>
  </si>
  <si>
    <t xml:space="preserve">Rocket Launch System and Supporting Apparatus </t>
  </si>
  <si>
    <t>US2013007935</t>
  </si>
  <si>
    <t xml:space="preserve">Design method of cooperative driving aircraft system and the system </t>
  </si>
  <si>
    <t>CN105096662</t>
  </si>
  <si>
    <t xml:space="preserve">Content changeable smart phone application for navigable venues and multi-party navigational system </t>
  </si>
  <si>
    <t>US2013035856</t>
  </si>
  <si>
    <t xml:space="preserve">A system, method and article of manufacture for a high speed multi-tier communication network with increased efficiency </t>
  </si>
  <si>
    <t>WO0117313</t>
  </si>
  <si>
    <t xml:space="preserve">Tourism Investigation and Monitoring System data </t>
  </si>
  <si>
    <t>CN104809634</t>
  </si>
  <si>
    <t xml:space="preserve">Method for voice broadcasting of physically-distributed commodity information based on color two-dimensional code technology </t>
  </si>
  <si>
    <t>CN104778435</t>
  </si>
  <si>
    <t xml:space="preserve">Computer system and method for supporting an e-commerce enterprise having online e-franchises </t>
  </si>
  <si>
    <t>US2010274606</t>
  </si>
  <si>
    <t xml:space="preserve">Methods and systems for rating celebrities for generating a digital celebrity map tour guide </t>
  </si>
  <si>
    <t>US2016335272</t>
  </si>
  <si>
    <t xml:space="preserve">Method of optimisation of packaging, storage, handling, transport and separation of merchandise </t>
  </si>
  <si>
    <t>FR2716176</t>
  </si>
  <si>
    <t xml:space="preserve">Communication system architecture </t>
  </si>
  <si>
    <t>CN1262836</t>
  </si>
  <si>
    <t>US8527525</t>
  </si>
  <si>
    <t xml:space="preserve">Non-tumorigenic MDCK cell line for propagating viruses </t>
  </si>
  <si>
    <t>CN101189326</t>
  </si>
  <si>
    <t xml:space="preserve">Double-screen multifunctional advertisement player </t>
  </si>
  <si>
    <t>CN103761930</t>
  </si>
  <si>
    <t xml:space="preserve">Folding platform structure for show cars </t>
  </si>
  <si>
    <t>CN202952882</t>
  </si>
  <si>
    <t xml:space="preserve">Electronic television program guide schedule system and method using the display and search of the program guide by the program name </t>
  </si>
  <si>
    <t>JPH10510120</t>
  </si>
  <si>
    <t>WO2008137289</t>
  </si>
  <si>
    <t>WO2009082369</t>
  </si>
  <si>
    <t xml:space="preserve">Method, system and apparatus for automatic real-time iterative commercial transactions over the internet </t>
  </si>
  <si>
    <t>CN101506834</t>
  </si>
  <si>
    <t xml:space="preserve">Secure Mobile Device </t>
  </si>
  <si>
    <t>US2017064551</t>
  </si>
  <si>
    <t xml:space="preserve">Systems and methods for predictive spoiler prevention in media assets based on user behavior </t>
  </si>
  <si>
    <t>US2018152759</t>
  </si>
  <si>
    <t>US2018152758</t>
  </si>
  <si>
    <t xml:space="preserve">Guide robot system </t>
  </si>
  <si>
    <t>CN102385384</t>
  </si>
  <si>
    <t>CN102314824</t>
  </si>
  <si>
    <t xml:space="preserve">Guide to visitors commentary robot based on face identification technique </t>
  </si>
  <si>
    <t>CN206541196</t>
  </si>
  <si>
    <t>CN206913160</t>
  </si>
  <si>
    <t xml:space="preserve">Guide interpretation robot based on human face recognition technology, and method </t>
  </si>
  <si>
    <t>CN107065863</t>
  </si>
  <si>
    <t xml:space="preserve">Kinds of intelligent robots with a tour guide function </t>
  </si>
  <si>
    <t>CN108247649</t>
  </si>
  <si>
    <t xml:space="preserve">Guiding robot and control method thereof </t>
  </si>
  <si>
    <t>CN104298240</t>
  </si>
  <si>
    <t xml:space="preserve">Cloud robot system, robot and robot cloud platform </t>
  </si>
  <si>
    <t>CN105563484</t>
  </si>
  <si>
    <t xml:space="preserve">Tour guiding and explaining service robot system and tour guiding and explaining method thereof </t>
  </si>
  <si>
    <t>CN103226924</t>
  </si>
  <si>
    <t xml:space="preserve">Guiding robot system </t>
  </si>
  <si>
    <t>CN202230387</t>
  </si>
  <si>
    <t xml:space="preserve">Virtual guiding system based on positioning information and network display terminal </t>
  </si>
  <si>
    <t>CN102411749</t>
  </si>
  <si>
    <t xml:space="preserve">Tourist guide service robot </t>
  </si>
  <si>
    <t>CN103760866</t>
  </si>
  <si>
    <t xml:space="preserve">Intelligent multi-function guiding robot and control method thereof </t>
  </si>
  <si>
    <t>CN107972048</t>
  </si>
  <si>
    <t xml:space="preserve">Path optimizing method of intelligent voice guide robot </t>
  </si>
  <si>
    <t>CN106168801</t>
  </si>
  <si>
    <t xml:space="preserve">A power source for charging a wheeled autonomous robot automatic docking device </t>
  </si>
  <si>
    <t>CN103676643</t>
  </si>
  <si>
    <t>JP2003340764</t>
  </si>
  <si>
    <t xml:space="preserve">Virtual guiding system based on locating information and network display terminal </t>
  </si>
  <si>
    <t>CN202394269</t>
  </si>
  <si>
    <t xml:space="preserve">Round guide system </t>
  </si>
  <si>
    <t>JP2001116582</t>
  </si>
  <si>
    <t>CN205734943</t>
  </si>
  <si>
    <t>CN107608352</t>
  </si>
  <si>
    <t xml:space="preserve">Multipurpose city public transportation tourist guide service system </t>
  </si>
  <si>
    <t>CN104616239</t>
  </si>
  <si>
    <t xml:space="preserve">Kinds of intelligent inspection robot and control method </t>
  </si>
  <si>
    <t>CN108594829</t>
  </si>
  <si>
    <t xml:space="preserve">Touring monitoring robot </t>
  </si>
  <si>
    <t>CN103388743</t>
  </si>
  <si>
    <t xml:space="preserve">Drive struction of platform for moving robot </t>
  </si>
  <si>
    <t>CN2657878</t>
  </si>
  <si>
    <t>JP2011000656</t>
  </si>
  <si>
    <t xml:space="preserve">Intelligent explanation and guide robot for scenic region </t>
  </si>
  <si>
    <t>CN105234946</t>
  </si>
  <si>
    <t xml:space="preserve">Driving structure and driving method of mobile robot platform </t>
  </si>
  <si>
    <t>CN1289268</t>
  </si>
  <si>
    <t xml:space="preserve">Kinds of intelligent systems based on vehicle patrol road synergies and construction method </t>
  </si>
  <si>
    <t>CN108469825</t>
  </si>
  <si>
    <t xml:space="preserve">Caterpillar-type driving system of patrolling robot </t>
  </si>
  <si>
    <t>CN103465977</t>
  </si>
  <si>
    <t xml:space="preserve">Guide robot and control method thereof </t>
  </si>
  <si>
    <t>JP5423142</t>
  </si>
  <si>
    <t xml:space="preserve">Autonomous obstacles surmounting mechanism of grip hook composite type tour inspection robot </t>
  </si>
  <si>
    <t>CN100999216</t>
  </si>
  <si>
    <t xml:space="preserve">Kinds of petrochemical and explosion-proof inspection robot system </t>
  </si>
  <si>
    <t>CN108280895</t>
  </si>
  <si>
    <t xml:space="preserve">Corridor mobile robot </t>
  </si>
  <si>
    <t>CN207008403</t>
  </si>
  <si>
    <t xml:space="preserve">Autonomous traveling robot </t>
  </si>
  <si>
    <t>JP2006004334</t>
  </si>
  <si>
    <t xml:space="preserve">B spline track planning method of robot joint space guided by vision </t>
  </si>
  <si>
    <t>CN102794767</t>
  </si>
  <si>
    <t xml:space="preserve">Robot-phone </t>
  </si>
  <si>
    <t>US2005078816</t>
  </si>
  <si>
    <t xml:space="preserve">Reception language selection method, system and reception robot </t>
  </si>
  <si>
    <t>CN108182098</t>
  </si>
  <si>
    <t xml:space="preserve">Railway traction power supply line swing arm type patrolling mobile robot </t>
  </si>
  <si>
    <t>CN103904583</t>
  </si>
  <si>
    <t xml:space="preserve">Apparatus for editing an operating program file of an interactive electronic device </t>
  </si>
  <si>
    <t>WO2004010310</t>
  </si>
  <si>
    <t xml:space="preserve">Surgical simulator user input device </t>
  </si>
  <si>
    <t>US5800177</t>
  </si>
  <si>
    <t xml:space="preserve">Omnidirectional mobile platform </t>
  </si>
  <si>
    <t>CN204056042</t>
  </si>
  <si>
    <t>US6252544</t>
  </si>
  <si>
    <t xml:space="preserve">Method and device for sensing of obstacles for an autonomous device </t>
  </si>
  <si>
    <t>US5867800</t>
  </si>
  <si>
    <t xml:space="preserve">Force-feedback interface device for the hand </t>
  </si>
  <si>
    <t>US6042555</t>
  </si>
  <si>
    <t xml:space="preserve">System and method for automatically verifying the performance of a virtual robot </t>
  </si>
  <si>
    <t>US6259969</t>
  </si>
  <si>
    <t xml:space="preserve">Robot control system and robot </t>
  </si>
  <si>
    <t>JP6134894</t>
  </si>
  <si>
    <t xml:space="preserve">Radiographic medical imaging system using robot mounted source and sensor for dynamic image capture and tomography </t>
  </si>
  <si>
    <t>US7441953</t>
  </si>
  <si>
    <t xml:space="preserve">Dialog interface system </t>
  </si>
  <si>
    <t>US6330539</t>
  </si>
  <si>
    <t xml:space="preserve">System and method for automatically focusing the attention of a virtual robot interacting with users </t>
  </si>
  <si>
    <t>US6363301</t>
  </si>
  <si>
    <t xml:space="preserve">Transfer apparatus for and method of transferring substrate </t>
  </si>
  <si>
    <t>US5730574</t>
  </si>
  <si>
    <t xml:space="preserve">Robot power station inspection system and method </t>
  </si>
  <si>
    <t>CN106774308</t>
  </si>
  <si>
    <t xml:space="preserve">Charging system of robot, fill electric pile and fill electric pile sign </t>
  </si>
  <si>
    <t>CN207020533</t>
  </si>
  <si>
    <t xml:space="preserve">Service robot </t>
  </si>
  <si>
    <t>CN206263968</t>
  </si>
  <si>
    <t xml:space="preserve">Pile charging system and method of the robot based on low coupling Smart Cameras </t>
  </si>
  <si>
    <t>CN108521149</t>
  </si>
  <si>
    <t xml:space="preserve">Control system of laser tracking robot </t>
  </si>
  <si>
    <t>CN104656643</t>
  </si>
  <si>
    <t xml:space="preserve">System for museum or exhibition center by using a robot docent </t>
  </si>
  <si>
    <t>KR20110068830</t>
  </si>
  <si>
    <t xml:space="preserve">Interpretive robot </t>
  </si>
  <si>
    <t>CN108000533</t>
  </si>
  <si>
    <t xml:space="preserve">Control system for a mobile robot </t>
  </si>
  <si>
    <t>DE102006058553</t>
  </si>
  <si>
    <t xml:space="preserve">Method and apparatus for providing facial rejuvenation treatments </t>
  </si>
  <si>
    <t>US7083611</t>
  </si>
  <si>
    <t xml:space="preserve">Methods for creating and editing topics for virtual robots conversing in natural language </t>
  </si>
  <si>
    <t>US6629087</t>
  </si>
  <si>
    <t xml:space="preserve">Domestic service robot system based on S3C440X </t>
  </si>
  <si>
    <t>CN205255010</t>
  </si>
  <si>
    <t xml:space="preserve">Artificial intelligent robot system used in electric power service domain </t>
  </si>
  <si>
    <t>CN107742260</t>
  </si>
  <si>
    <t xml:space="preserve">Robot based on three -dimensional head portrait of holographically projected 3D </t>
  </si>
  <si>
    <t>CN205521501</t>
  </si>
  <si>
    <t xml:space="preserve">Kinetic Input/Output </t>
  </si>
  <si>
    <t>US2011288964</t>
  </si>
  <si>
    <t xml:space="preserve">Stamp robot and system of exhibition </t>
  </si>
  <si>
    <t>KR101295942</t>
  </si>
  <si>
    <t xml:space="preserve">Robot and guidance method </t>
  </si>
  <si>
    <t>JP4957799</t>
  </si>
  <si>
    <t xml:space="preserve">Entry control system, entry control robot apparatus, and entry control program </t>
  </si>
  <si>
    <t>JP5055905</t>
  </si>
  <si>
    <t xml:space="preserve">Intelligent robot commentary of exhibition hall device </t>
  </si>
  <si>
    <t>CN206840115</t>
  </si>
  <si>
    <t xml:space="preserve">Speech system </t>
  </si>
  <si>
    <t>US2003028380</t>
  </si>
  <si>
    <t xml:space="preserve">Simplified searching for media services using a control device </t>
  </si>
  <si>
    <t>US2004177063</t>
  </si>
  <si>
    <t xml:space="preserve">Spatio-temporal pattern recognition using a spiking neural network and processing thereof on a portable and/or distributed computer </t>
  </si>
  <si>
    <t>US2009287624</t>
  </si>
  <si>
    <t xml:space="preserve">Traveling device of autonomous moving dust collector capable of adjusting different heights </t>
  </si>
  <si>
    <t>CN201755196</t>
  </si>
  <si>
    <t xml:space="preserve">Driving and steering mechanism of robot moving platform </t>
  </si>
  <si>
    <t>CN101428653</t>
  </si>
  <si>
    <t xml:space="preserve">Scooter-guide </t>
  </si>
  <si>
    <t>RU164511</t>
  </si>
  <si>
    <t xml:space="preserve">Method of and system for recommending programs </t>
  </si>
  <si>
    <t>US2002157096</t>
  </si>
  <si>
    <t xml:space="preserve">Method for establishing a desired area of confinement for an autonomous robot and autonomous robot implementing a control system for executing the same </t>
  </si>
  <si>
    <t>US2012265391</t>
  </si>
  <si>
    <t xml:space="preserve">Image capturing device </t>
  </si>
  <si>
    <t>US2003020816</t>
  </si>
  <si>
    <t xml:space="preserve">Defense Related Robotic Systems </t>
  </si>
  <si>
    <t>US2009044655</t>
  </si>
  <si>
    <t>JP4411248</t>
  </si>
  <si>
    <t xml:space="preserve">Guidance robot </t>
  </si>
  <si>
    <t>KR100904191</t>
  </si>
  <si>
    <t xml:space="preserve">Interactive mode selection method, system and reception robot </t>
  </si>
  <si>
    <t>CN108161933</t>
  </si>
  <si>
    <t xml:space="preserve">Moored Wellhead Effluent Capture and Concrete Application Apparatus </t>
  </si>
  <si>
    <t>US2011274493</t>
  </si>
  <si>
    <t xml:space="preserve">Communication robot system </t>
  </si>
  <si>
    <t>JP2018067785</t>
  </si>
  <si>
    <t xml:space="preserve">Tour inspection method of tour inspection robot of power transmission line </t>
  </si>
  <si>
    <t>CN106058735</t>
  </si>
  <si>
    <t xml:space="preserve">Guide robot and guide method </t>
  </si>
  <si>
    <t>JP2008003860</t>
  </si>
  <si>
    <t xml:space="preserve">Interactive method and electronic equipment </t>
  </si>
  <si>
    <t>CN108415932</t>
  </si>
  <si>
    <t xml:space="preserve">Airport guide robot and operation method therefor </t>
  </si>
  <si>
    <t>WO2018070686</t>
  </si>
  <si>
    <t xml:space="preserve">Mobile intelligent robot having function of contents provision and location guidance </t>
  </si>
  <si>
    <t>KR20090000637</t>
  </si>
  <si>
    <t xml:space="preserve">Spoken dialog system based on dual dialog management using hierarchical dialog task library </t>
  </si>
  <si>
    <t>US2014136212</t>
  </si>
  <si>
    <t xml:space="preserve">Balancer for robot arms </t>
  </si>
  <si>
    <t>WO9317839</t>
  </si>
  <si>
    <t xml:space="preserve">Path planning and equipment </t>
  </si>
  <si>
    <t>CN108303098</t>
  </si>
  <si>
    <t xml:space="preserve">Dust catcher walking device with adjustable height </t>
  </si>
  <si>
    <t>CN101711659</t>
  </si>
  <si>
    <t xml:space="preserve">Guide for positioning machine, particularly machine tool, positioning device or robot, has ultrasonic levitation oscillator and magnetic actuator which is antagonistically arranged for ultrasonic-levitation oscillator </t>
  </si>
  <si>
    <t>DE102011015973</t>
  </si>
  <si>
    <t xml:space="preserve">Omnidirectional movement control system </t>
  </si>
  <si>
    <t>US7949437</t>
  </si>
  <si>
    <t xml:space="preserve">Method of controlling movement of robot, mobile robot, and computer program product </t>
  </si>
  <si>
    <t>US7554282</t>
  </si>
  <si>
    <t xml:space="preserve">Rapid solving method for inverse kinematics problem of six-joint mechanical arm </t>
  </si>
  <si>
    <t>CN102243620</t>
  </si>
  <si>
    <t xml:space="preserve">Etiquette robot with programme-controlled manipulator </t>
  </si>
  <si>
    <t>CN2199853</t>
  </si>
  <si>
    <t xml:space="preserve">Patient selectable joint arthroplasty devices and surgical tools facilitating increased accuracy, speed and simplicity in performing total and partial joint arthroplasty </t>
  </si>
  <si>
    <t>KR20050084024</t>
  </si>
  <si>
    <t xml:space="preserve">Dynamic sweeping mechanism for a line scan camera </t>
  </si>
  <si>
    <t>US5403140</t>
  </si>
  <si>
    <t xml:space="preserve">Tracking cart system </t>
  </si>
  <si>
    <t>US6374748</t>
  </si>
  <si>
    <t>WO9928800</t>
  </si>
  <si>
    <t xml:space="preserve">Gait pattern generating device for legged mobile robot </t>
  </si>
  <si>
    <t>WO0240224</t>
  </si>
  <si>
    <t xml:space="preserve">Guiding device and method of controlling the same </t>
  </si>
  <si>
    <t>US2007217616</t>
  </si>
  <si>
    <t xml:space="preserve">Power tunnel comprehensive environment automatic tour inspection system </t>
  </si>
  <si>
    <t>CN102750752</t>
  </si>
  <si>
    <t xml:space="preserve">Multi-rotary-wing intelligent inspection robot for overhead line </t>
  </si>
  <si>
    <t>CN103855644</t>
  </si>
  <si>
    <t xml:space="preserve">Single mobile robot optimal itineration control method based on target tracking control strategy </t>
  </si>
  <si>
    <t>CN104834309</t>
  </si>
  <si>
    <t xml:space="preserve">Prosodic Speech Text Codes and Their Use in Computerized Speech Systems </t>
  </si>
  <si>
    <t>US2007260461</t>
  </si>
  <si>
    <t xml:space="preserve">Workover operation mechanization system replacing well mouth manual operation </t>
  </si>
  <si>
    <t>CN101672168</t>
  </si>
  <si>
    <t xml:space="preserve">Continuous automatic vehicle orientation on road - using monocular image and modelling to estimate road curvature and width from geometry and dynamic aspects of scene </t>
  </si>
  <si>
    <t>DE4124654</t>
  </si>
  <si>
    <t xml:space="preserve">Service robot and service system using it </t>
  </si>
  <si>
    <t>JP2001300876</t>
  </si>
  <si>
    <t xml:space="preserve">Man-machine interaction method and system based on artificial intelligence </t>
  </si>
  <si>
    <t>CN105068661</t>
  </si>
  <si>
    <t xml:space="preserve">Custom milled iron set </t>
  </si>
  <si>
    <t>US2008235934</t>
  </si>
  <si>
    <t xml:space="preserve">Automatic parking system based on mobile robot trolley </t>
  </si>
  <si>
    <t>CN102535915</t>
  </si>
  <si>
    <t xml:space="preserve">Transfer assisting robot </t>
  </si>
  <si>
    <t>JP2008073501</t>
  </si>
  <si>
    <t>WO9851451</t>
  </si>
  <si>
    <t xml:space="preserve">Store robot </t>
  </si>
  <si>
    <t>JP2006155039</t>
  </si>
  <si>
    <t xml:space="preserve">Robot travelling along overhead high voltage transmission line </t>
  </si>
  <si>
    <t>CN1647898</t>
  </si>
  <si>
    <t xml:space="preserve">Virtual robot conversing with users in natural language </t>
  </si>
  <si>
    <t>WO9855903</t>
  </si>
  <si>
    <t xml:space="preserve">Pinball machine with an interactive three-dimensional figure </t>
  </si>
  <si>
    <t>US5405142</t>
  </si>
  <si>
    <t xml:space="preserve">Multi-rotor-wing automatic positioning detector used for transmission line </t>
  </si>
  <si>
    <t>CN102340113</t>
  </si>
  <si>
    <t xml:space="preserve">Autonomous navigation and man-machine coordination picking operating system of picking robot </t>
  </si>
  <si>
    <t>CN102914967</t>
  </si>
  <si>
    <t xml:space="preserve">A walking training robot system having upper limbs linking device </t>
  </si>
  <si>
    <t>KR100841177</t>
  </si>
  <si>
    <t xml:space="preserve">Substrate treating device, substrate convey device, substrate grasping device, and chemical solution treating device </t>
  </si>
  <si>
    <t>WO2007099976</t>
  </si>
  <si>
    <t xml:space="preserve">Upper-limb rehabilitation robot and parallel link mechanism therefor </t>
  </si>
  <si>
    <t>KR101126637</t>
  </si>
  <si>
    <t xml:space="preserve">Automatic high-tension transmission line wire breaking and damage detection device </t>
  </si>
  <si>
    <t>CN201732077</t>
  </si>
  <si>
    <t xml:space="preserve">Robot language processor </t>
  </si>
  <si>
    <t>WO9711416</t>
  </si>
  <si>
    <t>CN201242685</t>
  </si>
  <si>
    <t xml:space="preserve">Ward visit service robot system and target searching method thereof </t>
  </si>
  <si>
    <t>CN102103663</t>
  </si>
  <si>
    <t>JP2007200070</t>
  </si>
  <si>
    <t xml:space="preserve">Driving wheel with corner test </t>
  </si>
  <si>
    <t>CN2632632</t>
  </si>
  <si>
    <t xml:space="preserve">Monitoring system, and control device of mobile robot constituting the system </t>
  </si>
  <si>
    <t>JP2007148973</t>
  </si>
  <si>
    <t xml:space="preserve">System for expediting knowledge sharing </t>
  </si>
  <si>
    <t>JP2001195430</t>
  </si>
  <si>
    <t xml:space="preserve">Intelligent inspection robot of multiple rotary wing type for overhead line </t>
  </si>
  <si>
    <t>CN203983835</t>
  </si>
  <si>
    <t xml:space="preserve">Method for Creating Personalized Home Page Utilizing Bookmark File Data on the Web Browser and for Web-Surfing Guide Using the Personalized Home Page </t>
  </si>
  <si>
    <t>KR20000058779</t>
  </si>
  <si>
    <t xml:space="preserve">Optical device and optical machining system using the optical device </t>
  </si>
  <si>
    <t>WO9221050</t>
  </si>
  <si>
    <t xml:space="preserve">Automatic adjusting method for degree of playing difficulty in shooting game system </t>
  </si>
  <si>
    <t>JPH07275507</t>
  </si>
  <si>
    <t xml:space="preserve">Full automatic standard apparatus for electric energy meter </t>
  </si>
  <si>
    <t>CN101458314</t>
  </si>
  <si>
    <t xml:space="preserve">Method for information transmission with backbone network and a position monitoring system for multiple robotic devices </t>
  </si>
  <si>
    <t>US2008151908</t>
  </si>
  <si>
    <t xml:space="preserve">Upright inspection tour deicing device of high voltage line </t>
  </si>
  <si>
    <t>CN203151041</t>
  </si>
  <si>
    <t xml:space="preserve">Temperature inspection tour trolley for operation equipment of transformer station </t>
  </si>
  <si>
    <t>CN203366398</t>
  </si>
  <si>
    <t xml:space="preserve">Controller for legged mobile robot </t>
  </si>
  <si>
    <t>WO9954095</t>
  </si>
  <si>
    <t xml:space="preserve">Full -automatic remote power line unmanned aerial vehicle tours system </t>
  </si>
  <si>
    <t>CN204679793</t>
  </si>
  <si>
    <t xml:space="preserve">Autonomous obstacle-avoiding planning method of tour detector based on binocular stereo vision </t>
  </si>
  <si>
    <t>CN102520721</t>
  </si>
  <si>
    <t xml:space="preserve">Multifunctional intelligent medical guardian wheelchair and wheelchair control method </t>
  </si>
  <si>
    <t>CN103110485</t>
  </si>
  <si>
    <t xml:space="preserve">Method and device for the all-round machining of a blank in a machining device in particular a milling machine </t>
  </si>
  <si>
    <t>WO03064089</t>
  </si>
  <si>
    <t>WO03090982</t>
  </si>
  <si>
    <t xml:space="preserve">Downsizing the apparatus and method of the heart valve </t>
  </si>
  <si>
    <t>JP2011506017</t>
  </si>
  <si>
    <t>JP2007196300</t>
  </si>
  <si>
    <t xml:space="preserve">Method and universal automated complex for basing large-size contour-forming parts, working and assembling them </t>
  </si>
  <si>
    <t>RU2165836</t>
  </si>
  <si>
    <t xml:space="preserve">Patient selectable knee joint arthroplasty devices </t>
  </si>
  <si>
    <t>CN101442960</t>
  </si>
  <si>
    <t xml:space="preserve">Automatic airplane safety raising and guiding device </t>
  </si>
  <si>
    <t>US2381478</t>
  </si>
  <si>
    <t xml:space="preserve">Multi-rotor polling aircraft and transmission line polling system </t>
  </si>
  <si>
    <t>CN204355272</t>
  </si>
  <si>
    <t xml:space="preserve">Configuration marker design and detection for instrument tracking </t>
  </si>
  <si>
    <t>KR20110118640</t>
  </si>
  <si>
    <t xml:space="preserve">Interactive method and apparatus for image broadcasting from a mobile video camera </t>
  </si>
  <si>
    <t>EP1152617</t>
  </si>
  <si>
    <t xml:space="preserve">Method for determining target person of service in service system by robot and service system by robot using same method </t>
  </si>
  <si>
    <t>JP2008142876</t>
  </si>
  <si>
    <t xml:space="preserve">Device for stacking bags on pins </t>
  </si>
  <si>
    <t>EP0384281</t>
  </si>
  <si>
    <t>US2010150656</t>
  </si>
  <si>
    <t xml:space="preserve">Fiber application machine </t>
  </si>
  <si>
    <t>CN101132903</t>
  </si>
  <si>
    <t xml:space="preserve">Collecting data in an industrial plant </t>
  </si>
  <si>
    <t>EP2535781</t>
  </si>
  <si>
    <t>JP4879595</t>
  </si>
  <si>
    <t xml:space="preserve">Container conveying system </t>
  </si>
  <si>
    <t>WO03105216</t>
  </si>
  <si>
    <t xml:space="preserve">Submarine oil pipeline leakage system and method based on unmanned underwater vehicle </t>
  </si>
  <si>
    <t>CN104251381</t>
  </si>
  <si>
    <t xml:space="preserve">Data carrier archiving system </t>
  </si>
  <si>
    <t>WO9422140</t>
  </si>
  <si>
    <t xml:space="preserve">Robotic vehicle having tiltable propulsion units </t>
  </si>
  <si>
    <t>US5148882</t>
  </si>
  <si>
    <t xml:space="preserve">Method and apparatus for connecting a flowline to a subsea station </t>
  </si>
  <si>
    <t>GB1595993</t>
  </si>
  <si>
    <t xml:space="preserve">Mouse putter </t>
  </si>
  <si>
    <t>US2008009367</t>
  </si>
  <si>
    <t xml:space="preserve">A method for setting a rate of a mobile robot </t>
  </si>
  <si>
    <t>DE10145150</t>
  </si>
  <si>
    <t xml:space="preserve">Campus intelligent service robot </t>
  </si>
  <si>
    <t>CN206588957</t>
  </si>
  <si>
    <t xml:space="preserve">Device and method for controlling self-localization, butting and charging of high-voltage line inspection robot </t>
  </si>
  <si>
    <t>CN103825338</t>
  </si>
  <si>
    <t xml:space="preserve">Large-scale motor-type test-stand intelligent tour inspection dolly system </t>
  </si>
  <si>
    <t>CN104122892</t>
  </si>
  <si>
    <t xml:space="preserve">Guide support system and guide support method </t>
  </si>
  <si>
    <t>JPWO2014061142</t>
  </si>
  <si>
    <t xml:space="preserve">Automatic transfer robot clamping device </t>
  </si>
  <si>
    <t>CN206013846</t>
  </si>
  <si>
    <t xml:space="preserve">Automatic transfer robot </t>
  </si>
  <si>
    <t>CN205674206</t>
  </si>
  <si>
    <t xml:space="preserve">Power transmission line insulator individual soldier tour inspection tool </t>
  </si>
  <si>
    <t>CN105785248</t>
  </si>
  <si>
    <t xml:space="preserve">Substation inspection robot anti-lost device </t>
  </si>
  <si>
    <t>CN107943200</t>
  </si>
  <si>
    <t xml:space="preserve">Low-voltage power distribution network broken line inspection tour device </t>
  </si>
  <si>
    <t>CN105548818</t>
  </si>
  <si>
    <t xml:space="preserve">Traveling cleaning appliance and method for operating the same </t>
  </si>
  <si>
    <t>CN103853154</t>
  </si>
  <si>
    <t xml:space="preserve">Fully hydraulic casing centering guide machine </t>
  </si>
  <si>
    <t>CN2616659</t>
  </si>
  <si>
    <t xml:space="preserve">Multi-rotor-wing patrolling aircraft and power transmission line patrolling system </t>
  </si>
  <si>
    <t>CN104386250</t>
  </si>
  <si>
    <t xml:space="preserve">Method of controlling the working speed of a ring spinning machine </t>
  </si>
  <si>
    <t>EP0415290</t>
  </si>
  <si>
    <t xml:space="preserve">Automatic feeding system for underwater fish farm </t>
  </si>
  <si>
    <t>EP2666354</t>
  </si>
  <si>
    <t xml:space="preserve">Exoskeleton wearable robot for human arm. </t>
  </si>
  <si>
    <t>ES2370895</t>
  </si>
  <si>
    <t xml:space="preserve">Monitoring system of incineration disposal facility </t>
  </si>
  <si>
    <t>JP2006250377</t>
  </si>
  <si>
    <t xml:space="preserve">Mobile robot, learning system for the same, and method of learning action of the same </t>
  </si>
  <si>
    <t>JP2012139798</t>
  </si>
  <si>
    <t xml:space="preserve">Track system and test method for tunnel cable inspection tour robot </t>
  </si>
  <si>
    <t>CN102841604</t>
  </si>
  <si>
    <t xml:space="preserve">Mobile robot capable of drive using smart terminal </t>
  </si>
  <si>
    <t>KR101488894</t>
  </si>
  <si>
    <t xml:space="preserve">Selbstkletterndes suspension for facades, especially glass facades </t>
  </si>
  <si>
    <t>DE10320570</t>
  </si>
  <si>
    <t xml:space="preserve">Method And Apparatus For Determining An Angle Of Attack From Multiple Ball Hitting </t>
  </si>
  <si>
    <t>US2013137528</t>
  </si>
  <si>
    <t xml:space="preserve">Automated guided facility </t>
  </si>
  <si>
    <t>JP2006099726</t>
  </si>
  <si>
    <t xml:space="preserve">Self-adaption path tracking method of inspection robot </t>
  </si>
  <si>
    <t>CN104133476</t>
  </si>
  <si>
    <t xml:space="preserve">Guide robot, information processor and information processor with guide robot </t>
  </si>
  <si>
    <t>JP2001236137</t>
  </si>
  <si>
    <t xml:space="preserve">Underwater crawling and swimming type robot and working method thereof </t>
  </si>
  <si>
    <t>CN107054588</t>
  </si>
  <si>
    <t xml:space="preserve">Active obstacle travelling robot walking clipping mechanism </t>
  </si>
  <si>
    <t>CN1853873</t>
  </si>
  <si>
    <t xml:space="preserve">Monitoring system, the mobile robot and a control device constituting the system </t>
  </si>
  <si>
    <t>JP4934315</t>
  </si>
  <si>
    <t xml:space="preserve">The remote control security camera system which movable in transparent window pipe </t>
  </si>
  <si>
    <t>KR20120086963</t>
  </si>
  <si>
    <t xml:space="preserve">Full-automatic inspection robot shopping cart and shopping system </t>
  </si>
  <si>
    <t>CN104085437</t>
  </si>
  <si>
    <t xml:space="preserve">Multi-rotor-wing inspection aircraft and power transmission line inspection system </t>
  </si>
  <si>
    <t>WO2016078081</t>
  </si>
  <si>
    <t xml:space="preserve">Exhibition hall and guiding method thereof </t>
  </si>
  <si>
    <t>CN103281401</t>
  </si>
  <si>
    <t xml:space="preserve">Mechanical handling robot for use in construction industry - has gripper for bricks and blocks at end of articulated arm programmed to produce wall construction </t>
  </si>
  <si>
    <t>DE4207384</t>
  </si>
  <si>
    <t xml:space="preserve">Computer system of an artificial intelligence of a cyborg or an android, wherein a received signal-reaction of the computer system of the artificial intelligence of the cyborg or the android, a corresponding association of the computer system of the artificial intelligence of the cyborg or the android, a corresponding thought of the computer system of the artificial intelligence of the cyborg or the android are physically built, and a working method of the computer system of the artificial intelligence of the artificial intelligence of the cyborg or the android </t>
  </si>
  <si>
    <t>US2016078366</t>
  </si>
  <si>
    <t xml:space="preserve">Method and device for programming track of tour inspection robot </t>
  </si>
  <si>
    <t>CN104898665</t>
  </si>
  <si>
    <t>JP2006198730</t>
  </si>
  <si>
    <t xml:space="preserve">Action time shortening method, action time shortening device, program, and parts mounting machine </t>
  </si>
  <si>
    <t>CN101080963</t>
  </si>
  <si>
    <t xml:space="preserve">Robot apparatus and robot remote operation system </t>
  </si>
  <si>
    <t>CN1802239</t>
  </si>
  <si>
    <t xml:space="preserve">Automatic dredging lifting device for dredging robot </t>
  </si>
  <si>
    <t>CN203613639</t>
  </si>
  <si>
    <t xml:space="preserve">Transmission for rotating segment of robot, has cable with two strands, one stretched between pulley of small diameter and screw fixed in nut, and other stretched between pulley of large diameter and driven component </t>
  </si>
  <si>
    <t>FR2852373</t>
  </si>
  <si>
    <t xml:space="preserve">Overhead cultivation matched rice seedling transplanting robot and control method thereof </t>
  </si>
  <si>
    <t>CN104885664</t>
  </si>
  <si>
    <t xml:space="preserve">Transmission line who improves transition guide rail patrols and examines line unloading device in robot </t>
  </si>
  <si>
    <t>CN206720207</t>
  </si>
  <si>
    <t xml:space="preserve">Exoskeleton robot for movement of a member </t>
  </si>
  <si>
    <t>ES2496615</t>
  </si>
  <si>
    <t xml:space="preserve">Uninhabited auto lubricator and lubrication method used to robot </t>
  </si>
  <si>
    <t>KR20050032197</t>
  </si>
  <si>
    <t xml:space="preserve">Asteroid microgravity surface touring mechanism </t>
  </si>
  <si>
    <t>CN106742061</t>
  </si>
  <si>
    <t xml:space="preserve">Kinds of large span, long stroke Cartesian coordinate stacking, unstacking robot system </t>
  </si>
  <si>
    <t>CN108436885</t>
  </si>
  <si>
    <t xml:space="preserve">Moving robot </t>
  </si>
  <si>
    <t>JP2008242967</t>
  </si>
  <si>
    <t xml:space="preserve">Servicing robot for textile machines </t>
  </si>
  <si>
    <t>EP0487949</t>
  </si>
  <si>
    <t xml:space="preserve">Robot device is patrolled and examined to rail mounted </t>
  </si>
  <si>
    <t>CN205098937</t>
  </si>
  <si>
    <t xml:space="preserve">Ward round robot system based on Bayesian theory </t>
  </si>
  <si>
    <t>CN202010257</t>
  </si>
  <si>
    <t xml:space="preserve">System and method for retrieving information and program </t>
  </si>
  <si>
    <t>JP2003030235</t>
  </si>
  <si>
    <t xml:space="preserve">Device and method for simulating low gravity </t>
  </si>
  <si>
    <t>CN104118580</t>
  </si>
  <si>
    <t xml:space="preserve">Signalling and communication system for managing the flow of independent movable objects </t>
  </si>
  <si>
    <t>FR2636750</t>
  </si>
  <si>
    <t xml:space="preserve">Device to reap the fruits likely to be applied to a wide variety of fruits </t>
  </si>
  <si>
    <t>FR2531604</t>
  </si>
  <si>
    <t xml:space="preserve">grouping devices of articles and consolidation processes, stacking, packaging and stabilization of articles </t>
  </si>
  <si>
    <t>FR2628391</t>
  </si>
  <si>
    <t xml:space="preserve">Application programming interface for geographic data in computer game </t>
  </si>
  <si>
    <t>JP2005316466</t>
  </si>
  <si>
    <t xml:space="preserve">Geographic area template for computer game </t>
  </si>
  <si>
    <t>JP2005316995</t>
  </si>
  <si>
    <t xml:space="preserve">Based on agricultural production systems and intelligent use of rail transport </t>
  </si>
  <si>
    <t>CN105174055</t>
  </si>
  <si>
    <t xml:space="preserve">Routing inspection air vehicle with multiple rotor wings and electric transmission line hanging method thereof </t>
  </si>
  <si>
    <t>CN104362545</t>
  </si>
  <si>
    <t xml:space="preserve">Bluetooth technology-based exhibition hall autonomous navigation system </t>
  </si>
  <si>
    <t>CN104101342</t>
  </si>
  <si>
    <t>CN106655506</t>
  </si>
  <si>
    <t xml:space="preserve">A touch screen display all-in-one machine intelligence development experience device </t>
  </si>
  <si>
    <t>CN203812410</t>
  </si>
  <si>
    <t xml:space="preserve">Automobile first-generation hub bearing assembly line </t>
  </si>
  <si>
    <t>CN201705819</t>
  </si>
  <si>
    <t xml:space="preserve">Setting tool with a magnetizable Setzstempel vorlochfreien for joining components by means of joining element and joining device with such a setting tool and method for operating </t>
  </si>
  <si>
    <t>DE102013000388</t>
  </si>
  <si>
    <t xml:space="preserve">Reduced edge contact wafer handling system and method of retrofitting and using same </t>
  </si>
  <si>
    <t>WO0245137</t>
  </si>
  <si>
    <t xml:space="preserve">Combination nozzle and device for applying a viscous material to a component edge </t>
  </si>
  <si>
    <t>WO2014063806</t>
  </si>
  <si>
    <t xml:space="preserve">Remote guidance system </t>
  </si>
  <si>
    <t>JP2013000875</t>
  </si>
  <si>
    <t xml:space="preserve">Method of drug-free correction alexithymia and psychosomatic health gain in sportsmen </t>
  </si>
  <si>
    <t>RU2429025</t>
  </si>
  <si>
    <t xml:space="preserve">Multiple-rotor-wing routing inspection aircraft provided with anti-bumping covers </t>
  </si>
  <si>
    <t>CN204355271</t>
  </si>
  <si>
    <t xml:space="preserve">Plating Apparatus </t>
  </si>
  <si>
    <t>KR100564779</t>
  </si>
  <si>
    <t xml:space="preserve">welding robot </t>
  </si>
  <si>
    <t>FR2627114</t>
  </si>
  <si>
    <t xml:space="preserve">Aerial robot vision layered matching process based adaptive ant colony intelligence </t>
  </si>
  <si>
    <t>CN101477689</t>
  </si>
  <si>
    <t xml:space="preserve">Monitoring robot system </t>
  </si>
  <si>
    <t>JP2002342851</t>
  </si>
  <si>
    <t xml:space="preserve">Oil drilling machine quadruple board platform calandria robot </t>
  </si>
  <si>
    <t>CN206233877</t>
  </si>
  <si>
    <t xml:space="preserve">Computer system of artificial intelligence of a cyborg or an android, wherein a received signal-reaction of the computer system of artificial intelligence of the cyborg or the android, an association of the computer system of artificial intelligence of the cyborg or the android, a thought of the computer system of artificial intelligence of the cyborg or the android are substantiated, and a working method of this computer system of artificial intelligence of a cyborg or an android </t>
  </si>
  <si>
    <t>US2014032466</t>
  </si>
  <si>
    <t xml:space="preserve">Robot for amusement </t>
  </si>
  <si>
    <t>CN205363914</t>
  </si>
  <si>
    <t xml:space="preserve">Manipulator system of automatic doffing system </t>
  </si>
  <si>
    <t>CN103696059</t>
  </si>
  <si>
    <t xml:space="preserve">Bonding method and device </t>
  </si>
  <si>
    <t>JPH09108828</t>
  </si>
  <si>
    <t xml:space="preserve">Robot grease supply scheduling apparatus and method thereof </t>
  </si>
  <si>
    <t>KR101478388</t>
  </si>
  <si>
    <t xml:space="preserve">Transmission line patrols and examines robot </t>
  </si>
  <si>
    <t>CN206480982</t>
  </si>
  <si>
    <t xml:space="preserve">Method and system for providing fitted service for traveler </t>
  </si>
  <si>
    <t>KR101627976</t>
  </si>
  <si>
    <t xml:space="preserve">Skip presss from both sides tight positioner </t>
  </si>
  <si>
    <t>CN205574098</t>
  </si>
  <si>
    <t xml:space="preserve">Intelligent terminal comprehensive test robot </t>
  </si>
  <si>
    <t>CN203909785</t>
  </si>
  <si>
    <t xml:space="preserve">uninhabited auto lubricator used to robot </t>
  </si>
  <si>
    <t>KR200337642</t>
  </si>
  <si>
    <t xml:space="preserve">Wheel indicates that high -voltage line of mechanism patrols and examines robot </t>
  </si>
  <si>
    <t>CN205377162</t>
  </si>
  <si>
    <t xml:space="preserve">A tour unmanned aerial vehicle for forest farm </t>
  </si>
  <si>
    <t>CN207292425</t>
  </si>
  <si>
    <t xml:space="preserve">Control apparatus for a mobile robot </t>
  </si>
  <si>
    <t>JP4792280</t>
  </si>
  <si>
    <t xml:space="preserve">Track pump sending formula desilting machine people </t>
  </si>
  <si>
    <t>CN206456445</t>
  </si>
  <si>
    <t xml:space="preserve">Turn signaling apparatus for autonomous driving vehicle </t>
  </si>
  <si>
    <t>KR101503525</t>
  </si>
  <si>
    <t xml:space="preserve">Intelligent patrol robot of transformer substation </t>
  </si>
  <si>
    <t>CN104953709</t>
  </si>
  <si>
    <t xml:space="preserve">Data collection from a subject using a sensor apparatus </t>
  </si>
  <si>
    <t>US2017225329</t>
  </si>
  <si>
    <t xml:space="preserve">A natural gas gas transmission station automatic robot that patrols and examines </t>
  </si>
  <si>
    <t>CN207148648</t>
  </si>
  <si>
    <t xml:space="preserve">Tremolo mechanism of high-voltage line inspection robot </t>
  </si>
  <si>
    <t>CN105514864</t>
  </si>
  <si>
    <t xml:space="preserve">Kinds of service robots with navigation capabilities </t>
  </si>
  <si>
    <t>CN207717096</t>
  </si>
  <si>
    <t>DE102014116233</t>
  </si>
  <si>
    <t>CN106556428</t>
  </si>
  <si>
    <t xml:space="preserve">Automatic recognition method of transformer substation touring robot and touring robot </t>
  </si>
  <si>
    <t>CN107081765</t>
  </si>
  <si>
    <t xml:space="preserve">Locating mechanism of self-touring material trolley </t>
  </si>
  <si>
    <t>CN105857440</t>
  </si>
  <si>
    <t xml:space="preserve">Automatic charging system for fully-automatic patrol cleaning robot </t>
  </si>
  <si>
    <t>CN105790372</t>
  </si>
  <si>
    <t xml:space="preserve">Sound and character processor for realizing semiconductor chip-based user friendly edu-entertainment (language friendly product) in educational category and sound and character processor for real </t>
  </si>
  <si>
    <t>KR20020067882</t>
  </si>
  <si>
    <t xml:space="preserve">Floating docking device for electric robot </t>
  </si>
  <si>
    <t>CN207868423</t>
  </si>
  <si>
    <t xml:space="preserve">Express delivery conveying robot </t>
  </si>
  <si>
    <t>CN206187895</t>
  </si>
  <si>
    <t xml:space="preserve">Oil rig drain pipe racking robot and method </t>
  </si>
  <si>
    <t>CN106593324</t>
  </si>
  <si>
    <t xml:space="preserve">Robot used for detecting high voltage transmission lines </t>
  </si>
  <si>
    <t>CN101665128</t>
  </si>
  <si>
    <t xml:space="preserve">Method and system for applying a coating material using a programmable robot </t>
  </si>
  <si>
    <t>CN102089723</t>
  </si>
  <si>
    <t>WO2017187620</t>
  </si>
  <si>
    <t xml:space="preserve">A spatial cabin pick and place robot package </t>
  </si>
  <si>
    <t>CN106275519</t>
  </si>
  <si>
    <t xml:space="preserve">A device for keeping dairy animals. </t>
  </si>
  <si>
    <t>NL1034796</t>
  </si>
  <si>
    <t xml:space="preserve">Cable detection robot </t>
  </si>
  <si>
    <t>CN105239504</t>
  </si>
  <si>
    <t xml:space="preserve">Method and apparatus for hand-controlled guidance of a tool in a predetermined range of motion </t>
  </si>
  <si>
    <t>DE19814630</t>
  </si>
  <si>
    <t xml:space="preserve">Belt providing continuous lining up of plastics components </t>
  </si>
  <si>
    <t>KR100252190</t>
  </si>
  <si>
    <t xml:space="preserve">Intelligent carrying trolley for flexible packaging line </t>
  </si>
  <si>
    <t>CN203819563</t>
  </si>
  <si>
    <t xml:space="preserve">Large vertical tube inner wall crawling robot </t>
  </si>
  <si>
    <t>CN106043483</t>
  </si>
  <si>
    <t xml:space="preserve">Apparatus and articles by wrapping grouping METHOD </t>
  </si>
  <si>
    <t>FR2628390</t>
  </si>
  <si>
    <t xml:space="preserve">Vacuum packaging waste, methods for identifying a quantity of waste in a vacuum package and transport vehicle for transporting waste in a vacuum packaging </t>
  </si>
  <si>
    <t>DE102017001385</t>
  </si>
  <si>
    <t xml:space="preserve">Maintenance system </t>
  </si>
  <si>
    <t>JP2016037808</t>
  </si>
  <si>
    <t xml:space="preserve">Guided controller for moving body </t>
  </si>
  <si>
    <t>JPH0822325</t>
  </si>
  <si>
    <t xml:space="preserve">Surgical tool positioning system </t>
  </si>
  <si>
    <t>JP2018138221</t>
  </si>
  <si>
    <t xml:space="preserve">Monitor robot of collecting evidence </t>
  </si>
  <si>
    <t>CN207505054</t>
  </si>
  <si>
    <t xml:space="preserve">Type of tour mosaic image positioning based </t>
  </si>
  <si>
    <t>CN103927739</t>
  </si>
  <si>
    <t xml:space="preserve">Terminal device, information provision system, information presentation method, and information provision method </t>
  </si>
  <si>
    <t>CN106537496</t>
  </si>
  <si>
    <t xml:space="preserve">LabVIEW based brower/server (B/S)-framework remote inspection system of power transformation and distribution station </t>
  </si>
  <si>
    <t>CN105790436</t>
  </si>
  <si>
    <t xml:space="preserve">Information management system and information management method </t>
  </si>
  <si>
    <t>CN106537497</t>
  </si>
  <si>
    <t xml:space="preserve">Integrated multimedia tool, system and method to explore and study the virtual human body </t>
  </si>
  <si>
    <t>EP2948936</t>
  </si>
  <si>
    <t xml:space="preserve">Life maintenance mode, brain inhibition method and personal health information platform </t>
  </si>
  <si>
    <t>WO2015070634</t>
  </si>
  <si>
    <t xml:space="preserve">An intelligent terminal integrated testing robot </t>
  </si>
  <si>
    <t>CN103853095</t>
  </si>
  <si>
    <t xml:space="preserve">Substrate recovery system, substrate recovery method </t>
  </si>
  <si>
    <t>CN101558508</t>
  </si>
  <si>
    <t xml:space="preserve">Nuclear reactor steam generator heat exchanger maintenance equipment and introduction procedure </t>
  </si>
  <si>
    <t>FR2811064</t>
  </si>
  <si>
    <t xml:space="preserve">Kinds of pipe inspection robot </t>
  </si>
  <si>
    <t>CN207584272</t>
  </si>
  <si>
    <t xml:space="preserve">River silt clears up system </t>
  </si>
  <si>
    <t>CN206844201</t>
  </si>
  <si>
    <t xml:space="preserve">Remote internet technical guidance/education distribution system using practitioner's vision, and guidance system using communication network </t>
  </si>
  <si>
    <t>WO02054309</t>
  </si>
  <si>
    <t xml:space="preserve">Device including a robot manipulator for supplying a machine tool with work pieces and removing them from it </t>
  </si>
  <si>
    <t>EP0193463</t>
  </si>
  <si>
    <t xml:space="preserve">Automatic flexible hub bearing assembly line </t>
  </si>
  <si>
    <t>CN104675870</t>
  </si>
  <si>
    <t xml:space="preserve">Intelligence system of patrolling and examining based on circular orbit </t>
  </si>
  <si>
    <t>CN206193489</t>
  </si>
  <si>
    <t xml:space="preserve">Automatic inspection device in mining tunnel </t>
  </si>
  <si>
    <t>CN206290288</t>
  </si>
  <si>
    <t xml:space="preserve">Portable simultaneous interpretation equipment </t>
  </si>
  <si>
    <t>CN206639220</t>
  </si>
  <si>
    <t>US2018047395</t>
  </si>
  <si>
    <t xml:space="preserve">Deboning process and apparatus boning portions bone X-ray </t>
  </si>
  <si>
    <t>ES2548545</t>
  </si>
  <si>
    <t xml:space="preserve">Planar microelectromagnetic unit array chip capable of being gated separately </t>
  </si>
  <si>
    <t>CN100476431</t>
  </si>
  <si>
    <t xml:space="preserve">Formula of opening cabin ammunition decomposes car </t>
  </si>
  <si>
    <t>CN206891284</t>
  </si>
  <si>
    <t xml:space="preserve">Installation de stockage et de transfert d'objets dans une atmosphÃ¨re de haute propretÃ© </t>
  </si>
  <si>
    <t>EP0273791</t>
  </si>
  <si>
    <t xml:space="preserve">Dispositif de decollement de substrats et procede associe </t>
  </si>
  <si>
    <t>WO03013815</t>
  </si>
  <si>
    <t xml:space="preserve">Repartiteur telephonique </t>
  </si>
  <si>
    <t>FR2648300</t>
  </si>
  <si>
    <t xml:space="preserve">Dispositif pour former un jonc extrude Ã  la pÃ©riphÃ©rie d'une feuille de verre </t>
  </si>
  <si>
    <t>EP0479677</t>
  </si>
  <si>
    <t xml:space="preserve">Module et procÃ©dÃ© d'entraÃ®nement d'organes mÃ©dicaux souples allongÃ©s et systÃ¨me robotisÃ© associÃ© </t>
  </si>
  <si>
    <t>EP2567670</t>
  </si>
  <si>
    <t xml:space="preserve">Exosquelette pour bras humain, notamment pour des applications spatiales </t>
  </si>
  <si>
    <t>EP1364755</t>
  </si>
  <si>
    <t xml:space="preserve">Robot industriel </t>
  </si>
  <si>
    <t>EP0265855</t>
  </si>
  <si>
    <t xml:space="preserve">Dispositif d'enduction d'un objet saillant par un produit fluide, ensemble de distribution et de procÃ©dÃ© associÃ©s </t>
  </si>
  <si>
    <t>EP2492550</t>
  </si>
  <si>
    <t xml:space="preserve">Dispositif et procede de pose de blocs en file </t>
  </si>
  <si>
    <t>FR2606431</t>
  </si>
  <si>
    <t xml:space="preserve">Robot grimpeur se dÃ©plaÃ§ant le long d'une construction en chevalet, notamment d'un mÃ¢t pour des lignes Ã©lectriques aÃ©riennes Ã  haute tension </t>
  </si>
  <si>
    <t>EP0401751</t>
  </si>
  <si>
    <t xml:space="preserve">Robot d'amarrage </t>
  </si>
  <si>
    <t>EP1379429</t>
  </si>
  <si>
    <t xml:space="preserve">Systeme de production industrielle desservi par une multiplicite de bras manipulateurs et commande par un systeme calculateur </t>
  </si>
  <si>
    <t>FR2505718</t>
  </si>
  <si>
    <t xml:space="preserve">Dispositif de dÃ©coupe de feuilles de matiÃ¨re plastique </t>
  </si>
  <si>
    <t>EP0270452</t>
  </si>
  <si>
    <t xml:space="preserve">Positionnement de microcomposants, notamment pour les circuits Ã  couches Ã©paisses ou Ã  couches minces </t>
  </si>
  <si>
    <t>EP0014119</t>
  </si>
  <si>
    <t xml:space="preserve">Methode de pose de fils de structure de renfort pour pneumatique </t>
  </si>
  <si>
    <t>WO03055667</t>
  </si>
  <si>
    <t xml:space="preserve">Robot pour operations de fabrication et/ou de montage </t>
  </si>
  <si>
    <t>FR2524363</t>
  </si>
  <si>
    <t xml:space="preserve">SystÃ¨me radar en ondes millimÃ©triques pour le guidage d'un robot mobile au sol </t>
  </si>
  <si>
    <t>EP0485253</t>
  </si>
  <si>
    <t xml:space="preserve">Dispositifs contractiles generant des mouvements mecaniques ou robotiques pour manipulation ou locomotion et membres robots actionnes par ces dispositifs </t>
  </si>
  <si>
    <t>FR2560102</t>
  </si>
  <si>
    <t xml:space="preserve">Dispositif et procÃ©dÃ© d'Ã©chantillonnage de tubes pour un diagnostic de dÃ©fauts et de propriÃ©tÃ©s physiques de ces tubes et de leur environnement. </t>
  </si>
  <si>
    <t>FR2692044</t>
  </si>
  <si>
    <t xml:space="preserve">Dispositif pour maintenir en equilibre un systeme porteur articule pour robot </t>
  </si>
  <si>
    <t>FR2608959</t>
  </si>
  <si>
    <t xml:space="preserve">Accessoire de robot destine au broyage d'epices et de condiments </t>
  </si>
  <si>
    <t>FR2742647</t>
  </si>
  <si>
    <t xml:space="preserve">Installation de liaisons fond-surface disposees en eventail </t>
  </si>
  <si>
    <t>WO2011061422</t>
  </si>
  <si>
    <t xml:space="preserve">Dispositif d'implantation de tige filetee dans un trou taraude, notamment a travers un actionneur de tension annulaire, et procede d'implantation associe. </t>
  </si>
  <si>
    <t>FR2860746</t>
  </si>
  <si>
    <t xml:space="preserve">Raccord rapide actionnÃ© par robots, notamment pour tuyaux souples guide-liquide pour la connexion avec radiateurs ou agrÃ©gats similaires </t>
  </si>
  <si>
    <t>EP0392234</t>
  </si>
  <si>
    <t xml:space="preserve">Procede de realisation de conduite sous-marine comprenant le martelage de soudures d'assemblage a l'interieur de la conduite </t>
  </si>
  <si>
    <t>WO2008139116</t>
  </si>
  <si>
    <t xml:space="preserve">Outil de pose et dÃ©pose de lÃ©s papier, photo, plastique, apprÃªtÃ©s, sur des panneaux publicitaires, mais non exclusivement. </t>
  </si>
  <si>
    <t>FR2693821</t>
  </si>
  <si>
    <t xml:space="preserve">Appareil motorise nettoyeur de piscine comportant un connecteur electrique rotatif </t>
  </si>
  <si>
    <t>FR2870281</t>
  </si>
  <si>
    <t xml:space="preserve">Procede de soudage manuel teleopere et robot de soudage mettant en oeuvre un tel procede </t>
  </si>
  <si>
    <t>WO2016184985</t>
  </si>
  <si>
    <t xml:space="preserve">TÃªte d'usinage pour l'Ã©quipement d'un bras de robot, destinÃ©e Ã  l'Ã©bavurage de parties dÃ©bordantes d'articles souples notamment en matiÃ¨re synthÃ©tique. </t>
  </si>
  <si>
    <t>FR2690859</t>
  </si>
  <si>
    <t>FR3022482</t>
  </si>
  <si>
    <t xml:space="preserve">Procede pour reparer ou restaurer sur place un troncon d'une canalisation ou d'une enceinte destinee a contenir ou contenant un fluide sous pression, et dispositif pour la mise en Ã³oeuvre de ce procede. </t>
  </si>
  <si>
    <t>FR2666864</t>
  </si>
  <si>
    <t xml:space="preserve">Systeme d'accouplement pour un transfert confine d'un objet plat d'une boite de confinement vers une unite de traitement de l'objet </t>
  </si>
  <si>
    <t>WO9738440</t>
  </si>
  <si>
    <t xml:space="preserve">DÃ©sagrafeuse d'agrafe d'Ã©pinglage Ã  vis </t>
  </si>
  <si>
    <t>EP0072713</t>
  </si>
  <si>
    <t xml:space="preserve">Appareil motorise nettoyeur de piscine comportant des moyens de transmission du mouvement moteur en position de porte-a faux </t>
  </si>
  <si>
    <t>EP1751377</t>
  </si>
  <si>
    <t xml:space="preserve">Robot humanoÃ¯de mettant en oeuvre une articulation sphÃ©rique </t>
  </si>
  <si>
    <t>WO2009135694</t>
  </si>
  <si>
    <t xml:space="preserve">Dispositif et procÃ©dÃ© d'accumulation et de transfert </t>
  </si>
  <si>
    <t>WO2014076390</t>
  </si>
  <si>
    <t xml:space="preserve">Systeme de prehension d'objets fixes sur un ensemble robotise, comportant deux moyens de prehension </t>
  </si>
  <si>
    <t>WO2011144876</t>
  </si>
  <si>
    <t xml:space="preserve">Dispositif de martelage pour realiser le martelage des soudures a l' interieur de conduites sous marines en acier, procede de realisation de conduites sous marines en acier utilisant un tel dispositif, conduite sous marine de liaison </t>
  </si>
  <si>
    <t>WO2009024406</t>
  </si>
  <si>
    <t xml:space="preserve">Dispositif de soudage d'elements de structure d'assemblage de combustible nucleaire. </t>
  </si>
  <si>
    <t>FR2670947</t>
  </si>
  <si>
    <t xml:space="preserve">Robot piegeur portable </t>
  </si>
  <si>
    <t>FR2767332</t>
  </si>
  <si>
    <t xml:space="preserve">Machine multiposte Ã  transfert rotatif pour usinage de piÃ¨ces </t>
  </si>
  <si>
    <t>EP1695792</t>
  </si>
  <si>
    <t xml:space="preserve">Dispositif de securite mecanique pour appareil de traitement des aliments </t>
  </si>
  <si>
    <t>EP1185820</t>
  </si>
  <si>
    <t xml:space="preserve">Robot de cuisine </t>
  </si>
  <si>
    <t>FR2472925</t>
  </si>
  <si>
    <t xml:space="preserve">Roulement lineaire a billes </t>
  </si>
  <si>
    <t>FR2527282</t>
  </si>
  <si>
    <t xml:space="preserve">ProcÃ©dÃ© et appareil pour transfÃ©rer des seringues </t>
  </si>
  <si>
    <t>EP2441711</t>
  </si>
  <si>
    <t xml:space="preserve">Robot manipulateur de grande dimension et de forte capacitÃ© pour utilisation en milieu ouvert </t>
  </si>
  <si>
    <t>EP0428453</t>
  </si>
  <si>
    <t xml:space="preserve">ProcÃ©dÃ© pour conditionner une charge palettisable et installation pour la mise en oeuvre de ce procÃ©dÃ© </t>
  </si>
  <si>
    <t>EP0533520</t>
  </si>
  <si>
    <t xml:space="preserve">Poste d'une ligne d'assemblage de blocs-cylindres de moteur thermique </t>
  </si>
  <si>
    <t>EP1110664</t>
  </si>
  <si>
    <t xml:space="preserve">Robot mÃ©nager comportant une piÃ¨ce auxiliaire avec accouplement Ã  autoemboÃ®tement, ainsi qu'un accouplement et une piÃ¨ce d'accouplement convenant pour Ãªtre utilisÃ©s dans un tel robot mÃ©nager. </t>
  </si>
  <si>
    <t>FR2715819</t>
  </si>
  <si>
    <t xml:space="preserve">Dispositif automatique de faÃ§onnage d'arbres sur pied comprenant Ã©branchage, Ã©corÃ§age, billonnage. </t>
  </si>
  <si>
    <t>FR2692753</t>
  </si>
  <si>
    <t xml:space="preserve">MÃ©thode et appareil pour transfÃ©rer des articles d'une machine d'emballage vers des conteneurs </t>
  </si>
  <si>
    <t>EP2441710</t>
  </si>
  <si>
    <t xml:space="preserve">Dispositif de protection pour un robot de cuisine </t>
  </si>
  <si>
    <t>FR2481780</t>
  </si>
  <si>
    <t xml:space="preserve">Dispositif d'emballage </t>
  </si>
  <si>
    <t>FR2926287</t>
  </si>
  <si>
    <t xml:space="preserve">Mecanisme pour assurer le mouvement lineaire d'un bras mecanique </t>
  </si>
  <si>
    <t>FR2771326</t>
  </si>
  <si>
    <t xml:space="preserve">Module robotise d'entrainment d'organe medical souple allonge </t>
  </si>
  <si>
    <t>WO2017098138</t>
  </si>
  <si>
    <t xml:space="preserve">ProcÃ©dÃ© et appareil de fixation d'un joint sur le bord pÃ©riphÃ©rique d'un article. </t>
  </si>
  <si>
    <t>FR2714327</t>
  </si>
  <si>
    <t xml:space="preserve">Procede de depose d'une ligne sous-marine au fond de la mer </t>
  </si>
  <si>
    <t>FR2957649</t>
  </si>
  <si>
    <t xml:space="preserve">Appareil motorise nettoyeur de piscine comportant des moyens rotatifs de deplacement a roue libre </t>
  </si>
  <si>
    <t>WO2005116370</t>
  </si>
  <si>
    <t xml:space="preserve">Mobile multi-media intelligent tourist guide service system and its realizing method </t>
  </si>
  <si>
    <t>US2008059222</t>
  </si>
  <si>
    <t xml:space="preserve">Method and apparatus for providing content to mobile recipients </t>
  </si>
  <si>
    <t>US2010257234</t>
  </si>
  <si>
    <t xml:space="preserve">Cache management in a mobile device </t>
  </si>
  <si>
    <t>US7143241</t>
  </si>
  <si>
    <t xml:space="preserve">Interactive multimedia tour guide </t>
  </si>
  <si>
    <t>US6526351</t>
  </si>
  <si>
    <t xml:space="preserve">Method and apparatus for providing position-related information to mobile recipients </t>
  </si>
  <si>
    <t>US6199045</t>
  </si>
  <si>
    <t xml:space="preserve">Method and System for Insuring Himself against Tour by Using a Mobile Terminal </t>
  </si>
  <si>
    <t>KR100488358</t>
  </si>
  <si>
    <t xml:space="preserve">Tour guidance system for sharing tour information using mobile terminal and method thereof </t>
  </si>
  <si>
    <t>KR101272368</t>
  </si>
  <si>
    <t xml:space="preserve">Telemetric contextually based spatial audio system integrated into a mobile terminal wireless system </t>
  </si>
  <si>
    <t>US6845338</t>
  </si>
  <si>
    <t xml:space="preserve">Intelligent tourist guiding system and method based on mobile Internet platform </t>
  </si>
  <si>
    <t>CN104299541</t>
  </si>
  <si>
    <t xml:space="preserve">Self-service electronic tourist guide system based on mobile phone base station location </t>
  </si>
  <si>
    <t>CN103260129</t>
  </si>
  <si>
    <t xml:space="preserve">Guard tour system </t>
  </si>
  <si>
    <t>US6834259</t>
  </si>
  <si>
    <t xml:space="preserve">Tourism mobile terminal information pushing method based on medial multi-dimensional content expression </t>
  </si>
  <si>
    <t>CN102984219</t>
  </si>
  <si>
    <t xml:space="preserve">Mobile terminal orientated intelligent tourism service system and method </t>
  </si>
  <si>
    <t>CN104409031</t>
  </si>
  <si>
    <t xml:space="preserve">Wireless network tour guide </t>
  </si>
  <si>
    <t>US7853272</t>
  </si>
  <si>
    <t xml:space="preserve">Sharing content on mobile devices </t>
  </si>
  <si>
    <t>US7849135</t>
  </si>
  <si>
    <t xml:space="preserve">Location-Aware Mobile Device </t>
  </si>
  <si>
    <t>US2009005080</t>
  </si>
  <si>
    <t xml:space="preserve">Method and apparatus for an interactive tour-guide system </t>
  </si>
  <si>
    <t>US2005192025</t>
  </si>
  <si>
    <t xml:space="preserve">Notification and Tracking System for Mobile Devices </t>
  </si>
  <si>
    <t>US2013040600</t>
  </si>
  <si>
    <t xml:space="preserve">Guard tour system incorporating a positioning system </t>
  </si>
  <si>
    <t>US7027955</t>
  </si>
  <si>
    <t xml:space="preserve">Mobile device based content mapping for augmented reality environment </t>
  </si>
  <si>
    <t>US2011310227</t>
  </si>
  <si>
    <t xml:space="preserve">Mobile education and entertainment system, method and device </t>
  </si>
  <si>
    <t>US2003229446</t>
  </si>
  <si>
    <t xml:space="preserve">Method for creating and taking a driving tour </t>
  </si>
  <si>
    <t>US2012095675</t>
  </si>
  <si>
    <t xml:space="preserve">Tourism service system and method based on Windows mobile platform </t>
  </si>
  <si>
    <t>CN102567805</t>
  </si>
  <si>
    <t xml:space="preserve">Portable vacation/travel planner, and family tour guide device </t>
  </si>
  <si>
    <t>US2011301835</t>
  </si>
  <si>
    <t>US2004030832</t>
  </si>
  <si>
    <t xml:space="preserve">Retrieving media items to a mobile device </t>
  </si>
  <si>
    <t>US2004132467</t>
  </si>
  <si>
    <t xml:space="preserve">Navigation system, method and database using mobile devices </t>
  </si>
  <si>
    <t>US2010030465</t>
  </si>
  <si>
    <t xml:space="preserve">Mobile computing device technology and systems and methods utilizing the same </t>
  </si>
  <si>
    <t>US2016027399</t>
  </si>
  <si>
    <t xml:space="preserve">System for Maintaining the Integrity of a Tour Group </t>
  </si>
  <si>
    <t>US2014347973</t>
  </si>
  <si>
    <t xml:space="preserve">Method, Apparatus and Computer Program Product for Viewing a Virtual Database Using Portable Devices </t>
  </si>
  <si>
    <t>US2008071770</t>
  </si>
  <si>
    <t xml:space="preserve">Managing differences in user devices when sharing content on mobile devices </t>
  </si>
  <si>
    <t>US2005226166</t>
  </si>
  <si>
    <t xml:space="preserve">Wireless lan mobile base station apparatus and wireless network </t>
  </si>
  <si>
    <t>JP2006270889</t>
  </si>
  <si>
    <t xml:space="preserve">Method and apparatus for web enabled wireless tour-guide system </t>
  </si>
  <si>
    <t>WO0135600</t>
  </si>
  <si>
    <t xml:space="preserve">Method of mobile ad-hoc networking </t>
  </si>
  <si>
    <t>WO03055149</t>
  </si>
  <si>
    <t xml:space="preserve">Distributed GIS space information integration apparatus and method based on mobile Agent and GML </t>
  </si>
  <si>
    <t>CN1633092</t>
  </si>
  <si>
    <t xml:space="preserve">Systems and methods for enhancing a user visit to a site premises </t>
  </si>
  <si>
    <t>US2011105092</t>
  </si>
  <si>
    <t xml:space="preserve">System and method for delivering virtual tour content using the hyper-text transfer protocol (http) </t>
  </si>
  <si>
    <t>US2008222538</t>
  </si>
  <si>
    <t xml:space="preserve">Mobile voice intelligent guide service system and method </t>
  </si>
  <si>
    <t>CN101765054</t>
  </si>
  <si>
    <t xml:space="preserve">System and method for producing a tour </t>
  </si>
  <si>
    <t>US2012036467</t>
  </si>
  <si>
    <t xml:space="preserve">Travelling group team management system based mobile positioning technique and GIS </t>
  </si>
  <si>
    <t>CN101067654</t>
  </si>
  <si>
    <t xml:space="preserve">System and method for generating a virtual tour on a display device </t>
  </si>
  <si>
    <t>US2011196897</t>
  </si>
  <si>
    <t xml:space="preserve">Guide control implementing mobile apparatus and server, guide control method </t>
  </si>
  <si>
    <t>CN101340661</t>
  </si>
  <si>
    <t>US6985742</t>
  </si>
  <si>
    <t xml:space="preserve">Tracking method for mobile terminal partner system and partner system </t>
  </si>
  <si>
    <t>CN101378597</t>
  </si>
  <si>
    <t xml:space="preserve">Mobile membership card issue and authentication system using mobile communication terminal and method thereof, and media that can record computer program sources for method thereof </t>
  </si>
  <si>
    <t>KR20040042522</t>
  </si>
  <si>
    <t xml:space="preserve">Method and system for automatic visitor guide information service using the mobile terminal and Blue-tooth technology </t>
  </si>
  <si>
    <t>KR20000072447</t>
  </si>
  <si>
    <t xml:space="preserve">Search engine database and interface </t>
  </si>
  <si>
    <t>WO0041090</t>
  </si>
  <si>
    <t xml:space="preserve">Multi-medium information spreading system and mobile information terminal unit </t>
  </si>
  <si>
    <t>CN1331521</t>
  </si>
  <si>
    <t xml:space="preserve">Method and apparatus for navigation using multiple synchronized mobile devices </t>
  </si>
  <si>
    <t>US2014164322</t>
  </si>
  <si>
    <t xml:space="preserve">Leveraging a Power Distribution System to Provide a Mobile Marketing Platform </t>
  </si>
  <si>
    <t>US2011258467</t>
  </si>
  <si>
    <t xml:space="preserve">System and device for security mobile monitoring </t>
  </si>
  <si>
    <t>JP2000268285</t>
  </si>
  <si>
    <t xml:space="preserve">Method of accessing emergency numbers for mobile station users </t>
  </si>
  <si>
    <t>CN1678001</t>
  </si>
  <si>
    <t xml:space="preserve">Real time tour service method and system the same </t>
  </si>
  <si>
    <t>KR100873047</t>
  </si>
  <si>
    <t xml:space="preserve">Mobile equipment capable of comparing information </t>
  </si>
  <si>
    <t>JP2002268786</t>
  </si>
  <si>
    <t xml:space="preserve">Intelligent tourist guide system and method </t>
  </si>
  <si>
    <t>CN101488308</t>
  </si>
  <si>
    <t xml:space="preserve">Guiding-Tour System and Apparatus </t>
  </si>
  <si>
    <t>US2009132073</t>
  </si>
  <si>
    <t xml:space="preserve">Portable device supplying tourist information </t>
  </si>
  <si>
    <t>US7124024</t>
  </si>
  <si>
    <t xml:space="preserve">Mobile telecommunication device for simultaneously transmitting and receiving sound and image data </t>
  </si>
  <si>
    <t>US6847334</t>
  </si>
  <si>
    <t xml:space="preserve">Method for providing mobile service using code-pattern </t>
  </si>
  <si>
    <t>CN1778129</t>
  </si>
  <si>
    <t xml:space="preserve">Virtual reality space mobile positioning system and virtual reality space mobile positioning method for virtual house inspecting </t>
  </si>
  <si>
    <t>CN105913497</t>
  </si>
  <si>
    <t xml:space="preserve">Active intelligent guide device of integrated mobile phone </t>
  </si>
  <si>
    <t>CN201528371</t>
  </si>
  <si>
    <t xml:space="preserve">Display device for sightseeing information, navigation device, and sightseeing information display system </t>
  </si>
  <si>
    <t>JP2009068866</t>
  </si>
  <si>
    <t xml:space="preserve">Mobile device user interface for displaying emergency information </t>
  </si>
  <si>
    <t>US2010190479</t>
  </si>
  <si>
    <t xml:space="preserve">System and method for remotely controlling features of wireless mobile devices </t>
  </si>
  <si>
    <t>US2016277560</t>
  </si>
  <si>
    <t xml:space="preserve">Systems, media, and methods for providing improved virtual reality tours and associated analytics </t>
  </si>
  <si>
    <t>US2016300392</t>
  </si>
  <si>
    <t xml:space="preserve">Systems and Methods for Generating Photographic Tours of Geographic Locations </t>
  </si>
  <si>
    <t>US2014317511</t>
  </si>
  <si>
    <t xml:space="preserve">Satellite positioning-based comprehensive tourism service system </t>
  </si>
  <si>
    <t>CN102752378</t>
  </si>
  <si>
    <t xml:space="preserve">Method of integrating emergency information in a mobile device </t>
  </si>
  <si>
    <t>US2010190467</t>
  </si>
  <si>
    <t xml:space="preserve">Method for servicing for a tour information by using a gps of a mobile communications system </t>
  </si>
  <si>
    <t>KR20010029049</t>
  </si>
  <si>
    <t xml:space="preserve">Universal Social Networking Interface for One-Click Posting From Mobile Devices </t>
  </si>
  <si>
    <t>US2014012895</t>
  </si>
  <si>
    <t xml:space="preserve">Wifi-based life circle management method and mobile terminal </t>
  </si>
  <si>
    <t>CN103702289</t>
  </si>
  <si>
    <t xml:space="preserve">System and method for dynamic phone book and network content links in a mobile device </t>
  </si>
  <si>
    <t>US2007293207</t>
  </si>
  <si>
    <t xml:space="preserve">Mobile web </t>
  </si>
  <si>
    <t>US6194992</t>
  </si>
  <si>
    <t xml:space="preserve">Method of providing natural tour guide functionality to location tracking computerized devices </t>
  </si>
  <si>
    <t>US2014136100</t>
  </si>
  <si>
    <t xml:space="preserve">Mobile phone mediated treasure hunt game </t>
  </si>
  <si>
    <t>US8428614</t>
  </si>
  <si>
    <t xml:space="preserve">Mobile communication terminal guide method based on GPS (global positioning system) </t>
  </si>
  <si>
    <t>CN102118683</t>
  </si>
  <si>
    <t xml:space="preserve">Mobile phone based navigation system </t>
  </si>
  <si>
    <t>US2008114543</t>
  </si>
  <si>
    <t xml:space="preserve">Autonomous command and control unit for mobile platform </t>
  </si>
  <si>
    <t>US6122572</t>
  </si>
  <si>
    <t xml:space="preserve">Method and system for coordinating group travel among mobile devices </t>
  </si>
  <si>
    <t>US2009276154</t>
  </si>
  <si>
    <t>US7949529</t>
  </si>
  <si>
    <t xml:space="preserve">Mobile terminal and method for controlling the same </t>
  </si>
  <si>
    <t>US2016241767</t>
  </si>
  <si>
    <t>WO9901859</t>
  </si>
  <si>
    <t xml:space="preserve">Network for information transfer for mobile stations </t>
  </si>
  <si>
    <t>US2002123359</t>
  </si>
  <si>
    <t>US7419097</t>
  </si>
  <si>
    <t xml:space="preserve">Mobile location aware search engine and method of providing content for same </t>
  </si>
  <si>
    <t>US7599795</t>
  </si>
  <si>
    <t xml:space="preserve">Mobile systems and methods for health, exercise and competition </t>
  </si>
  <si>
    <t>US7549947</t>
  </si>
  <si>
    <t xml:space="preserve">Generating scenes and tours in a spreadsheet application </t>
  </si>
  <si>
    <t>US9317963</t>
  </si>
  <si>
    <t xml:space="preserve">Mobile global virtual browser with heads-up display for browsing and interacting with the World Wide Web </t>
  </si>
  <si>
    <t>US2007220108</t>
  </si>
  <si>
    <t xml:space="preserve">Location based media items </t>
  </si>
  <si>
    <t>US8332402</t>
  </si>
  <si>
    <t xml:space="preserve">Two-way mobile video/audio/data interactive companion (MVIC) system </t>
  </si>
  <si>
    <t>US2005099493</t>
  </si>
  <si>
    <t xml:space="preserve">Identifying and reaching users through mobile devices to provide relevant and real-time information </t>
  </si>
  <si>
    <t>US2008261526</t>
  </si>
  <si>
    <t xml:space="preserve">Method and apparatus for providing position -related information to mobile recipients </t>
  </si>
  <si>
    <t>US2008102858</t>
  </si>
  <si>
    <t xml:space="preserve">Time and location based theme of mobile telephones </t>
  </si>
  <si>
    <t>US2009163182</t>
  </si>
  <si>
    <t>US2012315877</t>
  </si>
  <si>
    <t xml:space="preserve">System and method for generating a virtual tour within a virtual environment </t>
  </si>
  <si>
    <t>US2013275869</t>
  </si>
  <si>
    <t xml:space="preserve">Gestural use of wireless mobile phone devices to signal to remote systems </t>
  </si>
  <si>
    <t>US7536034</t>
  </si>
  <si>
    <t xml:space="preserve">Internet-based, dual-paned virtual tour presentation system with orientational capabilities and versatile tabbed menu-driven area for multi-media content delivery </t>
  </si>
  <si>
    <t>US2009031246</t>
  </si>
  <si>
    <t xml:space="preserve">Electronic program guide for mobile navigation device, destination information providing method, and device </t>
  </si>
  <si>
    <t>US2010146546</t>
  </si>
  <si>
    <t xml:space="preserve">System and method for associating aerial images, map features, and information </t>
  </si>
  <si>
    <t>US7487114</t>
  </si>
  <si>
    <t xml:space="preserve">Spatial asset management system that time-tags and combines captured speech data and captured location data using a predifed reference grammar with a semantic relationship structure </t>
  </si>
  <si>
    <t>US6272457</t>
  </si>
  <si>
    <t xml:space="preserve">System and method for accessing geographic-based data </t>
  </si>
  <si>
    <t>US7174301</t>
  </si>
  <si>
    <t xml:space="preserve">Remote mobile monitoring and communication system </t>
  </si>
  <si>
    <t>US5870029</t>
  </si>
  <si>
    <t xml:space="preserve">Systems and methods to determine the name of a location visited by a user of a wireless device </t>
  </si>
  <si>
    <t>US8229458</t>
  </si>
  <si>
    <t xml:space="preserve">Location transmitting system </t>
  </si>
  <si>
    <t>US4296408</t>
  </si>
  <si>
    <t xml:space="preserve">System and method for generating a list of devices in physical proximity of a terminal </t>
  </si>
  <si>
    <t>US7336928</t>
  </si>
  <si>
    <t xml:space="preserve">Methods and apparatus for geographically based Web services </t>
  </si>
  <si>
    <t>US2005228860</t>
  </si>
  <si>
    <t xml:space="preserve">Systems and methods for providing live, remote location experiences </t>
  </si>
  <si>
    <t>US2008271072</t>
  </si>
  <si>
    <t xml:space="preserve">Operation of a computing device involving wireless tokens </t>
  </si>
  <si>
    <t>US2012214443</t>
  </si>
  <si>
    <t xml:space="preserve">Device and Method for Dynamic Itinerary Planning and Tracking for Mobile Communications Device </t>
  </si>
  <si>
    <t>US2009177513</t>
  </si>
  <si>
    <t xml:space="preserve">Automobile web cam and communications system incorporating a network of automobile web cams </t>
  </si>
  <si>
    <t>US7100190</t>
  </si>
  <si>
    <t xml:space="preserve">GPS driven architecture for delivery of location based multimedia and method of use </t>
  </si>
  <si>
    <t>US8295855</t>
  </si>
  <si>
    <t xml:space="preserve">Method and arrangement for tracking and controlling the delivery and/or pickup of goods/containers for goods </t>
  </si>
  <si>
    <t>US6070793</t>
  </si>
  <si>
    <t xml:space="preserve">Unified automatic video and audio signal control and distribution system </t>
  </si>
  <si>
    <t>US5034808</t>
  </si>
  <si>
    <t>US2010332226</t>
  </si>
  <si>
    <t xml:space="preserve">Mobile travel information system and method </t>
  </si>
  <si>
    <t>US2015057837</t>
  </si>
  <si>
    <t xml:space="preserve">Mobile terminal, and augmented reality method used for mobile terminal </t>
  </si>
  <si>
    <t>CN102739872</t>
  </si>
  <si>
    <t xml:space="preserve">Intelligent and mobile network multimedia terminal </t>
  </si>
  <si>
    <t>CN101621740</t>
  </si>
  <si>
    <t xml:space="preserve">Floating passenger automotive vehicle as touring and water-sports mobile </t>
  </si>
  <si>
    <t>US4241686</t>
  </si>
  <si>
    <t xml:space="preserve">System and method for location and time specific mobile commerce </t>
  </si>
  <si>
    <t>US2014324616</t>
  </si>
  <si>
    <t xml:space="preserve">Beacon-implemented system for mobile content management </t>
  </si>
  <si>
    <t>US9629064</t>
  </si>
  <si>
    <t xml:space="preserve">Fully Customizable Mobile Greeting Card App </t>
  </si>
  <si>
    <t>US2015154676</t>
  </si>
  <si>
    <t xml:space="preserve">Mining correlation between locations using location history </t>
  </si>
  <si>
    <t>US8612134</t>
  </si>
  <si>
    <t>US2011053642</t>
  </si>
  <si>
    <t xml:space="preserve">Touring in a geographic information system </t>
  </si>
  <si>
    <t>US8302007</t>
  </si>
  <si>
    <t xml:space="preserve">Method and apparatus for providing of tour plan </t>
  </si>
  <si>
    <t>JP2003044553</t>
  </si>
  <si>
    <t xml:space="preserve">Mobile support system </t>
  </si>
  <si>
    <t>WO0137518</t>
  </si>
  <si>
    <t xml:space="preserve">Access to information networks by mobile devices </t>
  </si>
  <si>
    <t>US2001031640</t>
  </si>
  <si>
    <t xml:space="preserve">Distribution line tour-inspection system based on GIS and GPS </t>
  </si>
  <si>
    <t>CN104408785</t>
  </si>
  <si>
    <t xml:space="preserve">System and method for providing image information using mobile communication base station antennas </t>
  </si>
  <si>
    <t>US8289394</t>
  </si>
  <si>
    <t xml:space="preserve">Mobile radio network </t>
  </si>
  <si>
    <t>US2009080350</t>
  </si>
  <si>
    <t xml:space="preserve">Scene GIS intelligent guide service system and method based on man-machine conversation </t>
  </si>
  <si>
    <t>CN101090519</t>
  </si>
  <si>
    <t xml:space="preserve">Tourist guide system and tourist guide method </t>
  </si>
  <si>
    <t>CN104036441</t>
  </si>
  <si>
    <t xml:space="preserve">Stage pulling box semi-trailer van </t>
  </si>
  <si>
    <t>CN202046236</t>
  </si>
  <si>
    <t>WO9740451</t>
  </si>
  <si>
    <t xml:space="preserve">System and method for collection, distribution, and use of information in connection with commercial real estate </t>
  </si>
  <si>
    <t>US7640204</t>
  </si>
  <si>
    <t xml:space="preserve">Communicating future locations in a social network </t>
  </si>
  <si>
    <t>US2014047357</t>
  </si>
  <si>
    <t xml:space="preserve">Methods for providing a location based merchant presence </t>
  </si>
  <si>
    <t>US2003004743</t>
  </si>
  <si>
    <t xml:space="preserve">Methods for providing a virtual coupon </t>
  </si>
  <si>
    <t>US2003004802</t>
  </si>
  <si>
    <t xml:space="preserve">Methods for providing a virtual journal </t>
  </si>
  <si>
    <t>US2003055983</t>
  </si>
  <si>
    <t xml:space="preserve">Generation of impression plans for presenting and sequencing advertisement and sales opportunities along potential routes </t>
  </si>
  <si>
    <t>US2010332315</t>
  </si>
  <si>
    <t xml:space="preserve">Wireless interactive voice-actuated mobile telematics system </t>
  </si>
  <si>
    <t>US2002049535</t>
  </si>
  <si>
    <t>US2009132316</t>
  </si>
  <si>
    <t xml:space="preserve">Customized tours using handheld devices </t>
  </si>
  <si>
    <t>US7240108</t>
  </si>
  <si>
    <t xml:space="preserve">Real-estate information search and retrieval system </t>
  </si>
  <si>
    <t>US6636803</t>
  </si>
  <si>
    <t xml:space="preserve">Method and apparatus for context aware mobile security </t>
  </si>
  <si>
    <t>US2013254831</t>
  </si>
  <si>
    <t xml:space="preserve">Method and device for identifying objects and triggering interactions by means of close-range coupling of acoustically modulated data signals </t>
  </si>
  <si>
    <t>US2013119133</t>
  </si>
  <si>
    <t xml:space="preserve">Systems and methods for presenting information on mobile devices </t>
  </si>
  <si>
    <t>US2011107227</t>
  </si>
  <si>
    <t xml:space="preserve">Trusted nfc ticketing </t>
  </si>
  <si>
    <t>US2017017947</t>
  </si>
  <si>
    <t xml:space="preserve">Method of providing location information in an emergency </t>
  </si>
  <si>
    <t>US2010190468</t>
  </si>
  <si>
    <t xml:space="preserve">Tourism information and reservation system and method </t>
  </si>
  <si>
    <t>WO9708635</t>
  </si>
  <si>
    <t xml:space="preserve">Mobile electronic device and image projection unit </t>
  </si>
  <si>
    <t>US2013063646</t>
  </si>
  <si>
    <t xml:space="preserve">Multi-media management and streaming techniques implemented over a computer network </t>
  </si>
  <si>
    <t>US2012323938</t>
  </si>
  <si>
    <t xml:space="preserve">Method to access multimedia contents associated to a geographical area </t>
  </si>
  <si>
    <t>US2009036147</t>
  </si>
  <si>
    <t xml:space="preserve">System and method for providing customized travel guides and itineraries over a distributed network </t>
  </si>
  <si>
    <t>US2007185744</t>
  </si>
  <si>
    <t xml:space="preserve">Golf scoring, marketing and reporting system and method of operation </t>
  </si>
  <si>
    <t>US2008108456</t>
  </si>
  <si>
    <t xml:space="preserve">Method and System for Coordinating Transportation Service </t>
  </si>
  <si>
    <t>US2012041675</t>
  </si>
  <si>
    <t xml:space="preserve">Multiple annunciation system </t>
  </si>
  <si>
    <t>US4410883</t>
  </si>
  <si>
    <t xml:space="preserve">System and method of providing information access on a portable device </t>
  </si>
  <si>
    <t>US2007243853</t>
  </si>
  <si>
    <t xml:space="preserve">Method and apparatus for dynamic bookmarks with attributes </t>
  </si>
  <si>
    <t>US2002156832</t>
  </si>
  <si>
    <t xml:space="preserve">Personalized Mapping With Photo Tours </t>
  </si>
  <si>
    <t>US2015178561</t>
  </si>
  <si>
    <t xml:space="preserve">Method and server for establishing coordinated consumption of a streamed media object by multiple devices </t>
  </si>
  <si>
    <t>US2005289236</t>
  </si>
  <si>
    <t xml:space="preserve">Interactive computer application controlled by a mobile </t>
  </si>
  <si>
    <t>GB2355627</t>
  </si>
  <si>
    <t xml:space="preserve">Geotemporal web and mobile service system and methods </t>
  </si>
  <si>
    <t>US9552334</t>
  </si>
  <si>
    <t xml:space="preserve">System for simulating a tour of or being in a remote location while exercising </t>
  </si>
  <si>
    <t>US2010009809</t>
  </si>
  <si>
    <t xml:space="preserve">Method, system and client for realizing fighting alternation of stand-alone mobile phone game </t>
  </si>
  <si>
    <t>CN101521874</t>
  </si>
  <si>
    <t xml:space="preserve">Method and system for providing podcast information using geolocation (lbs) information </t>
  </si>
  <si>
    <t>US2011319098</t>
  </si>
  <si>
    <t xml:space="preserve">Efficiently discovering and synthesizing maps from a large corpus of maps </t>
  </si>
  <si>
    <t>US2009210388</t>
  </si>
  <si>
    <t xml:space="preserve">Method for acquiring relevent information to an object using an information access tag </t>
  </si>
  <si>
    <t>US2009031071</t>
  </si>
  <si>
    <t xml:space="preserve">System and Method for Creating Customer Intimacy With A Brand </t>
  </si>
  <si>
    <t>US2007061199</t>
  </si>
  <si>
    <t xml:space="preserve">Apparatus and method for providing applications along with augmented reality data </t>
  </si>
  <si>
    <t>US2013051615</t>
  </si>
  <si>
    <t xml:space="preserve">Accompanied tour recommendation method and system </t>
  </si>
  <si>
    <t>CN102306172</t>
  </si>
  <si>
    <t xml:space="preserve">Packaged tours with turn-by-turn navigation </t>
  </si>
  <si>
    <t>US2008162042</t>
  </si>
  <si>
    <t xml:space="preserve">Interactive experience fully contained within an expandable embedded unit </t>
  </si>
  <si>
    <t>US8727893</t>
  </si>
  <si>
    <t xml:space="preserve">Method of controlling and monitoring a material flow for production processes </t>
  </si>
  <si>
    <t>DE19805465</t>
  </si>
  <si>
    <t xml:space="preserve">Mobile cleaning installation for portable containers, e.g. waste bins </t>
  </si>
  <si>
    <t>EP0187174</t>
  </si>
  <si>
    <t xml:space="preserve">Real-time global positioning system application in two-way mobile wireless networks </t>
  </si>
  <si>
    <t>US2002002599</t>
  </si>
  <si>
    <t xml:space="preserve">Gallery tour guide system and method for real-time provision of information using stored data </t>
  </si>
  <si>
    <t>US2006168300</t>
  </si>
  <si>
    <t xml:space="preserve">Methods and devices for adding sound annotation to picture and for highlighting on photos and mobile terminal including the devices </t>
  </si>
  <si>
    <t>US2011039598</t>
  </si>
  <si>
    <t xml:space="preserve">System and method for presenting geo-located objects </t>
  </si>
  <si>
    <t>US2007173956</t>
  </si>
  <si>
    <t xml:space="preserve">Measuring of the coverage area of a base transceiver station </t>
  </si>
  <si>
    <t>US7076252</t>
  </si>
  <si>
    <t xml:space="preserve">System and method for creating and broadcasting interactive panoramic walk-through applications </t>
  </si>
  <si>
    <t>US2011214072</t>
  </si>
  <si>
    <t>US2009119013</t>
  </si>
  <si>
    <t xml:space="preserve">Device and method for clustering a plurality of users in a mobile network </t>
  </si>
  <si>
    <t>US2007008905</t>
  </si>
  <si>
    <t xml:space="preserve">Guidance entertainment system used for self-driving tour fleet </t>
  </si>
  <si>
    <t>CN101227461</t>
  </si>
  <si>
    <t xml:space="preserve">Navigation method, movable body device and center device constituting navigation system, and medium recorded with purchase required commodity inputting program </t>
  </si>
  <si>
    <t>JP2001147133</t>
  </si>
  <si>
    <t xml:space="preserve">Mobile data management using association table </t>
  </si>
  <si>
    <t>US2007049246</t>
  </si>
  <si>
    <t xml:space="preserve">Proximity network </t>
  </si>
  <si>
    <t>US2011307599</t>
  </si>
  <si>
    <t xml:space="preserve">Method of obtaining and linking positional information to position specific multimedia content </t>
  </si>
  <si>
    <t>US2006187867</t>
  </si>
  <si>
    <t xml:space="preserve">Mobile gaming, hospitality and communications appliance </t>
  </si>
  <si>
    <t>US2011202269</t>
  </si>
  <si>
    <t xml:space="preserve">Ad-hoc group formation for users of mobile computing devices </t>
  </si>
  <si>
    <t>US2011045851</t>
  </si>
  <si>
    <t xml:space="preserve">System and method for providing multimedia tours </t>
  </si>
  <si>
    <t>US2006259239</t>
  </si>
  <si>
    <t xml:space="preserve">System for searching and inquiring geographic information based on mobile </t>
  </si>
  <si>
    <t>KR20060008100</t>
  </si>
  <si>
    <t xml:space="preserve">Method for setting background screen and mobile terminal using the same </t>
  </si>
  <si>
    <t>US2011119625</t>
  </si>
  <si>
    <t xml:space="preserve">Mobile device and server exchanging information with mobile apparatus </t>
  </si>
  <si>
    <t>US2011105152</t>
  </si>
  <si>
    <t xml:space="preserve">Sight spot information self-service query system and method </t>
  </si>
  <si>
    <t>CN101888604</t>
  </si>
  <si>
    <t xml:space="preserve">System and method for mobile data collection </t>
  </si>
  <si>
    <t>US7313759</t>
  </si>
  <si>
    <t xml:space="preserve">Electronic content providing method </t>
  </si>
  <si>
    <t>US2002069127</t>
  </si>
  <si>
    <t xml:space="preserve">Mobile information device, image pickup device, and information acquisition system </t>
  </si>
  <si>
    <t>US2010257195</t>
  </si>
  <si>
    <t xml:space="preserve">Interactive character system </t>
  </si>
  <si>
    <t>US6729934</t>
  </si>
  <si>
    <t xml:space="preserve">Portable map display system for presenting a 3D map image and method thereof </t>
  </si>
  <si>
    <t>US6452544</t>
  </si>
  <si>
    <t xml:space="preserve">Area watcher for wireless network </t>
  </si>
  <si>
    <t>US7321773</t>
  </si>
  <si>
    <t xml:space="preserve">Method and system for gaming and brand association </t>
  </si>
  <si>
    <t>US7455586</t>
  </si>
  <si>
    <t xml:space="preserve">Venue-related multi-media management, streaming, online ticketing, and electronic commerce techniques implemented via computer networks and mobile devices </t>
  </si>
  <si>
    <t>US2014344294</t>
  </si>
  <si>
    <t>US2015120767</t>
  </si>
  <si>
    <t xml:space="preserve">Vehicle commentary method and system </t>
  </si>
  <si>
    <t>US2002019696</t>
  </si>
  <si>
    <t xml:space="preserve">Portable real estate social game and information sharing system </t>
  </si>
  <si>
    <t>US2011275441</t>
  </si>
  <si>
    <t xml:space="preserve">Targeting location through haptic feedback signals </t>
  </si>
  <si>
    <t>US7788032</t>
  </si>
  <si>
    <t xml:space="preserve">Devices, methods, and systems for managing route-related information </t>
  </si>
  <si>
    <t>US7865306</t>
  </si>
  <si>
    <t xml:space="preserve">Event attendance determinations </t>
  </si>
  <si>
    <t>US9202233</t>
  </si>
  <si>
    <t xml:space="preserve">Secure tag management method and system </t>
  </si>
  <si>
    <t>US2012326847</t>
  </si>
  <si>
    <t xml:space="preserve">Delivering Future Plans </t>
  </si>
  <si>
    <t>US2014282040</t>
  </si>
  <si>
    <t xml:space="preserve">Mobile terminal and service providing method and system to mobile terminal </t>
  </si>
  <si>
    <t>JP2001224055</t>
  </si>
  <si>
    <t xml:space="preserve">Trip plan generating device </t>
  </si>
  <si>
    <t>JPH09212563</t>
  </si>
  <si>
    <t xml:space="preserve">Portable telephone system using stratified exchange system </t>
  </si>
  <si>
    <t>US5210786</t>
  </si>
  <si>
    <t xml:space="preserve">Portable telephone system </t>
  </si>
  <si>
    <t>US5280521</t>
  </si>
  <si>
    <t xml:space="preserve">Power transmission line polling system </t>
  </si>
  <si>
    <t>CN102136162</t>
  </si>
  <si>
    <t xml:space="preserve">Mobile unit for information, navigation, communication and emergency call system has combined transceiver and position location device providing emergency call function </t>
  </si>
  <si>
    <t>DE10064978</t>
  </si>
  <si>
    <t xml:space="preserve">Wireless devices as guard tour checkpoint data collection and checkpoint data communication devices </t>
  </si>
  <si>
    <t>US7778802</t>
  </si>
  <si>
    <t xml:space="preserve">Content Management And Delivery of On Location Engagements </t>
  </si>
  <si>
    <t>US2014237076</t>
  </si>
  <si>
    <t xml:space="preserve">Security system and program </t>
  </si>
  <si>
    <t>JP2005304002</t>
  </si>
  <si>
    <t xml:space="preserve">Reiseroutenplanungs- and travel route guidance system </t>
  </si>
  <si>
    <t>DE10059746</t>
  </si>
  <si>
    <t xml:space="preserve">Intelligent distribution patrol and management system and work flow thereof </t>
  </si>
  <si>
    <t>CN101944773</t>
  </si>
  <si>
    <t xml:space="preserve">Method, support device, and support system for patrol management of structure, recording medium with recorded data structure for patrol management, and recording medium with recorded patrol management support program </t>
  </si>
  <si>
    <t>JP2002007600</t>
  </si>
  <si>
    <t xml:space="preserve">Movable body guide system, movable body guide method and information storage medium </t>
  </si>
  <si>
    <t>JP2003288663</t>
  </si>
  <si>
    <t xml:space="preserve">Equipment inspection support system </t>
  </si>
  <si>
    <t>JP2006048584</t>
  </si>
  <si>
    <t xml:space="preserve">Wirecable inspection system </t>
  </si>
  <si>
    <t>CN101714267</t>
  </si>
  <si>
    <t xml:space="preserve">Distribution line inspection system </t>
  </si>
  <si>
    <t>CN102593750</t>
  </si>
  <si>
    <t xml:space="preserve">Panoramic camera </t>
  </si>
  <si>
    <t>US2010177160</t>
  </si>
  <si>
    <t xml:space="preserve">Guide system </t>
  </si>
  <si>
    <t>CN102339579</t>
  </si>
  <si>
    <t xml:space="preserve">System for monitoring, alarming and managing farmland greenhouses based on Internet of things </t>
  </si>
  <si>
    <t>CN102445933</t>
  </si>
  <si>
    <t xml:space="preserve">Hierarchical User Interfaces for Advertisement Messages in a Mobile Device </t>
  </si>
  <si>
    <t>US2010023387</t>
  </si>
  <si>
    <t xml:space="preserve">Information providing method and device and mobile terminal </t>
  </si>
  <si>
    <t>CN101917664</t>
  </si>
  <si>
    <t xml:space="preserve">Watercraft automation and aquatic effort data utilization </t>
  </si>
  <si>
    <t>US8527192</t>
  </si>
  <si>
    <t xml:space="preserve">Web-based game platform with mobile device motion sensor input </t>
  </si>
  <si>
    <t>US2013296048</t>
  </si>
  <si>
    <t>CN101449265</t>
  </si>
  <si>
    <t xml:space="preserve">A system, method and article of manufacture for advanced mobile communication and computing </t>
  </si>
  <si>
    <t>WO0054170</t>
  </si>
  <si>
    <t xml:space="preserve">Pulse width modulation drive and method for ornaments with movable components </t>
  </si>
  <si>
    <t>US7247076</t>
  </si>
  <si>
    <t xml:space="preserve">Method of providing advertisement data from a server to a mobile telephone </t>
  </si>
  <si>
    <t>WO0176173</t>
  </si>
  <si>
    <t xml:space="preserve">Mobile resource task scheduling </t>
  </si>
  <si>
    <t>US2010287025</t>
  </si>
  <si>
    <t xml:space="preserve">Wide Area Interactive Information Distribution System </t>
  </si>
  <si>
    <t>US2009204905</t>
  </si>
  <si>
    <t xml:space="preserve">Method and apparatus for enchancing open house video tours for real estate properties </t>
  </si>
  <si>
    <t>US2010312670</t>
  </si>
  <si>
    <t xml:space="preserve">Methods and systems employing time and/or location data for use in transactions </t>
  </si>
  <si>
    <t>US8880426</t>
  </si>
  <si>
    <t xml:space="preserve">System and method for identifying nodes in a wireless network </t>
  </si>
  <si>
    <t>US7451365</t>
  </si>
  <si>
    <t xml:space="preserve">Graphical user interface supporting method and system for remote order generation of furniture products </t>
  </si>
  <si>
    <t>US6052669</t>
  </si>
  <si>
    <t xml:space="preserve">Subscriber RF telephone system for providing multiple speech and/or data signals simultaneously over either a single or a plurality of RF channels </t>
  </si>
  <si>
    <t>US4912705</t>
  </si>
  <si>
    <t xml:space="preserve">Providing offers to computer game players </t>
  </si>
  <si>
    <t>US8029359</t>
  </si>
  <si>
    <t xml:space="preserve">Method Of Executing An Application In A Mobile Device </t>
  </si>
  <si>
    <t>US2008194323</t>
  </si>
  <si>
    <t xml:space="preserve">Navigation system using POI code numbers, and operating system and method therefor </t>
  </si>
  <si>
    <t>US2005203698</t>
  </si>
  <si>
    <t xml:space="preserve">Real-time navigation devices, systems and methods </t>
  </si>
  <si>
    <t>US2009265105</t>
  </si>
  <si>
    <t xml:space="preserve">Online markerplace for real estate transactions </t>
  </si>
  <si>
    <t>US2005288958</t>
  </si>
  <si>
    <t xml:space="preserve">Methods and systems for providing training through an electronic network to remote electronic devices </t>
  </si>
  <si>
    <t>US2003073065</t>
  </si>
  <si>
    <t xml:space="preserve">Method, System Computer Program, and Apparatus for Augmenting Media Based on Proximity Detection </t>
  </si>
  <si>
    <t>US2010191728</t>
  </si>
  <si>
    <t xml:space="preserve">System for interconnection of audio program data transmitted by radio to remote vehicle or individual with GPS location </t>
  </si>
  <si>
    <t>US2003212996</t>
  </si>
  <si>
    <t xml:space="preserve">Systems and methods for conducting commerce in a vehicle </t>
  </si>
  <si>
    <t>US2010280956</t>
  </si>
  <si>
    <t xml:space="preserve">Content Metadata Directory Services </t>
  </si>
  <si>
    <t>US2007192352</t>
  </si>
  <si>
    <t xml:space="preserve">Electronic device and methods for reproducing mass media content </t>
  </si>
  <si>
    <t>US2006230415</t>
  </si>
  <si>
    <t xml:space="preserve">GPS explorer </t>
  </si>
  <si>
    <t>US2008024364</t>
  </si>
  <si>
    <t xml:space="preserve">Methods and systems for computer aided event and venue setup and modeling and interactive maps </t>
  </si>
  <si>
    <t>US2012078667</t>
  </si>
  <si>
    <t xml:space="preserve">Methods and systems for receiving training through electronic data networks using remote hand held devices </t>
  </si>
  <si>
    <t>US2003074559</t>
  </si>
  <si>
    <t xml:space="preserve">Security and property management system </t>
  </si>
  <si>
    <t>US2006064305</t>
  </si>
  <si>
    <t xml:space="preserve">Video object tag creation and processing </t>
  </si>
  <si>
    <t>US2009144772</t>
  </si>
  <si>
    <t xml:space="preserve">Network based automotive service monitoring system </t>
  </si>
  <si>
    <t>US6732028</t>
  </si>
  <si>
    <t xml:space="preserve">Methods and systems for generating objective specific playlists </t>
  </si>
  <si>
    <t>US2014281971</t>
  </si>
  <si>
    <t xml:space="preserve">Medical kiosk and method of use </t>
  </si>
  <si>
    <t>US2013173287</t>
  </si>
  <si>
    <t xml:space="preserve">Context server for associating information based on context </t>
  </si>
  <si>
    <t>US2008126961</t>
  </si>
  <si>
    <t xml:space="preserve">Image data storing system and method, image obtaining apparatus, image data storage apparatus, mobile terminal, and computer-readable medium in which a related program is recorded </t>
  </si>
  <si>
    <t>US2002186412</t>
  </si>
  <si>
    <t xml:space="preserve">Location-based interactive display and communication system </t>
  </si>
  <si>
    <t>US2008162037</t>
  </si>
  <si>
    <t xml:space="preserve">Personal a/v system with context relevant information </t>
  </si>
  <si>
    <t>US2013083062</t>
  </si>
  <si>
    <t xml:space="preserve">Method and system for scheduling delivery of at least one of goods and services </t>
  </si>
  <si>
    <t>US2007282618</t>
  </si>
  <si>
    <t xml:space="preserve">System and method for the collaborative collection, assignment, visualization, analysis, and modification of probable genealogical relationships based on geo-spatial and temporal proximity </t>
  </si>
  <si>
    <t>US2012078503</t>
  </si>
  <si>
    <t xml:space="preserve">System and method for transporting a virtual avatar within multiple virtual environments </t>
  </si>
  <si>
    <t>US2013275886</t>
  </si>
  <si>
    <t xml:space="preserve">Routing system and method </t>
  </si>
  <si>
    <t>US2006161335</t>
  </si>
  <si>
    <t xml:space="preserve">Reminder system </t>
  </si>
  <si>
    <t>US6515585</t>
  </si>
  <si>
    <t xml:space="preserve">Travel discovery and recommendation method and system </t>
  </si>
  <si>
    <t>US2013041696</t>
  </si>
  <si>
    <t xml:space="preserve">Information retrieval and display device and system </t>
  </si>
  <si>
    <t>US2005001743</t>
  </si>
  <si>
    <t xml:space="preserve">Limiting wireless discovery range </t>
  </si>
  <si>
    <t>US2013250931</t>
  </si>
  <si>
    <t xml:space="preserve">Battery holder </t>
  </si>
  <si>
    <t>US2011042156</t>
  </si>
  <si>
    <t xml:space="preserve">Scenario based content delivery </t>
  </si>
  <si>
    <t>US2008167016</t>
  </si>
  <si>
    <t xml:space="preserve">Systems and methods for generating a user profile based customized media guide that includes an internet source </t>
  </si>
  <si>
    <t>US2013305287</t>
  </si>
  <si>
    <t xml:space="preserve">Temporal and Geographic Presentation and Navigation of Linked Cultural, Artistic, and Historic Content </t>
  </si>
  <si>
    <t>US2011040657</t>
  </si>
  <si>
    <t xml:space="preserve">Live Event Social Networking System </t>
  </si>
  <si>
    <t>US2011307399</t>
  </si>
  <si>
    <t xml:space="preserve">Methods and systems for registering and authenticating recipients of training provided through data communications networks to remote electronic devices </t>
  </si>
  <si>
    <t>US2003073064</t>
  </si>
  <si>
    <t xml:space="preserve">Service provision system and automatic photography system </t>
  </si>
  <si>
    <t>US2006056832</t>
  </si>
  <si>
    <t xml:space="preserve">Temporary internet mobile showroom providing E-commerce capability </t>
  </si>
  <si>
    <t>US2001032152</t>
  </si>
  <si>
    <t xml:space="preserve">Data synchronization system, apparatus used for the system, and data synchonization method </t>
  </si>
  <si>
    <t>US2004107236</t>
  </si>
  <si>
    <t xml:space="preserve">Method and apparatus for providing zoned communications </t>
  </si>
  <si>
    <t>US5850610</t>
  </si>
  <si>
    <t xml:space="preserve">Methods and systems for documenting a player's experience in a casino environment </t>
  </si>
  <si>
    <t>US2002196342</t>
  </si>
  <si>
    <t xml:space="preserve">Mobile terminal autonomous handoff for unidirectional mobile communication </t>
  </si>
  <si>
    <t>US2007123258</t>
  </si>
  <si>
    <t xml:space="preserve">Advertising revenue sharing </t>
  </si>
  <si>
    <t>US2011238501</t>
  </si>
  <si>
    <t xml:space="preserve">Enhanced Ebook and Enhanced Ebook Reader </t>
  </si>
  <si>
    <t>US2011261030</t>
  </si>
  <si>
    <t xml:space="preserve">Teaching and learning system </t>
  </si>
  <si>
    <t>US2011212430</t>
  </si>
  <si>
    <t xml:space="preserve">Method and system for E-commerce freight management </t>
  </si>
  <si>
    <t>US2002087371</t>
  </si>
  <si>
    <t xml:space="preserve">Casino patron tracking and information use </t>
  </si>
  <si>
    <t>US2007087834</t>
  </si>
  <si>
    <t xml:space="preserve">System and method for the storage, management and sharing of spatial-temporal based information </t>
  </si>
  <si>
    <t>US2002069312</t>
  </si>
  <si>
    <t xml:space="preserve">Intelligent Player Tracking Card and Wagering Token Tracking Techniques </t>
  </si>
  <si>
    <t>US2010093429</t>
  </si>
  <si>
    <t xml:space="preserve">Systems and methods for real-time multimedia communications across multiple standards and proprietary devices </t>
  </si>
  <si>
    <t>US2011279634</t>
  </si>
  <si>
    <t xml:space="preserve">Method and System for Monetizing User-Generated Content </t>
  </si>
  <si>
    <t>US2009132341</t>
  </si>
  <si>
    <t xml:space="preserve">System and method for obtaining merchandise information </t>
  </si>
  <si>
    <t>US8060412</t>
  </si>
  <si>
    <t>US2009132311</t>
  </si>
  <si>
    <t xml:space="preserve">Methods and systems for managing the provision of training provided remotely through electronic data networks to users of remote electronic devices </t>
  </si>
  <si>
    <t>US7299067</t>
  </si>
  <si>
    <t xml:space="preserve">Methods and systems for providing continuing legal education through an electronic data network to remote hand held devices </t>
  </si>
  <si>
    <t>US2003074320</t>
  </si>
  <si>
    <t xml:space="preserve">Electronic tourist voice guide system </t>
  </si>
  <si>
    <t>WO9320546</t>
  </si>
  <si>
    <t xml:space="preserve">Selecting and displaying branded virtual objects in a virtual environment </t>
  </si>
  <si>
    <t>US2012264511</t>
  </si>
  <si>
    <t xml:space="preserve">Delivery operations information system with route adjustment feature and methods of use </t>
  </si>
  <si>
    <t>US8140592</t>
  </si>
  <si>
    <t xml:space="preserve">Method and apparatus to deliver video advertisements with enhanced user interactivity </t>
  </si>
  <si>
    <t>US2011219403</t>
  </si>
  <si>
    <t xml:space="preserve">Providing rating information for an event based on user feedback </t>
  </si>
  <si>
    <t>US2008005761</t>
  </si>
  <si>
    <t xml:space="preserve">Method and system for controlling package-oriented network traffic </t>
  </si>
  <si>
    <t>US6917982</t>
  </si>
  <si>
    <t xml:space="preserve">System and method for facilitating creation of a rich virtual environment </t>
  </si>
  <si>
    <t>US2013271456</t>
  </si>
  <si>
    <t>US2002103597</t>
  </si>
  <si>
    <t xml:space="preserve">Intelligent Wagering Token and Wagering Token Tracking Techniques </t>
  </si>
  <si>
    <t>US2010093428</t>
  </si>
  <si>
    <t xml:space="preserve">Location beacon system </t>
  </si>
  <si>
    <t>US6745036</t>
  </si>
  <si>
    <t xml:space="preserve">Associating subscription information with media content </t>
  </si>
  <si>
    <t>US2007094304</t>
  </si>
  <si>
    <t xml:space="preserve">GPS route creation, photograph association, and data collection </t>
  </si>
  <si>
    <t>US2008082264</t>
  </si>
  <si>
    <t xml:space="preserve">Apparatus and methods for broadcasting </t>
  </si>
  <si>
    <t>US2010115123</t>
  </si>
  <si>
    <t xml:space="preserve">System and method for joint speaker and scene recognition in a video/audio processing environment </t>
  </si>
  <si>
    <t>US2013300939</t>
  </si>
  <si>
    <t xml:space="preserve">Architectures and methods for creating and representing time-dependent imagery </t>
  </si>
  <si>
    <t>US2011007094</t>
  </si>
  <si>
    <t xml:space="preserve">Changing experience using personal a/v system </t>
  </si>
  <si>
    <t>US2013083007</t>
  </si>
  <si>
    <t xml:space="preserve">Geo-tagging objects with wireless positioning information </t>
  </si>
  <si>
    <t>US2009280824</t>
  </si>
  <si>
    <t xml:space="preserve">Localised audio data delivery </t>
  </si>
  <si>
    <t>US2002016165</t>
  </si>
  <si>
    <t xml:space="preserve">Itinerary planning tool, system, method, software, and hardware </t>
  </si>
  <si>
    <t>US2007078729</t>
  </si>
  <si>
    <t xml:space="preserve">Dynamic routing intelligent vehicle enhancement system </t>
  </si>
  <si>
    <t>US2015179062</t>
  </si>
  <si>
    <t xml:space="preserve">Systems and methods for error resilient scheme for low latency h.264 video coding </t>
  </si>
  <si>
    <t>US2012082226</t>
  </si>
  <si>
    <t xml:space="preserve">Event application </t>
  </si>
  <si>
    <t>US2013232194</t>
  </si>
  <si>
    <t xml:space="preserve">Coherent demodulation method for a digitally modulated signal having a continuous phase and a constant envelope </t>
  </si>
  <si>
    <t>US5151925</t>
  </si>
  <si>
    <t xml:space="preserve">Information distribution system, information acquistion device, information distribution server, information reproduction device, information reproduction method, information distribution control method, information distribution control program, and computer readable recording medium </t>
  </si>
  <si>
    <t>US2006069740</t>
  </si>
  <si>
    <t xml:space="preserve">Gaming device with volumetric sensing </t>
  </si>
  <si>
    <t>US2015258432</t>
  </si>
  <si>
    <t xml:space="preserve">Navigation system with event of interest routing mechanism and method of operation thereof </t>
  </si>
  <si>
    <t>US2011087426</t>
  </si>
  <si>
    <t xml:space="preserve">Taxi service safety and dispatching monitor system </t>
  </si>
  <si>
    <t>CN1588476</t>
  </si>
  <si>
    <t xml:space="preserve">System and method for public geospatial registrar and services </t>
  </si>
  <si>
    <t>US2007027925</t>
  </si>
  <si>
    <t xml:space="preserve">Systems and methods for management of risk in industrial plants </t>
  </si>
  <si>
    <t>US2014156584</t>
  </si>
  <si>
    <t xml:space="preserve">Program, computer, and data processing method </t>
  </si>
  <si>
    <t>US2007044160</t>
  </si>
  <si>
    <t xml:space="preserve">Information Receiving Terminal and Infomation Distibuting System </t>
  </si>
  <si>
    <t>US2007249367</t>
  </si>
  <si>
    <t xml:space="preserve">Compost made of organic residues, process for making it and apparatus for putting the process into operation </t>
  </si>
  <si>
    <t>EP0040147</t>
  </si>
  <si>
    <t xml:space="preserve">Compression of road features in map tiles </t>
  </si>
  <si>
    <t>US2013328937</t>
  </si>
  <si>
    <t xml:space="preserve">Personal digital shopping trolley </t>
  </si>
  <si>
    <t>US2001051903</t>
  </si>
  <si>
    <t xml:space="preserve">Synchronizing Multiple Head-Mounted Displays to a Unified Space and Correlating Movement of Objects in the Unified Space </t>
  </si>
  <si>
    <t>US2016093108</t>
  </si>
  <si>
    <t xml:space="preserve">Method, Apparatus, and Computer Program Product for Generating a Video Stream of A Mapped Route </t>
  </si>
  <si>
    <t>US2014181259</t>
  </si>
  <si>
    <t xml:space="preserve">Bulk Separation of Carbon Nanotubes by Bandgap </t>
  </si>
  <si>
    <t>US2008260616</t>
  </si>
  <si>
    <t xml:space="preserve">System and method of providing touristic paths </t>
  </si>
  <si>
    <t>US2015066649</t>
  </si>
  <si>
    <t xml:space="preserve">Device and system for providing travel guide, and recording medium for programs thereof </t>
  </si>
  <si>
    <t>JP2002073756</t>
  </si>
  <si>
    <t xml:space="preserve">Device, network, server, and methods for providing digital images and associated processing information </t>
  </si>
  <si>
    <t>US7978219</t>
  </si>
  <si>
    <t xml:space="preserve">Merchandising and gaming method and system </t>
  </si>
  <si>
    <t>US2006052150</t>
  </si>
  <si>
    <t xml:space="preserve">Systeme de bloc-couronne/palan mobile ameliore pour tour de forage de puits </t>
  </si>
  <si>
    <t>WO9214028</t>
  </si>
  <si>
    <t xml:space="preserve">Tour de communication mobile portable </t>
  </si>
  <si>
    <t>WO2007136241</t>
  </si>
  <si>
    <t xml:space="preserve">Tour frontal a commande numerique avec poupee porte-broche mobile assurant les deplacements dans le sens perpendiculaire a l'axe de la broche </t>
  </si>
  <si>
    <t>FR2602703</t>
  </si>
  <si>
    <t xml:space="preserve">Tour aquatique mobile muni d'un couvercle d'ecluse coulissant </t>
  </si>
  <si>
    <t>WO0108770</t>
  </si>
  <si>
    <t xml:space="preserve">Tour mobile d'Ã©clairage </t>
  </si>
  <si>
    <t>EP2557350</t>
  </si>
  <si>
    <t xml:space="preserve">Dispositif autoelevateur mobile et tour de controle le comportant </t>
  </si>
  <si>
    <t>FR2903974</t>
  </si>
  <si>
    <t xml:space="preserve">Ballon captif mobile dans une tour </t>
  </si>
  <si>
    <t>WO2006095082</t>
  </si>
  <si>
    <t xml:space="preserve">Appareil de forage mobile comprenant une tour de forage </t>
  </si>
  <si>
    <t>WO2013109147</t>
  </si>
  <si>
    <t xml:space="preserve">Grue distributrice a tour a portee mobile </t>
  </si>
  <si>
    <t>EP0731054</t>
  </si>
  <si>
    <t xml:space="preserve">Tour automatique muni d'une poupÃ©e mobile </t>
  </si>
  <si>
    <t>EP0508208</t>
  </si>
  <si>
    <t xml:space="preserve">UnitÃ© solaire mobile Ã©quipÃ© d'une tour d'Ã©clairage </t>
  </si>
  <si>
    <t>EP2383797</t>
  </si>
  <si>
    <t xml:space="preserve">Chariot mobile d'entrÃ©e d'Ã©taleur-nappeur et Ã©taleur-nappeur Ã©quipÃ© dudit chariot </t>
  </si>
  <si>
    <t>EP1367166</t>
  </si>
  <si>
    <t xml:space="preserve">ProcÃ©dÃ© d'amÃ©lioration des performances d'un systÃ¨me de communication radio mobile utilisant contrÃ´le de puissance </t>
  </si>
  <si>
    <t>EP1054518</t>
  </si>
  <si>
    <t xml:space="preserve">Procede et systeme de localisation d'un mobile </t>
  </si>
  <si>
    <t>FR2640760</t>
  </si>
  <si>
    <t xml:space="preserve">ProcÃ©dÃ© et systÃ¨me d'asservissement d'une plate-forme mobile montÃ©e Ã  bord d'un vÃ©hicule spatial </t>
  </si>
  <si>
    <t>EP0043772</t>
  </si>
  <si>
    <t xml:space="preserve">Dispositif comportant une tour mobile </t>
  </si>
  <si>
    <t>EP0337673</t>
  </si>
  <si>
    <t xml:space="preserve">Tour de repoussage perfectionnÃ© </t>
  </si>
  <si>
    <t>EP0057136</t>
  </si>
  <si>
    <t xml:space="preserve">Mobile autonome pour le transport d'un outil Ã  vitesse constante </t>
  </si>
  <si>
    <t>EP0324297</t>
  </si>
  <si>
    <t xml:space="preserve">Manege a mobiles spheriques </t>
  </si>
  <si>
    <t>FR2599988</t>
  </si>
  <si>
    <t xml:space="preserve">Elimination d'une interference par soustraction combinee a un traitement de signaux de diversite d'espace dans un systeme cellulaire de communications amcr </t>
  </si>
  <si>
    <t>EP0923817</t>
  </si>
  <si>
    <t xml:space="preserve">Dispositif de commande de cap pour vehicule mobile. </t>
  </si>
  <si>
    <t>FR2687808</t>
  </si>
  <si>
    <t xml:space="preserve">Support d'informations mobile et dispositif d'enregistrement-lecture comprenant un tel support </t>
  </si>
  <si>
    <t>FR2504301</t>
  </si>
  <si>
    <t xml:space="preserve">Copieur pour tour Ã  bois </t>
  </si>
  <si>
    <t>EP0275775</t>
  </si>
  <si>
    <t xml:space="preserve">Cartouche thermostatique Ã  disques en cÃ©ramique, du type quart de tour Ã  commandes concentriques, et robinet mÃ©langeur muni d'une telle cartouche </t>
  </si>
  <si>
    <t>EP1235129</t>
  </si>
  <si>
    <t xml:space="preserve">Dispositif pour dÃ©placer un mobile, et en particulier un prÃ©henseur de manutention dans un plan vertical </t>
  </si>
  <si>
    <t>EP0310481</t>
  </si>
  <si>
    <t xml:space="preserve">Groupe percolateur a chambre d'infusion mobile et demontable sans outillage </t>
  </si>
  <si>
    <t>WO0209563</t>
  </si>
  <si>
    <t xml:space="preserve">Enceinte mobile pour le remplacement et le transport de piÃ¨ces contaminÃ©es, et Ã©tui complÃ©mentaire d'une telle enceinte </t>
  </si>
  <si>
    <t>EP0123598</t>
  </si>
  <si>
    <t xml:space="preserve">Ravitailleur, notamment pour tour automatique, comprenant des blocs-paliers </t>
  </si>
  <si>
    <t>EP0161210</t>
  </si>
  <si>
    <t xml:space="preserve">PiÃ¨ce d'horlogerie munie d'un tour d'heures variable </t>
  </si>
  <si>
    <t>WO2008144948</t>
  </si>
  <si>
    <t xml:space="preserve">Base mobile omnidirectionnelle </t>
  </si>
  <si>
    <t>WO9831583</t>
  </si>
  <si>
    <t xml:space="preserve">Echafaudage decomposable pour supporter des ponts et des plate-formes mobiles </t>
  </si>
  <si>
    <t>FR2482995</t>
  </si>
  <si>
    <t xml:space="preserve">Dispositif de mesure logique de la distance parcourue par un mobile et/ou de sa vitesse, du type a roue crantee ou analogue </t>
  </si>
  <si>
    <t>FR2495327</t>
  </si>
  <si>
    <t xml:space="preserve">Dispositif d'entraÃ®nement en rotation de la lisse d'une barriÃ¨re mobile </t>
  </si>
  <si>
    <t>EP0438364</t>
  </si>
  <si>
    <t xml:space="preserve">Montre Ã©lectronique munie de moyens de dÃ©tection du passage d'une aiguille par une position de rÃ©fÃ©rence </t>
  </si>
  <si>
    <t>EP0082821</t>
  </si>
  <si>
    <t xml:space="preserve">Perles de base destinees a la fabrication de compositions detergentes, procede et melanges pour leur fabrication et compositions detergentes les contenant </t>
  </si>
  <si>
    <t>FR2500475</t>
  </si>
  <si>
    <t xml:space="preserve">Procede d'installation en mer d'une eolienne </t>
  </si>
  <si>
    <t>FR2849877</t>
  </si>
  <si>
    <t xml:space="preserve">PiÃ¨ce d'horlogerie Ã  quantiÃ¨me comprenant un dispositif d'Ã©quation du temps marchante </t>
  </si>
  <si>
    <t>EP1286233</t>
  </si>
  <si>
    <t xml:space="preserve">Appareil a epiler </t>
  </si>
  <si>
    <t>FR2556939</t>
  </si>
  <si>
    <t xml:space="preserve">Piece d'horlogerie munie d'un tourbillon </t>
  </si>
  <si>
    <t>EP1564608</t>
  </si>
  <si>
    <t xml:space="preserve">Dispositif de prÃ©lÃ¨vement d'Ã©chantillons liquides nocifs, notamment chargÃ©s de particules solides </t>
  </si>
  <si>
    <t>EP0803723</t>
  </si>
  <si>
    <t xml:space="preserve">Dispositif pour fixation ou ajustage entre elles de parties de vetements ou de sous-vetements tels que des soutiens-gorge </t>
  </si>
  <si>
    <t>WO03056956</t>
  </si>
  <si>
    <t xml:space="preserve">Dispositif pour le montage de troncons du fuselage d'aeronefs </t>
  </si>
  <si>
    <t>FR2788743</t>
  </si>
  <si>
    <t xml:space="preserve">Dispositif de localisation et de detection de la progression de mobiles, notamment de vehicules de transport en commun circulant sur une ligne </t>
  </si>
  <si>
    <t>FR2559930</t>
  </si>
  <si>
    <t xml:space="preserve">TÃ©lÃ©phone mobile muni d'une camÃ©ra </t>
  </si>
  <si>
    <t>EP1168810</t>
  </si>
  <si>
    <t xml:space="preserve">Organe de detection de positions pour une partie mobile dans un vehicule automobile </t>
  </si>
  <si>
    <t>FR2570177</t>
  </si>
  <si>
    <t xml:space="preserve">Essieu moteur d'assistance pour engins mobiles </t>
  </si>
  <si>
    <t>FR2469296</t>
  </si>
  <si>
    <t xml:space="preserve">Procede de reformage catalytique dans plusieurs zones reactionnelles a lit mobile cote a cote. </t>
  </si>
  <si>
    <t>FR2657087</t>
  </si>
  <si>
    <t xml:space="preserve">ProcÃ©dÃ© de radiotÃ©lÃ©phonie mobile et terminal radiotÃ©lÃ©phonique mobile d'abonnÃ© pour la mise en Ã“oeuvre du procÃ©dÃ©. </t>
  </si>
  <si>
    <t>FR2693863</t>
  </si>
  <si>
    <t xml:space="preserve">Dispositif Ã  roue de programme pour mÃ©canisme de quantiÃ¨me perpÃ©tuel, et piÃ¨ce d'horlogerie comportant un tel mÃ©canisme </t>
  </si>
  <si>
    <t>EP1351104</t>
  </si>
  <si>
    <t xml:space="preserve">Mouvement et piece d'horlogerie </t>
  </si>
  <si>
    <t>WO03017009</t>
  </si>
  <si>
    <t xml:space="preserve">Compteur de doses pour inhalateurs </t>
  </si>
  <si>
    <t>WO9534874</t>
  </si>
  <si>
    <t xml:space="preserve">Dispositif de vaporisateur doseur muni d'un moyen de comptage des doses Ã©mises </t>
  </si>
  <si>
    <t>EP0269496</t>
  </si>
  <si>
    <t xml:space="preserve">Cale Ã©lastique, notamment pour la suspension d'un moteur de vÃ©hicule </t>
  </si>
  <si>
    <t>EP0072262</t>
  </si>
  <si>
    <t xml:space="preserve">Systeme de visualisation d'images utilisant des elements electroluminescents </t>
  </si>
  <si>
    <t>FR2800500</t>
  </si>
  <si>
    <t xml:space="preserve">Dispositif de securite pour une seringue </t>
  </si>
  <si>
    <t>FR2830765</t>
  </si>
  <si>
    <t xml:space="preserve">Procede et installation automatises pour deplacer un objet non cooperatif, notamment pour assurer les deplacements au sol des aeronefs. </t>
  </si>
  <si>
    <t>FR2675919</t>
  </si>
  <si>
    <t xml:space="preserve">Tete d'application de fibres et machine correspondante </t>
  </si>
  <si>
    <t>FR2882681</t>
  </si>
  <si>
    <t xml:space="preserve">Capteur de position angulaire magnetique pour une course allant jusqu'a 360Â° </t>
  </si>
  <si>
    <t>WO2007057563</t>
  </si>
  <si>
    <t xml:space="preserve">Chronographe </t>
  </si>
  <si>
    <t>EP1024416</t>
  </si>
  <si>
    <t xml:space="preserve">Dispositif de dÃ©termination de la position angulaire absolue d'un organe tournant </t>
  </si>
  <si>
    <t>EP1167927</t>
  </si>
  <si>
    <t xml:space="preserve">Serrure dÃ©brayable pour vÃ©hicules et similaires </t>
  </si>
  <si>
    <t>EP0647752</t>
  </si>
  <si>
    <t xml:space="preserve">Dispositif de verrouillage de la position d'un moyen de stockage d'energie electrique </t>
  </si>
  <si>
    <t>FR2943970</t>
  </si>
  <si>
    <t xml:space="preserve">ProcÃ©dÃ© et machine pour la mise en place sur noyau d'un seul fil de renfort dans la fabrication d'une carcasse de pneumatique </t>
  </si>
  <si>
    <t>EP0580055</t>
  </si>
  <si>
    <t xml:space="preserve">Deflecteur en toile pour toit ouvrant de vehicule automobile et systeme de deflecteur escamotable associe </t>
  </si>
  <si>
    <t>FR2845038</t>
  </si>
  <si>
    <t xml:space="preserve">ProcÃ©dÃ© de remplacement d'une manchette montÃ©e Ã  l'intÃ©rieur d'un conduit et dispositifs de mise en oeuvre de ce procÃ©dÃ© </t>
  </si>
  <si>
    <t>EP0158544</t>
  </si>
  <si>
    <t xml:space="preserve">MÃ©canisme de sonnerie </t>
  </si>
  <si>
    <t>EP1925997</t>
  </si>
  <si>
    <t xml:space="preserve">Mobile souvenir box with tourism guide </t>
  </si>
  <si>
    <t>CN87215582</t>
  </si>
  <si>
    <t xml:space="preserve">One kind 3g personalized tour guide service system </t>
  </si>
  <si>
    <t>CN201607767</t>
  </si>
  <si>
    <t xml:space="preserve">Team tour guide system and team tour guide method of self-service tour guide and navigation terminal </t>
  </si>
  <si>
    <t>CN101620812</t>
  </si>
  <si>
    <t xml:space="preserve">System for system and method for mobile historical tour game using lbs </t>
  </si>
  <si>
    <t>WO2007037582</t>
  </si>
  <si>
    <t xml:space="preserve">Tourist guide auxiliary terminal, tourist auxiliary terminal and tourism auxiliary system </t>
  </si>
  <si>
    <t>CN201622341</t>
  </si>
  <si>
    <t xml:space="preserve">Visitor terminal equipment and tour guide terminal equipment </t>
  </si>
  <si>
    <t>CN104270214</t>
  </si>
  <si>
    <t xml:space="preserve">System and method for providing multi-lingual tour guide service </t>
  </si>
  <si>
    <t>KR101283135</t>
  </si>
  <si>
    <t xml:space="preserve">wireless apparatus for tour guide service </t>
  </si>
  <si>
    <t>KR200256325</t>
  </si>
  <si>
    <t xml:space="preserve">Tour Guide System </t>
  </si>
  <si>
    <t>KR101633188</t>
  </si>
  <si>
    <t xml:space="preserve">Earphone assembly and tour guide system for tourists </t>
  </si>
  <si>
    <t>US2016198252</t>
  </si>
  <si>
    <t xml:space="preserve">Intelligent Tour Guide System Based On Beacon </t>
  </si>
  <si>
    <t>KR101777654</t>
  </si>
  <si>
    <t xml:space="preserve">Multimedia interactive guide information system </t>
  </si>
  <si>
    <t>CN1808980</t>
  </si>
  <si>
    <t xml:space="preserve">Location-aware mobile device </t>
  </si>
  <si>
    <t>US9066199</t>
  </si>
  <si>
    <t xml:space="preserve">Tour information guide method and mobile device using the same </t>
  </si>
  <si>
    <t>KR101162986</t>
  </si>
  <si>
    <t xml:space="preserve">Tourist guide system capable of performing voice broadcast through mobile phone </t>
  </si>
  <si>
    <t>CN202856840</t>
  </si>
  <si>
    <t xml:space="preserve">Intelligent tour guide machine </t>
  </si>
  <si>
    <t>CN106782218</t>
  </si>
  <si>
    <t xml:space="preserve">Wisdom tour guide system </t>
  </si>
  <si>
    <t>CN206040183</t>
  </si>
  <si>
    <t xml:space="preserve">Movement notifying and locating system of group tourists for tour guide </t>
  </si>
  <si>
    <t>CN106332001</t>
  </si>
  <si>
    <t xml:space="preserve">Urban tour guide mobilephone </t>
  </si>
  <si>
    <t>CN102611987</t>
  </si>
  <si>
    <t xml:space="preserve">Portable terminal and method for providing tour guide service of the same, and tour guide system and method for providing tour guide service of the same </t>
  </si>
  <si>
    <t>KR20130137821</t>
  </si>
  <si>
    <t xml:space="preserve">Tour guide system using internet of things </t>
  </si>
  <si>
    <t>KR101672907</t>
  </si>
  <si>
    <t xml:space="preserve">wireless system and method for tour guide service </t>
  </si>
  <si>
    <t>KR20020097339</t>
  </si>
  <si>
    <t xml:space="preserve">Location-based tour guide system and guide method of Things smart region of Zigbee and WIFI </t>
  </si>
  <si>
    <t>CN103618992</t>
  </si>
  <si>
    <t xml:space="preserve">Traveling guide system using beacon </t>
  </si>
  <si>
    <t>KR20170063138</t>
  </si>
  <si>
    <t xml:space="preserve">Mobile terminal audio guide method based on UGC mode </t>
  </si>
  <si>
    <t>CN104867428</t>
  </si>
  <si>
    <t xml:space="preserve">Tour description and direction system and method based on wireless network address and voice and text short message </t>
  </si>
  <si>
    <t>CN1665257</t>
  </si>
  <si>
    <t xml:space="preserve">Method for previewing resort information and planning tour route by intelligent tour guide system </t>
  </si>
  <si>
    <t>CN101498586</t>
  </si>
  <si>
    <t xml:space="preserve">System and method for tour guide </t>
  </si>
  <si>
    <t>KR20090001615</t>
  </si>
  <si>
    <t xml:space="preserve">Digital tour guide system </t>
  </si>
  <si>
    <t>KR20140033631</t>
  </si>
  <si>
    <t xml:space="preserve">Method for solving group touring problems by intelligent tour guide system </t>
  </si>
  <si>
    <t>CN101487721</t>
  </si>
  <si>
    <t xml:space="preserve">Thing networking mobile device based on tourism </t>
  </si>
  <si>
    <t>CN207124676</t>
  </si>
  <si>
    <t xml:space="preserve">Tour guide packsack </t>
  </si>
  <si>
    <t>CN201182277</t>
  </si>
  <si>
    <t xml:space="preserve">Wireless guide machine </t>
  </si>
  <si>
    <t>CN201781482</t>
  </si>
  <si>
    <t xml:space="preserve">A method for realizing electronic navigation based on mobile phone </t>
  </si>
  <si>
    <t>CN101150807</t>
  </si>
  <si>
    <t>CN102484769</t>
  </si>
  <si>
    <t xml:space="preserve">Tour guide flag fixing device </t>
  </si>
  <si>
    <t>CN206340322</t>
  </si>
  <si>
    <t>CN201976253</t>
  </si>
  <si>
    <t xml:space="preserve">Travel resource search and digital map guide method and system for palm PC </t>
  </si>
  <si>
    <t>CN1629840</t>
  </si>
  <si>
    <t xml:space="preserve">Method, system, and portable device for gallery guide using guide tour with stored guide data and work of art data </t>
  </si>
  <si>
    <t>KR20060094176</t>
  </si>
  <si>
    <t xml:space="preserve">Tour-information-guide-apparatus using wire/wireless network and solar battery </t>
  </si>
  <si>
    <t>KR100951403</t>
  </si>
  <si>
    <t xml:space="preserve">Traveling guide device using smart-phone </t>
  </si>
  <si>
    <t>KR20150006985</t>
  </si>
  <si>
    <t xml:space="preserve">Wearable equipment of record guide information, guide information acquisition system </t>
  </si>
  <si>
    <t>CN206835237</t>
  </si>
  <si>
    <t xml:space="preserve">Self-service tour guide method and tour guide system utilizing same </t>
  </si>
  <si>
    <t>CN102509529</t>
  </si>
  <si>
    <t xml:space="preserve">Method of matching tourist to guide with realtime using mobile application </t>
  </si>
  <si>
    <t>KR20170074541</t>
  </si>
  <si>
    <t xml:space="preserve">Self-service travel mobile terminal and navigation method </t>
  </si>
  <si>
    <t>CN101846521</t>
  </si>
  <si>
    <t xml:space="preserve">Guidance type shoes-combined guding system selectable tour course, and method thereof </t>
  </si>
  <si>
    <t>KR101876957</t>
  </si>
  <si>
    <t xml:space="preserve">Terminal tour-guiding method with photo synthesizing function and system thereof </t>
  </si>
  <si>
    <t>CN103781020</t>
  </si>
  <si>
    <t xml:space="preserve">Intelligence pronunciation guide guide to visitors system </t>
  </si>
  <si>
    <t>CN206923047</t>
  </si>
  <si>
    <t xml:space="preserve">Reliable tourism guide system </t>
  </si>
  <si>
    <t>CN205880767</t>
  </si>
  <si>
    <t xml:space="preserve">Mobile system for identifying of interest site </t>
  </si>
  <si>
    <t>JP4323123</t>
  </si>
  <si>
    <t xml:space="preserve">Electronic tour guide device incorporates geographic position location system for selection of relevant tour information </t>
  </si>
  <si>
    <t>DE10042432</t>
  </si>
  <si>
    <t xml:space="preserve">Tour guiding system </t>
  </si>
  <si>
    <t>CN104244176</t>
  </si>
  <si>
    <t xml:space="preserve">System and method for providing medical tour service </t>
  </si>
  <si>
    <t>KR100956035</t>
  </si>
  <si>
    <t xml:space="preserve">Transparent display with real scene tour-guide function </t>
  </si>
  <si>
    <t>CN103366708</t>
  </si>
  <si>
    <t xml:space="preserve">Method and arrangement for location-dependent output of data through mobile terminals and a corresponding computer program and a corresponding computer-readable storage medium </t>
  </si>
  <si>
    <t>DE102006003363</t>
  </si>
  <si>
    <t xml:space="preserve">Lighting controlled tour guide </t>
  </si>
  <si>
    <t>DE102014217983</t>
  </si>
  <si>
    <t xml:space="preserve">Special knapsack for tour guide </t>
  </si>
  <si>
    <t>CN204292432</t>
  </si>
  <si>
    <t xml:space="preserve">Hand-held digital tour guide system and method </t>
  </si>
  <si>
    <t>KR20070037727</t>
  </si>
  <si>
    <t xml:space="preserve">System and Method for Providing Multiple Itinerary Services </t>
  </si>
  <si>
    <t>US2010203868</t>
  </si>
  <si>
    <t>WO2018068537</t>
  </si>
  <si>
    <t xml:space="preserve">Kinds of intelligent electronic guide system based on a geo-fence technology </t>
  </si>
  <si>
    <t>CN105338492</t>
  </si>
  <si>
    <t>EP2219163</t>
  </si>
  <si>
    <t xml:space="preserve">Intelligent tourism service system based on cloud platform and mobile terminal </t>
  </si>
  <si>
    <t>CN105491107</t>
  </si>
  <si>
    <t xml:space="preserve">Mobile image photographing apparatus, information sharing device, information sharing system using mobile image photographing apparatus </t>
  </si>
  <si>
    <t>KR101658614</t>
  </si>
  <si>
    <t xml:space="preserve">Mobile tether system for groups </t>
  </si>
  <si>
    <t>EP3104631</t>
  </si>
  <si>
    <t xml:space="preserve">Track-log service providing method of application operated in mobile terminal and mobile terminal providing track-log service </t>
  </si>
  <si>
    <t>KR101068888</t>
  </si>
  <si>
    <t xml:space="preserve">Tour Guide Service System </t>
  </si>
  <si>
    <t>KR20120003597</t>
  </si>
  <si>
    <t xml:space="preserve">Method and apparatus for tour guide service </t>
  </si>
  <si>
    <t>KR20140050265</t>
  </si>
  <si>
    <t xml:space="preserve">One kind of fleet tour guide system and method </t>
  </si>
  <si>
    <t>CN104424809</t>
  </si>
  <si>
    <t>WO0169799</t>
  </si>
  <si>
    <t xml:space="preserve">Self-assistant tour guide system and method of the same </t>
  </si>
  <si>
    <t>WO0070851</t>
  </si>
  <si>
    <t xml:space="preserve">Tourism guide system </t>
  </si>
  <si>
    <t>CN205880864</t>
  </si>
  <si>
    <t xml:space="preserve">Portable tour guide calling device </t>
  </si>
  <si>
    <t>CN203313360</t>
  </si>
  <si>
    <t xml:space="preserve">Multi -functional tourism guide leads flag </t>
  </si>
  <si>
    <t>CN205318804</t>
  </si>
  <si>
    <t xml:space="preserve">System and method for virtual interactive ski and snowboard tour guidance, enhancement and safety </t>
  </si>
  <si>
    <t>US2015219470</t>
  </si>
  <si>
    <t xml:space="preserve">System for improving the supply of travel information to a traveller </t>
  </si>
  <si>
    <t>WO0065497</t>
  </si>
  <si>
    <t xml:space="preserve">Guide Method for Group Tourists Using Personal Wireless Terminal </t>
  </si>
  <si>
    <t>KR101425671</t>
  </si>
  <si>
    <t xml:space="preserve">Bus tour guide support device and bus tour guide support method </t>
  </si>
  <si>
    <t>JP2017130169</t>
  </si>
  <si>
    <t>CN1981502</t>
  </si>
  <si>
    <t xml:space="preserve">Driving structure and driving method of mobile orbot platform </t>
  </si>
  <si>
    <t>CN1618578</t>
  </si>
  <si>
    <t xml:space="preserve">Traveling team communication and positioning system and method </t>
  </si>
  <si>
    <t>CN101237674</t>
  </si>
  <si>
    <t xml:space="preserve">Global electronic tourist guide system and method </t>
  </si>
  <si>
    <t>CN1358019</t>
  </si>
  <si>
    <t xml:space="preserve">Guide system and guide device </t>
  </si>
  <si>
    <t>JP2005316851</t>
  </si>
  <si>
    <t xml:space="preserve">Tour guide navigation method and terminal </t>
  </si>
  <si>
    <t>CN101726307</t>
  </si>
  <si>
    <t xml:space="preserve">Client dynamic-positioning voice tour guide method and system thereof </t>
  </si>
  <si>
    <t>CN105043373</t>
  </si>
  <si>
    <t xml:space="preserve">Intelligent tour guiding system </t>
  </si>
  <si>
    <t>CN202261802</t>
  </si>
  <si>
    <t xml:space="preserve">Observation information providing system </t>
  </si>
  <si>
    <t>JP2004088361</t>
  </si>
  <si>
    <t xml:space="preserve">Visitor guidance system for use in fixed areas comprises data carriers that are issued to visitors that can then be remotely read by fixed readers, which then issue appropriate audible or visual guidance instructions </t>
  </si>
  <si>
    <t>DE10205080</t>
  </si>
  <si>
    <t xml:space="preserve">Exhibition facility guide system </t>
  </si>
  <si>
    <t>JP2006215883</t>
  </si>
  <si>
    <t xml:space="preserve">Method for providing track-log service for applications running on a mobile terminal and mobile terminal providing track-log service </t>
  </si>
  <si>
    <t>WO2012134027</t>
  </si>
  <si>
    <t xml:space="preserve">Providing method of augmented reality and personal contents in terminal with camera </t>
  </si>
  <si>
    <t>KR20110010666</t>
  </si>
  <si>
    <t xml:space="preserve">Commercial service system and method for ticket, guide and transaction </t>
  </si>
  <si>
    <t>CN1983339</t>
  </si>
  <si>
    <t xml:space="preserve">The method and device of remote guide </t>
  </si>
  <si>
    <t>KR100312793</t>
  </si>
  <si>
    <t xml:space="preserve">A broadcast and control system for cicerone </t>
  </si>
  <si>
    <t>CN1964226</t>
  </si>
  <si>
    <t>US8863212</t>
  </si>
  <si>
    <t xml:space="preserve">Handset intelligent guide method and system based on NFC technology </t>
  </si>
  <si>
    <t>CN104902099</t>
  </si>
  <si>
    <t xml:space="preserve">Self-service hotel ciceroni mobile phone </t>
  </si>
  <si>
    <t>CN201118893</t>
  </si>
  <si>
    <t xml:space="preserve">Multilingual automatic explanation system of tourism car and boat </t>
  </si>
  <si>
    <t>CN205666037</t>
  </si>
  <si>
    <t xml:space="preserve">Legacy Guidance System Using the Wireless Phone and Method Thereof </t>
  </si>
  <si>
    <t>KR20040090498</t>
  </si>
  <si>
    <t xml:space="preserve">Tour guide information provision method and device and tour guide information obtaining method and device </t>
  </si>
  <si>
    <t>CN107305571</t>
  </si>
  <si>
    <t xml:space="preserve">Intelligent tour guide system based on RFID and GPS </t>
  </si>
  <si>
    <t>CN202815227</t>
  </si>
  <si>
    <t xml:space="preserve">Messenger bag for tour guide </t>
  </si>
  <si>
    <t>CN204260072</t>
  </si>
  <si>
    <t xml:space="preserve">Special bag convenient for tour guide to lead tourist group </t>
  </si>
  <si>
    <t>CN201691288</t>
  </si>
  <si>
    <t xml:space="preserve">Based on the airship kind of scenic tour guide rescue system </t>
  </si>
  <si>
    <t>CN105717919</t>
  </si>
  <si>
    <t xml:space="preserve">Tour guide machine service system based on single-chip microcomputer </t>
  </si>
  <si>
    <t>CN104933642</t>
  </si>
  <si>
    <t xml:space="preserve">Kinds of tourism travel multilingual guide system and automatic synchronization method explained </t>
  </si>
  <si>
    <t>CN105761650</t>
  </si>
  <si>
    <t xml:space="preserve">Tourism Internet of Things device </t>
  </si>
  <si>
    <t>CN203054874</t>
  </si>
  <si>
    <t xml:space="preserve">Historical touring guide system </t>
  </si>
  <si>
    <t>JP2005149430</t>
  </si>
  <si>
    <t xml:space="preserve">Audio guide service method for tourist, and system thereof </t>
  </si>
  <si>
    <t>KR100708526</t>
  </si>
  <si>
    <t xml:space="preserve">Personalized travel guide </t>
  </si>
  <si>
    <t>US2008319773</t>
  </si>
  <si>
    <t xml:space="preserve">City bus intelligent tour guide device </t>
  </si>
  <si>
    <t>CN104598650</t>
  </si>
  <si>
    <t xml:space="preserve">Smart-phone with self-guiding function, and self-guiding system based on smart phone </t>
  </si>
  <si>
    <t>KR101376790</t>
  </si>
  <si>
    <t xml:space="preserve">Interactive location based automated guide service </t>
  </si>
  <si>
    <t>US2011282718</t>
  </si>
  <si>
    <t xml:space="preserve">Playing system for browsing scenic spot tourism network, as well as monitoring and navigating movably and intelligently </t>
  </si>
  <si>
    <t>CN201854435</t>
  </si>
  <si>
    <t>CN206040172</t>
  </si>
  <si>
    <t xml:space="preserve">Portable electronic travel aid that can be loaded with all manner of travel information prior to travel to an unfamiliar location by an individual or group of people </t>
  </si>
  <si>
    <t>DE19935564</t>
  </si>
  <si>
    <t xml:space="preserve">Position sensing information obtaining system </t>
  </si>
  <si>
    <t>CN101478720</t>
  </si>
  <si>
    <t xml:space="preserve">System for supporting travel agency </t>
  </si>
  <si>
    <t>JP2003030287</t>
  </si>
  <si>
    <t xml:space="preserve">Video display hat </t>
  </si>
  <si>
    <t>US7598928</t>
  </si>
  <si>
    <t xml:space="preserve">A system for processing context data </t>
  </si>
  <si>
    <t>WO2006106303</t>
  </si>
  <si>
    <t>US2007043651</t>
  </si>
  <si>
    <t xml:space="preserve">Internet-based real-time virtual travel system and method </t>
  </si>
  <si>
    <t>US2015127486</t>
  </si>
  <si>
    <t xml:space="preserve">System for providing intra-airplane information </t>
  </si>
  <si>
    <t>JP2002245131</t>
  </si>
  <si>
    <t xml:space="preserve">Mobile terminal for travel </t>
  </si>
  <si>
    <t>CN201438764</t>
  </si>
  <si>
    <t xml:space="preserve">Tour-guide calling device </t>
  </si>
  <si>
    <t>CN2896388</t>
  </si>
  <si>
    <t xml:space="preserve">Interactive voice, wireless game system using predictive command input </t>
  </si>
  <si>
    <t>US6554707</t>
  </si>
  <si>
    <t xml:space="preserve">Interactive wireless electric tour guide system and method </t>
  </si>
  <si>
    <t>CN101247170</t>
  </si>
  <si>
    <t xml:space="preserve">Exhibition tour guide system and apparatus </t>
  </si>
  <si>
    <t>CN1866240</t>
  </si>
  <si>
    <t xml:space="preserve">Intelligent guide system based on radio frequency identification technology </t>
  </si>
  <si>
    <t>CN1912898</t>
  </si>
  <si>
    <t xml:space="preserve">Electronic control station for tour guide </t>
  </si>
  <si>
    <t>DE19520754</t>
  </si>
  <si>
    <t>US8666361</t>
  </si>
  <si>
    <t xml:space="preserve">Business office managing system </t>
  </si>
  <si>
    <t>JP2003016279</t>
  </si>
  <si>
    <t xml:space="preserve">Portable tourism is with multi -functional guide's ware </t>
  </si>
  <si>
    <t>CN205406063</t>
  </si>
  <si>
    <t xml:space="preserve">Exhibition facility guide method </t>
  </si>
  <si>
    <t>JP2002259612</t>
  </si>
  <si>
    <t xml:space="preserve">Information collection device, travel guiding device, travel guiding system and computer program </t>
  </si>
  <si>
    <t>JP2010039710</t>
  </si>
  <si>
    <t>WO2007118331</t>
  </si>
  <si>
    <t xml:space="preserve">Enriched experience using personal a/v system </t>
  </si>
  <si>
    <t>US2013083008</t>
  </si>
  <si>
    <t xml:space="preserve">Device, method and medium providing customized audio tours </t>
  </si>
  <si>
    <t>US7962284</t>
  </si>
  <si>
    <t>US2015172262</t>
  </si>
  <si>
    <t xml:space="preserve">Self-help tourist guide system in scenic spot </t>
  </si>
  <si>
    <t>CN202694751</t>
  </si>
  <si>
    <t xml:space="preserve">Scenic spot guide system and implementation method thereof </t>
  </si>
  <si>
    <t>CN101807288</t>
  </si>
  <si>
    <t>US2004097226</t>
  </si>
  <si>
    <t xml:space="preserve">Vending of an electronic guide device </t>
  </si>
  <si>
    <t>US2008005225</t>
  </si>
  <si>
    <t xml:space="preserve">Self-help tour-guiding method and its system </t>
  </si>
  <si>
    <t>CN1851761</t>
  </si>
  <si>
    <t xml:space="preserve">Assembly management monitoring system based on internet of things and information interaction method </t>
  </si>
  <si>
    <t>CN102904921</t>
  </si>
  <si>
    <t xml:space="preserve">Distributed type guide system of museum </t>
  </si>
  <si>
    <t>CN204288752</t>
  </si>
  <si>
    <t xml:space="preserve">Tourist information mobile phone </t>
  </si>
  <si>
    <t>CN200994155</t>
  </si>
  <si>
    <t xml:space="preserve">Travel guide </t>
  </si>
  <si>
    <t>US6266614</t>
  </si>
  <si>
    <t xml:space="preserve">Method for organizing records of database search activity by topical relevance </t>
  </si>
  <si>
    <t>US7194454</t>
  </si>
  <si>
    <t xml:space="preserve">Light guide optical device </t>
  </si>
  <si>
    <t>US7576916</t>
  </si>
  <si>
    <t xml:space="preserve">Position-responsive, hierarchically-selectable information presentation system and control program </t>
  </si>
  <si>
    <t>US5717392</t>
  </si>
  <si>
    <t xml:space="preserve">Peer-to-peer communication in a radio network </t>
  </si>
  <si>
    <t>US6697649</t>
  </si>
  <si>
    <t xml:space="preserve">Graphical user interface for 3d virtual display browser using virtual display windows </t>
  </si>
  <si>
    <t>US7467356</t>
  </si>
  <si>
    <t xml:space="preserve">System and method for providing information based on geographic position </t>
  </si>
  <si>
    <t>US7457628</t>
  </si>
  <si>
    <t xml:space="preserve">Tour guide matching service method and its sysrem there of </t>
  </si>
  <si>
    <t>KR20100004406</t>
  </si>
  <si>
    <t xml:space="preserve">Self-service tour-guide handheld device </t>
  </si>
  <si>
    <t>CN202907185</t>
  </si>
  <si>
    <t xml:space="preserve">Historical simulator </t>
  </si>
  <si>
    <t>US6046689</t>
  </si>
  <si>
    <t xml:space="preserve">System for providing tourist tracking on a mobile device </t>
  </si>
  <si>
    <t>US10068299</t>
  </si>
  <si>
    <t xml:space="preserve">Method for providing tour information in wireless internet service using simple code </t>
  </si>
  <si>
    <t>KR100817406</t>
  </si>
  <si>
    <t xml:space="preserve">Ubiquitous exhibition guide system and method </t>
  </si>
  <si>
    <t>KR20100013038</t>
  </si>
  <si>
    <t xml:space="preserve">Representing a location at a previous time period using an augmented reality display </t>
  </si>
  <si>
    <t>CN103186922</t>
  </si>
  <si>
    <t xml:space="preserve">Tour Guidance Systems </t>
  </si>
  <si>
    <t>US2014344681</t>
  </si>
  <si>
    <t xml:space="preserve">System and method for guiding a road using mobile phone </t>
  </si>
  <si>
    <t>KR20020001369</t>
  </si>
  <si>
    <t>US2015169284</t>
  </si>
  <si>
    <t xml:space="preserve">Sensing device using proximity sensor and mobile terminal having the same </t>
  </si>
  <si>
    <t>US2010171027</t>
  </si>
  <si>
    <t xml:space="preserve">System for car management using mobile and method thereof </t>
  </si>
  <si>
    <t>KR100738194</t>
  </si>
  <si>
    <t xml:space="preserve">Tourism Service System </t>
  </si>
  <si>
    <t>CN204066190</t>
  </si>
  <si>
    <t xml:space="preserve">Tourism resource information management and service system (TRP) </t>
  </si>
  <si>
    <t>CN101527020</t>
  </si>
  <si>
    <t xml:space="preserve">mobile guidance device </t>
  </si>
  <si>
    <t>KR20020005236</t>
  </si>
  <si>
    <t xml:space="preserve">Mobile guide communications system </t>
  </si>
  <si>
    <t>US2003110216</t>
  </si>
  <si>
    <t xml:space="preserve">Tour route generating device, tour route generating method, and program </t>
  </si>
  <si>
    <t>US2012136566</t>
  </si>
  <si>
    <t xml:space="preserve">Capping equipment for blowout well </t>
  </si>
  <si>
    <t>US5121793</t>
  </si>
  <si>
    <t xml:space="preserve">Multimedia Personal Historical Information System and Method </t>
  </si>
  <si>
    <t>US2015020170</t>
  </si>
  <si>
    <t xml:space="preserve">Method of and device for requesting guide information, method of and device for supplying guide information, and computer product </t>
  </si>
  <si>
    <t>US6456930</t>
  </si>
  <si>
    <t xml:space="preserve">Device and process for lowering a connector suspended from guide line to a guide column installed on an underwater station </t>
  </si>
  <si>
    <t>US4541754</t>
  </si>
  <si>
    <t xml:space="preserve">System and method for generating virtual images according to position of viewers </t>
  </si>
  <si>
    <t>US2008111832</t>
  </si>
  <si>
    <t xml:space="preserve">Navigation routing system and method </t>
  </si>
  <si>
    <t>US2005096840</t>
  </si>
  <si>
    <t xml:space="preserve">Device based trigger for location push event </t>
  </si>
  <si>
    <t>US2008070588</t>
  </si>
  <si>
    <t xml:space="preserve">Interactive map-based travel guide </t>
  </si>
  <si>
    <t>US2006271277</t>
  </si>
  <si>
    <t xml:space="preserve">Sports matchmaker systems </t>
  </si>
  <si>
    <t>US2007060328</t>
  </si>
  <si>
    <t xml:space="preserve">Executable virtual objects associated with real objects </t>
  </si>
  <si>
    <t>US2013194164</t>
  </si>
  <si>
    <t xml:space="preserve">Control system for mobile robot </t>
  </si>
  <si>
    <t>US10029370</t>
  </si>
  <si>
    <t xml:space="preserve">Position tracing system, game control method and service providing system </t>
  </si>
  <si>
    <t>JP2003269988</t>
  </si>
  <si>
    <t xml:space="preserve">Interactive Food and Drink Ordering System </t>
  </si>
  <si>
    <t>US2010106607</t>
  </si>
  <si>
    <t xml:space="preserve">Portable multimedia tourist guide </t>
  </si>
  <si>
    <t>US2002011951</t>
  </si>
  <si>
    <t xml:space="preserve">Systems and methods for navigating through content in an interactive media guidance application </t>
  </si>
  <si>
    <t>US2012174039</t>
  </si>
  <si>
    <t xml:space="preserve">Pedestrian mapping system </t>
  </si>
  <si>
    <t>US2008312819</t>
  </si>
  <si>
    <t xml:space="preserve">Digital guide system </t>
  </si>
  <si>
    <t>US2005066358</t>
  </si>
  <si>
    <t xml:space="preserve">Olympic event hospitality program management system </t>
  </si>
  <si>
    <t>US2007039024</t>
  </si>
  <si>
    <t xml:space="preserve">Guide data processing method, record medium of program for processing guide data, and program for processing guide data </t>
  </si>
  <si>
    <t>JP2001311626</t>
  </si>
  <si>
    <t xml:space="preserve">Method and apparatus for applying two-dimensional codes </t>
  </si>
  <si>
    <t>US2010219240</t>
  </si>
  <si>
    <t xml:space="preserve">Entertainment device and method </t>
  </si>
  <si>
    <t>US2009318224</t>
  </si>
  <si>
    <t xml:space="preserve">Method and system for linked communication between client stations </t>
  </si>
  <si>
    <t>US2001037365</t>
  </si>
  <si>
    <t xml:space="preserve">System and realization method for mobile consultation service between mobile users </t>
  </si>
  <si>
    <t>CN1845495</t>
  </si>
  <si>
    <t xml:space="preserve">Scenic area navigation system based on bar code scanning technique </t>
  </si>
  <si>
    <t>CN202582553</t>
  </si>
  <si>
    <t xml:space="preserve">Distinct display of differentiated rights in property </t>
  </si>
  <si>
    <t>US2005125405</t>
  </si>
  <si>
    <t xml:space="preserve">Data management systems </t>
  </si>
  <si>
    <t>US2001054134</t>
  </si>
  <si>
    <t xml:space="preserve">Display device </t>
  </si>
  <si>
    <t>US2014340286</t>
  </si>
  <si>
    <t xml:space="preserve">Systems and methods for managing tips and gratuities </t>
  </si>
  <si>
    <t>US2008065396</t>
  </si>
  <si>
    <t>US2008222535</t>
  </si>
  <si>
    <t xml:space="preserve">Mobile Phone Mediated Treasure Hunt Game </t>
  </si>
  <si>
    <t>US2008009349</t>
  </si>
  <si>
    <t xml:space="preserve">Method and apparatus for operating group services in communication networks </t>
  </si>
  <si>
    <t>EP1478134</t>
  </si>
  <si>
    <t>KR20130000401</t>
  </si>
  <si>
    <t xml:space="preserve">Multimedia network service platform for independent travel </t>
  </si>
  <si>
    <t>CN102117471</t>
  </si>
  <si>
    <t xml:space="preserve">Unconstrained spatially aligned head-up display </t>
  </si>
  <si>
    <t>US2011052009</t>
  </si>
  <si>
    <t xml:space="preserve">Information processing apparatus, information processing method, digital television receiving apparatus, and storage medium </t>
  </si>
  <si>
    <t>US2014068679</t>
  </si>
  <si>
    <t xml:space="preserve">Extensible framework for ereader tools, including named entity information </t>
  </si>
  <si>
    <t>US2013311870</t>
  </si>
  <si>
    <t>WO9916036</t>
  </si>
  <si>
    <t xml:space="preserve">System, user terminal unit and method for guiding display information using mobile device </t>
  </si>
  <si>
    <t>KR20120015036</t>
  </si>
  <si>
    <t xml:space="preserve">View spot triggering method based on explication point in GPS intelligent guide system </t>
  </si>
  <si>
    <t>CN101587673</t>
  </si>
  <si>
    <t xml:space="preserve">Method for olympic event hospitality program management </t>
  </si>
  <si>
    <t>US2007038503</t>
  </si>
  <si>
    <t xml:space="preserve">Living information service system for the blind </t>
  </si>
  <si>
    <t>KR20080080688</t>
  </si>
  <si>
    <t xml:space="preserve">Camera user content synchronization with central web-based records and information sharing system </t>
  </si>
  <si>
    <t>US2011149086</t>
  </si>
  <si>
    <t xml:space="preserve">the message says </t>
  </si>
  <si>
    <t>CN1846213</t>
  </si>
  <si>
    <t xml:space="preserve">Contextually enhanced multi channel location based tour guidance system </t>
  </si>
  <si>
    <t>US2010063726</t>
  </si>
  <si>
    <t xml:space="preserve">System For Distributing A Text Document </t>
  </si>
  <si>
    <t>US2007282607</t>
  </si>
  <si>
    <t xml:space="preserve">Method and arrangement for guiding a user along a target path </t>
  </si>
  <si>
    <t>US2004030491</t>
  </si>
  <si>
    <t xml:space="preserve">Portable electronic device for generating travel guide and information recording method with route </t>
  </si>
  <si>
    <t>CN101771841</t>
  </si>
  <si>
    <t xml:space="preserve">Server apparatus, terminal apparatus, and application control system </t>
  </si>
  <si>
    <t>US2013086577</t>
  </si>
  <si>
    <t xml:space="preserve">Retail digital signage </t>
  </si>
  <si>
    <t>US2014139548</t>
  </si>
  <si>
    <t xml:space="preserve">Networked interactive toy apparatus operative to promote sales </t>
  </si>
  <si>
    <t>WO0169829</t>
  </si>
  <si>
    <t xml:space="preserve">Apparatus, systems and methods for providing on-demand radio </t>
  </si>
  <si>
    <t>WO0045511</t>
  </si>
  <si>
    <t xml:space="preserve">Virtual navigation system for virtual and real spaces </t>
  </si>
  <si>
    <t>US2007229396</t>
  </si>
  <si>
    <t xml:space="preserve">Method and System for Facilitating Automated Real Time Negotiating and Bargaining Followed by Purchase of Merchandize </t>
  </si>
  <si>
    <t>US2012072298</t>
  </si>
  <si>
    <t xml:space="preserve">Management method of position information of visitors and terminal device </t>
  </si>
  <si>
    <t>CN102740226</t>
  </si>
  <si>
    <t xml:space="preserve">Using a mobile device with integrated motion sensing for customized golf club fitting </t>
  </si>
  <si>
    <t>US2013165246</t>
  </si>
  <si>
    <t xml:space="preserve">Mobile computing device with imaging capability </t>
  </si>
  <si>
    <t>WO2007130688</t>
  </si>
  <si>
    <t xml:space="preserve">Emergency messaging system and method of responding to an emergency </t>
  </si>
  <si>
    <t>US2014364081</t>
  </si>
  <si>
    <t>US6865482</t>
  </si>
  <si>
    <t xml:space="preserve">Railroad tie renewing machine and method of using it </t>
  </si>
  <si>
    <t>EP0057128</t>
  </si>
  <si>
    <t xml:space="preserve">Information display system, information display method, and recording medium </t>
  </si>
  <si>
    <t>US2014292653</t>
  </si>
  <si>
    <t xml:space="preserve">Aircraft with rotary wings </t>
  </si>
  <si>
    <t>US2003136875</t>
  </si>
  <si>
    <t xml:space="preserve">Device has several audio discs and incorporated reader </t>
  </si>
  <si>
    <t>FR2578676</t>
  </si>
  <si>
    <t xml:space="preserve">Information provision method and advertisement provision system and information collection method </t>
  </si>
  <si>
    <t>JP2002268593</t>
  </si>
  <si>
    <t xml:space="preserve">Intelligent information server and controlling method </t>
  </si>
  <si>
    <t>CN1549550</t>
  </si>
  <si>
    <t xml:space="preserve">Guiding system of global positioning system and method therefor </t>
  </si>
  <si>
    <t>CN101017096</t>
  </si>
  <si>
    <t xml:space="preserve">Application and device to memorialize and share events geographically </t>
  </si>
  <si>
    <t>US2015081207</t>
  </si>
  <si>
    <t xml:space="preserve">Method and system for audio routing in a vehicle mounted communication system </t>
  </si>
  <si>
    <t>US2011287719</t>
  </si>
  <si>
    <t xml:space="preserve">Context server for associating information with a media object based on context </t>
  </si>
  <si>
    <t>US2008126960</t>
  </si>
  <si>
    <t xml:space="preserve">Interactive virtual assistant </t>
  </si>
  <si>
    <t>WO02057896</t>
  </si>
  <si>
    <t xml:space="preserve">Moving competition navigation system, moving competition control center system and program recording medium therefor </t>
  </si>
  <si>
    <t>JP2000300711</t>
  </si>
  <si>
    <t xml:space="preserve">Image processing system, method and image mechanism for correlating position data with image data </t>
  </si>
  <si>
    <t>CN1699924</t>
  </si>
  <si>
    <t xml:space="preserve">Method and system for providing content based on location data </t>
  </si>
  <si>
    <t>US2014129949</t>
  </si>
  <si>
    <t xml:space="preserve">Railroad user information providing system and information providing method </t>
  </si>
  <si>
    <t>JP2003101455</t>
  </si>
  <si>
    <t xml:space="preserve">Multi-nonlinear story interactive content system </t>
  </si>
  <si>
    <t>US2011093560</t>
  </si>
  <si>
    <t xml:space="preserve">Criteria-associated media content </t>
  </si>
  <si>
    <t>US9131339</t>
  </si>
  <si>
    <t xml:space="preserve">Automated advertisement and guiding apparatus and method using rf tag </t>
  </si>
  <si>
    <t>KR100923975</t>
  </si>
  <si>
    <t xml:space="preserve">Navigation system with a hearing device </t>
  </si>
  <si>
    <t>US2014107916</t>
  </si>
  <si>
    <t xml:space="preserve">Web guide </t>
  </si>
  <si>
    <t>US2010332616</t>
  </si>
  <si>
    <t xml:space="preserve">System and method for holding event </t>
  </si>
  <si>
    <t>JP2005149010</t>
  </si>
  <si>
    <t xml:space="preserve">Service information providing method, service information providing apparatus and system </t>
  </si>
  <si>
    <t>US2001042125</t>
  </si>
  <si>
    <t xml:space="preserve">Agricultural spraying boom </t>
  </si>
  <si>
    <t>EP0118366</t>
  </si>
  <si>
    <t xml:space="preserve">Stop device, on-vehicle device, operation management device and operation management system </t>
  </si>
  <si>
    <t>JP2011227550</t>
  </si>
  <si>
    <t xml:space="preserve">System for planning and guiding a travel route </t>
  </si>
  <si>
    <t>EP1128163</t>
  </si>
  <si>
    <t xml:space="preserve">Electromechanical lock </t>
  </si>
  <si>
    <t>EP0148701</t>
  </si>
  <si>
    <t xml:space="preserve">Broadcast receiver, information distribution server device, and program </t>
  </si>
  <si>
    <t>JP2008124857</t>
  </si>
  <si>
    <t xml:space="preserve">Method, system and device of subscribing position-related information </t>
  </si>
  <si>
    <t>CN101677327</t>
  </si>
  <si>
    <t xml:space="preserve">Systems, methods, and media for presenting interactive checklists </t>
  </si>
  <si>
    <t>US2014281967</t>
  </si>
  <si>
    <t xml:space="preserve">System and method for displaying an object within a virtual environment </t>
  </si>
  <si>
    <t>US2013271457</t>
  </si>
  <si>
    <t xml:space="preserve">Map with media icons </t>
  </si>
  <si>
    <t>US2012141046</t>
  </si>
  <si>
    <t xml:space="preserve">Touch-based exploration of maps for screen reader users </t>
  </si>
  <si>
    <t>US2013332070</t>
  </si>
  <si>
    <t xml:space="preserve">Machine-outil a chariot monte mobile sur un guide, et notamment tour </t>
  </si>
  <si>
    <t>FR2555925</t>
  </si>
  <si>
    <t xml:space="preserve">MAT-Mobile Audio Tour-Komplettsystem fÃ¼r FÃ¼hrungen, Kommunikation, Navigation, Verwaltung von Daten, elektronische Geldabwicklung, Unterhaltung von Touristen </t>
  </si>
  <si>
    <t>DE102006015292</t>
  </si>
  <si>
    <t xml:space="preserve">Embarreur pour tour </t>
  </si>
  <si>
    <t>EP0559586</t>
  </si>
  <si>
    <t xml:space="preserve">Mecanisme de commande des ailes de traction </t>
  </si>
  <si>
    <t>FR2781195</t>
  </si>
  <si>
    <t xml:space="preserve">Dispositif d'amenee et d'echange d'un tube de coulee </t>
  </si>
  <si>
    <t>WO9200822</t>
  </si>
  <si>
    <t xml:space="preserve">UnitÃ© mobile autoguidÃ©e et appareil de nettoyage tel qu'un aspirateur comportant une telle unitÃ© </t>
  </si>
  <si>
    <t>EP0274310</t>
  </si>
  <si>
    <t xml:space="preserve">Derailleur a commande electrique </t>
  </si>
  <si>
    <t>FR2587079</t>
  </si>
  <si>
    <t xml:space="preserve">Procede et dispositif de liaison fond-surface par conduite sous-marine installee a grande profondeur </t>
  </si>
  <si>
    <t>WO0049267</t>
  </si>
  <si>
    <t xml:space="preserve">ProcÃ©dÃ© utilisant l'Ã©nergie thermique solaire couplÃ©e Ã  des plasmas pour produire un carburant liquide et du dihydrogÃ¨ne Ã  partir de biomasse ou de charbon fossile (procÃ©dÃ© p-sl et p-sh) </t>
  </si>
  <si>
    <t>WO2009098375</t>
  </si>
  <si>
    <t xml:space="preserve">Dispositif de commande a indexation pour derailleur de cycle. </t>
  </si>
  <si>
    <t>FR2657062</t>
  </si>
  <si>
    <t xml:space="preserve">Antenne mobile directive Ã  commutation de polarisation par dÃ©placement de panneaux rayonnants </t>
  </si>
  <si>
    <t>EP2654126</t>
  </si>
  <si>
    <t xml:space="preserve">Installation de rÃ©paration d'assemblages de combustible nuclÃ©aire </t>
  </si>
  <si>
    <t>EP0109902</t>
  </si>
  <si>
    <t xml:space="preserve">Dispositif de mesure ou de controle de l'usinage d'une piece cylindrique a mouvement orbital </t>
  </si>
  <si>
    <t>WO9713614</t>
  </si>
  <si>
    <t xml:space="preserve">ProcÃ©dÃ© et machine Ã  coudre pour piquer des couches superposÃ©es appelÃ©es depuis des rouleaux de matiÃ¨re puis coupÃ©es transversalement aprÃ¨s piquage </t>
  </si>
  <si>
    <t>EP0087395</t>
  </si>
  <si>
    <t xml:space="preserve">Dispositif pour sertir des Ã©lÃ©ments de connexion sur des conducteurs Ã©lectriques et systÃ¨me de sertissage automatique comportant un tel dispositif </t>
  </si>
  <si>
    <t>EP0415831</t>
  </si>
  <si>
    <t xml:space="preserve">PiÃ¨ce de contact pour connecteur Ã©lÃ©ctrique </t>
  </si>
  <si>
    <t>EP1133010</t>
  </si>
  <si>
    <t xml:space="preserve">Appareil pour la pose d'attaches, par exemple pour l'attachage de la vigne </t>
  </si>
  <si>
    <t>EP0763323</t>
  </si>
  <si>
    <t xml:space="preserve">Dispositif Ã  amplitude variable pour la levÃ©e d'au moins une soupape de moteur Ã  combustion interne </t>
  </si>
  <si>
    <t>EP0462853</t>
  </si>
  <si>
    <t xml:space="preserve">Appareils pour rendre potable, par sterilisation, l'eau brute, et la distribuer, a differentes temperatures </t>
  </si>
  <si>
    <t>FR2607129</t>
  </si>
  <si>
    <t xml:space="preserve">Perfectionnement aux systÃ¨mes enrouleurs de focs </t>
  </si>
  <si>
    <t>EP0008560</t>
  </si>
  <si>
    <t xml:space="preserve">Dispositif de fixation en aveugle pour l'assemblage d'au moins deux piÃ¨ces telles que des tÃ´les </t>
  </si>
  <si>
    <t>EP0268510</t>
  </si>
  <si>
    <t xml:space="preserve">Electronic tour guide and photo location finder </t>
  </si>
  <si>
    <t>US6459388</t>
  </si>
  <si>
    <t xml:space="preserve">Electronic guide system, contents server for electronic guide system, portable electronic guide device, and information processing method for electronic guide system </t>
  </si>
  <si>
    <t>US7130742</t>
  </si>
  <si>
    <t>US2004070602</t>
  </si>
  <si>
    <t xml:space="preserve">Electronic tour guide system used for tour community </t>
  </si>
  <si>
    <t>CN101178867</t>
  </si>
  <si>
    <t xml:space="preserve">Intelligent tour guide system based on radio-frequency identification technology </t>
  </si>
  <si>
    <t>CN102496340</t>
  </si>
  <si>
    <t xml:space="preserve">Electronic guide system based on ZigBee </t>
  </si>
  <si>
    <t>CN201238313</t>
  </si>
  <si>
    <t xml:space="preserve">Apparatus and method for guided tour </t>
  </si>
  <si>
    <t>US2008129528</t>
  </si>
  <si>
    <t xml:space="preserve">A multi-function electronic guiding system </t>
  </si>
  <si>
    <t>CN101145997</t>
  </si>
  <si>
    <t xml:space="preserve">Multi-functional electronic tour guide system </t>
  </si>
  <si>
    <t>CN201601683</t>
  </si>
  <si>
    <t xml:space="preserve">Portable tour guide device </t>
  </si>
  <si>
    <t>CN2650289</t>
  </si>
  <si>
    <t xml:space="preserve">Exhibition hall multi-country languages tour guiding device based on wireless positioning </t>
  </si>
  <si>
    <t>CN2840524</t>
  </si>
  <si>
    <t xml:space="preserve">Tour-guide explanation system based on wireless networks </t>
  </si>
  <si>
    <t>CN203039921</t>
  </si>
  <si>
    <t xml:space="preserve">Portable multimedia tour guide machine and tour guide system </t>
  </si>
  <si>
    <t>CN201716959</t>
  </si>
  <si>
    <t xml:space="preserve">Electronic guide device </t>
  </si>
  <si>
    <t>CN201465326</t>
  </si>
  <si>
    <t xml:space="preserve">Digital electronic guide browsing system and method thereof </t>
  </si>
  <si>
    <t>CN1359078</t>
  </si>
  <si>
    <t xml:space="preserve">Multi-language tour guide equipment </t>
  </si>
  <si>
    <t>CN201845532</t>
  </si>
  <si>
    <t xml:space="preserve">Personal electronic guider </t>
  </si>
  <si>
    <t>CN2662403</t>
  </si>
  <si>
    <t xml:space="preserve">Intelligent electronic tour guide system and method </t>
  </si>
  <si>
    <t>CN106792546</t>
  </si>
  <si>
    <t xml:space="preserve">Intelligent guider interpretation system and its operating method </t>
  </si>
  <si>
    <t>CN101018062</t>
  </si>
  <si>
    <t xml:space="preserve">House tour guide system </t>
  </si>
  <si>
    <t>US2005086158</t>
  </si>
  <si>
    <t xml:space="preserve">Automatic digital TTS tour guide device </t>
  </si>
  <si>
    <t>CN2739756</t>
  </si>
  <si>
    <t xml:space="preserve">Electronic guide terminal device for precision position and electronic guide method </t>
  </si>
  <si>
    <t>CN1913403</t>
  </si>
  <si>
    <t xml:space="preserve">Self-adaptive location type self-service tour guide system </t>
  </si>
  <si>
    <t>CN202307057</t>
  </si>
  <si>
    <t xml:space="preserve">Electronic travel guidance system </t>
  </si>
  <si>
    <t>CN201270135</t>
  </si>
  <si>
    <t xml:space="preserve">Intelligent electronic guide device </t>
  </si>
  <si>
    <t>CN2881784</t>
  </si>
  <si>
    <t xml:space="preserve">Wireless electronic voice traveling guide device </t>
  </si>
  <si>
    <t>CN2165579</t>
  </si>
  <si>
    <t xml:space="preserve">Map type electronic guide machine </t>
  </si>
  <si>
    <t>CN201477850</t>
  </si>
  <si>
    <t xml:space="preserve">Quick -witted system of type electron guide prevents losing </t>
  </si>
  <si>
    <t>CN205334705</t>
  </si>
  <si>
    <t xml:space="preserve">Electronic automatic interpretation system for tourism landscape and exhibition </t>
  </si>
  <si>
    <t>CN101026380</t>
  </si>
  <si>
    <t xml:space="preserve">Tour guide system </t>
  </si>
  <si>
    <t>KR200215743</t>
  </si>
  <si>
    <t xml:space="preserve">Electric tourist guide system </t>
  </si>
  <si>
    <t>CN201044161</t>
  </si>
  <si>
    <t xml:space="preserve">Watch with electronic tourist guide </t>
  </si>
  <si>
    <t>EP0990963</t>
  </si>
  <si>
    <t xml:space="preserve">Portable multimedia audio-video tour guide device </t>
  </si>
  <si>
    <t>CN201251914</t>
  </si>
  <si>
    <t xml:space="preserve">Automatic electronic tourist guide description device </t>
  </si>
  <si>
    <t>CN203102807</t>
  </si>
  <si>
    <t xml:space="preserve">Electronic guide system </t>
  </si>
  <si>
    <t>CN202615751</t>
  </si>
  <si>
    <t xml:space="preserve">Portable radio frequency identification integrated management control method of electronic guide communication </t>
  </si>
  <si>
    <t>CN102664641</t>
  </si>
  <si>
    <t xml:space="preserve">Solar tour guide-vehicle guide system </t>
  </si>
  <si>
    <t>CN203318315</t>
  </si>
  <si>
    <t xml:space="preserve">Multimedia electric guide system </t>
  </si>
  <si>
    <t>CN203134315</t>
  </si>
  <si>
    <t xml:space="preserve">Wireless electronic tourist guide explainer </t>
  </si>
  <si>
    <t>CN202887666</t>
  </si>
  <si>
    <t xml:space="preserve">Electronics guide device for tourism </t>
  </si>
  <si>
    <t>CN206471099</t>
  </si>
  <si>
    <t xml:space="preserve">Sightseeing guide apparatus using GPS and electronic map </t>
  </si>
  <si>
    <t>KR101029433</t>
  </si>
  <si>
    <t xml:space="preserve">Tourism guide service system based on RFID technology </t>
  </si>
  <si>
    <t>CN103886404</t>
  </si>
  <si>
    <t xml:space="preserve">Tour guide system and method having translation function and based on recorder pen </t>
  </si>
  <si>
    <t>CN102930806</t>
  </si>
  <si>
    <t xml:space="preserve">Special electricity taking trolley for single-rail guiding rubber wheel electric tour bus </t>
  </si>
  <si>
    <t>CN104442408</t>
  </si>
  <si>
    <t xml:space="preserve">Solar wireless electronic tourist guide system </t>
  </si>
  <si>
    <t>CN204257172</t>
  </si>
  <si>
    <t xml:space="preserve">Electronic tour guiding receiver adopting phaselocking loop </t>
  </si>
  <si>
    <t>CN2697953</t>
  </si>
  <si>
    <t xml:space="preserve">Portable self-help electronic tourist guide machine </t>
  </si>
  <si>
    <t>CN203895092</t>
  </si>
  <si>
    <t xml:space="preserve">Adaptive localization self-help tour guide method and system </t>
  </si>
  <si>
    <t>CN102354475</t>
  </si>
  <si>
    <t xml:space="preserve">Electron guide system with visitor's function of promptly seeking help </t>
  </si>
  <si>
    <t>CN205282041</t>
  </si>
  <si>
    <t xml:space="preserve">Intelligent tourist attraction guide system based on high-precision positioning </t>
  </si>
  <si>
    <t>CN201383150</t>
  </si>
  <si>
    <t xml:space="preserve">Guide method based on geographical positions </t>
  </si>
  <si>
    <t>CN103413509</t>
  </si>
  <si>
    <t xml:space="preserve">Intelligent wireless tour-guide system and navigation method thereof or navigator using method </t>
  </si>
  <si>
    <t>CN102779470</t>
  </si>
  <si>
    <t xml:space="preserve">Audio electronic guider </t>
  </si>
  <si>
    <t>CN201927316</t>
  </si>
  <si>
    <t xml:space="preserve">Open electronic voice guiding apparatus </t>
  </si>
  <si>
    <t>CN2503558</t>
  </si>
  <si>
    <t xml:space="preserve">Guide system based on geographical positions </t>
  </si>
  <si>
    <t>CN103413510</t>
  </si>
  <si>
    <t xml:space="preserve">Coin-feed electronic guide device </t>
  </si>
  <si>
    <t>CN2650248</t>
  </si>
  <si>
    <t xml:space="preserve">Electronic travel guide of the user portable terminal </t>
  </si>
  <si>
    <t>JP4731930</t>
  </si>
  <si>
    <t xml:space="preserve">Wireless tour guide headphones, transmitter and system </t>
  </si>
  <si>
    <t>CN104616222</t>
  </si>
  <si>
    <t xml:space="preserve">Intelligent electrical tourist guiding apparatus </t>
  </si>
  <si>
    <t>CN2496193</t>
  </si>
  <si>
    <t xml:space="preserve">Self-service tour guide and navigation terminal and method for optimally selecting tour guide and navigation information </t>
  </si>
  <si>
    <t>CN101619981</t>
  </si>
  <si>
    <t xml:space="preserve">Electron guide device based on microprocessor OMAP3515 </t>
  </si>
  <si>
    <t>CN204791893</t>
  </si>
  <si>
    <t xml:space="preserve">Electronic tourist guide instrument </t>
  </si>
  <si>
    <t>CN104167151</t>
  </si>
  <si>
    <t xml:space="preserve">Personal tour guide system </t>
  </si>
  <si>
    <t>US2001023387</t>
  </si>
  <si>
    <t xml:space="preserve">Automatic control method of wide area tour information and tour information system </t>
  </si>
  <si>
    <t>CN1831911</t>
  </si>
  <si>
    <t xml:space="preserve">System for marketing goods and services utilizing computerized central and remote facilities </t>
  </si>
  <si>
    <t>US2003036980</t>
  </si>
  <si>
    <t xml:space="preserve">Electronic commenting machine </t>
  </si>
  <si>
    <t>CN2446626</t>
  </si>
  <si>
    <t xml:space="preserve">Kinds of tourism signed electronic contract system </t>
  </si>
  <si>
    <t>CN207676377</t>
  </si>
  <si>
    <t xml:space="preserve">Embedded intelligent wireless multimedia electronic guiding system </t>
  </si>
  <si>
    <t>CN101388165</t>
  </si>
  <si>
    <t xml:space="preserve">Electron guide device and control circuit thereof </t>
  </si>
  <si>
    <t>CN207381064</t>
  </si>
  <si>
    <t xml:space="preserve">Electronic tourist guiding system based on RF control </t>
  </si>
  <si>
    <t>CN102708768</t>
  </si>
  <si>
    <t xml:space="preserve">Intelligent tour guide system </t>
  </si>
  <si>
    <t>CN202133405</t>
  </si>
  <si>
    <t xml:space="preserve">Combi-SIM card framework of electronic purse combining non-contacting transceiver of mobile device </t>
  </si>
  <si>
    <t>US2009036166</t>
  </si>
  <si>
    <t xml:space="preserve">Processing method against signal overlay in guide and navigation system </t>
  </si>
  <si>
    <t>CN101212779</t>
  </si>
  <si>
    <t xml:space="preserve">Portable touring information machine </t>
  </si>
  <si>
    <t>CN201011569</t>
  </si>
  <si>
    <t xml:space="preserve">Method and system for providing user interface for electronic program guide </t>
  </si>
  <si>
    <t>US6445398</t>
  </si>
  <si>
    <t xml:space="preserve">Intelligent off-line electronic guide instrument </t>
  </si>
  <si>
    <t>CN104183186</t>
  </si>
  <si>
    <t>CN207381062</t>
  </si>
  <si>
    <t xml:space="preserve">Guide system based on radio and with translating function </t>
  </si>
  <si>
    <t>CN202871247</t>
  </si>
  <si>
    <t xml:space="preserve">Self-help tour guide machine based on Internet of Things technology </t>
  </si>
  <si>
    <t>CN202067509</t>
  </si>
  <si>
    <t xml:space="preserve">Electronic guide map utilizing infrared two-dimensional lattice codes </t>
  </si>
  <si>
    <t>CN203026040</t>
  </si>
  <si>
    <t xml:space="preserve">Globel travel information terminal navigation method </t>
  </si>
  <si>
    <t>CN1359227</t>
  </si>
  <si>
    <t xml:space="preserve">Digital package for tourists on organized tours with tourist guide </t>
  </si>
  <si>
    <t>US2014046808</t>
  </si>
  <si>
    <t xml:space="preserve">Portable tour group interpersonal interaction instrument </t>
  </si>
  <si>
    <t>CN201523379</t>
  </si>
  <si>
    <t xml:space="preserve">Tourist guiding server </t>
  </si>
  <si>
    <t>CN200969117</t>
  </si>
  <si>
    <t>JP4683943</t>
  </si>
  <si>
    <t xml:space="preserve">Wireless tour guide device </t>
  </si>
  <si>
    <t>CN101110613</t>
  </si>
  <si>
    <t xml:space="preserve">Radio with function of scenic spot guide </t>
  </si>
  <si>
    <t>CN202978971</t>
  </si>
  <si>
    <t xml:space="preserve">Intelligent tour guiding instrument </t>
  </si>
  <si>
    <t>CN203276786</t>
  </si>
  <si>
    <t xml:space="preserve">Coin feeding type electronic language sound travel guiding device </t>
  </si>
  <si>
    <t>CN2156565</t>
  </si>
  <si>
    <t xml:space="preserve">Intelligent tourist guide system </t>
  </si>
  <si>
    <t>CN201936577</t>
  </si>
  <si>
    <t xml:space="preserve">Automatic global guide interpreting system </t>
  </si>
  <si>
    <t>CN1819524</t>
  </si>
  <si>
    <t xml:space="preserve">Self-generating tourism information guide device </t>
  </si>
  <si>
    <t>CN204117557</t>
  </si>
  <si>
    <t xml:space="preserve">Electronic menu system with audio output for the visually impaired </t>
  </si>
  <si>
    <t>US7930212</t>
  </si>
  <si>
    <t xml:space="preserve">Method for displaying and reproducing electronic publication recorded on random access record medium, information equipment for actualizing the same method, and computer-readable record medium in which the same method is programmed and recorded </t>
  </si>
  <si>
    <t>JPH10307741</t>
  </si>
  <si>
    <t xml:space="preserve">Wireless tour guide system based on Zigbee technology </t>
  </si>
  <si>
    <t>CN202276465</t>
  </si>
  <si>
    <t xml:space="preserve">Interactive electronic dispaly, methods and apparatus for targeted propagation of sign content, systems for capturing and sending photographs and video, as a means of integrated customer service, information capture and marketing </t>
  </si>
  <si>
    <t>US2006170670</t>
  </si>
  <si>
    <t xml:space="preserve">Guided tour audio communication systems having optical reader programming </t>
  </si>
  <si>
    <t>US2017323575</t>
  </si>
  <si>
    <t xml:space="preserve">Intelligent voice electronic guide machine </t>
  </si>
  <si>
    <t>CN2836164</t>
  </si>
  <si>
    <t xml:space="preserve">Portable self -service pronunciation guide to visitors device and system </t>
  </si>
  <si>
    <t>CN204791892</t>
  </si>
  <si>
    <t xml:space="preserve">Electronic guide broadcaster </t>
  </si>
  <si>
    <t>CN2298582</t>
  </si>
  <si>
    <t xml:space="preserve">Novel take positional information's electron guide device </t>
  </si>
  <si>
    <t>CN204857139</t>
  </si>
  <si>
    <t xml:space="preserve">Wireless guide system of digit </t>
  </si>
  <si>
    <t>CN204946509</t>
  </si>
  <si>
    <t xml:space="preserve">Scalable integrated electronic control unit for vehicle </t>
  </si>
  <si>
    <t>WO2010144900</t>
  </si>
  <si>
    <t xml:space="preserve">Multi-language universal electronic guide </t>
  </si>
  <si>
    <t>CN1111308</t>
  </si>
  <si>
    <t xml:space="preserve">Intelligent guide system for a tour vehicle </t>
  </si>
  <si>
    <t>CN103332153</t>
  </si>
  <si>
    <t xml:space="preserve">Positioning device of self-service guide system </t>
  </si>
  <si>
    <t>CN202305820</t>
  </si>
  <si>
    <t xml:space="preserve">An electronic navigation device </t>
  </si>
  <si>
    <t>CN201259770</t>
  </si>
  <si>
    <t xml:space="preserve">Intelligent tour guide system based on distance priority, and scenic spot data download method thereof </t>
  </si>
  <si>
    <t>CN102980588</t>
  </si>
  <si>
    <t xml:space="preserve">Intelligent dragoman explaining system </t>
  </si>
  <si>
    <t>CN201042003</t>
  </si>
  <si>
    <t xml:space="preserve">Electronic travel guiding machine </t>
  </si>
  <si>
    <t>CN2532626</t>
  </si>
  <si>
    <t xml:space="preserve">Internet-of-things-based scenic spot visitor information interaction system </t>
  </si>
  <si>
    <t>CN102231870</t>
  </si>
  <si>
    <t xml:space="preserve">Multifunctional electronic service kiosk </t>
  </si>
  <si>
    <t>CN2520366</t>
  </si>
  <si>
    <t xml:space="preserve">Method and system for registering tour guide navigation terminal </t>
  </si>
  <si>
    <t>CN101715191</t>
  </si>
  <si>
    <t xml:space="preserve">Information interaction method based on information physical system and radio frequency technique </t>
  </si>
  <si>
    <t>CN102129584</t>
  </si>
  <si>
    <t xml:space="preserve">Hand-hold automatic broadcasting multimedia guide machine </t>
  </si>
  <si>
    <t>CN200976252</t>
  </si>
  <si>
    <t xml:space="preserve">Visual electron guide to visitors system of LED optical transmission </t>
  </si>
  <si>
    <t>CN205069075</t>
  </si>
  <si>
    <t xml:space="preserve">Tourist guide system using MP4 for broadcast </t>
  </si>
  <si>
    <t>CN202855252</t>
  </si>
  <si>
    <t xml:space="preserve">Automatic tour guide device </t>
  </si>
  <si>
    <t>CN201780590</t>
  </si>
  <si>
    <t xml:space="preserve">Electronic guiding device with position information </t>
  </si>
  <si>
    <t>CN203659393</t>
  </si>
  <si>
    <t xml:space="preserve">Guide system based on MP3 and with translating function </t>
  </si>
  <si>
    <t>CN202871248</t>
  </si>
  <si>
    <t xml:space="preserve">Guide system based on MP4 and with translating function </t>
  </si>
  <si>
    <t>CN202871253</t>
  </si>
  <si>
    <t xml:space="preserve">Guide system based on voice recording pen and with translating function </t>
  </si>
  <si>
    <t>CN202871252</t>
  </si>
  <si>
    <t xml:space="preserve">Tourist guide system using recording pen for voice broadcast </t>
  </si>
  <si>
    <t>CN202855250</t>
  </si>
  <si>
    <t xml:space="preserve">Intelligent tour guiding system for tour guiding vehicle </t>
  </si>
  <si>
    <t>CN102320248</t>
  </si>
  <si>
    <t xml:space="preserve">Multimedia computer screen for displaying passagers </t>
  </si>
  <si>
    <t>CN2393752</t>
  </si>
  <si>
    <t xml:space="preserve">Portable tour guide sound amplifying system </t>
  </si>
  <si>
    <t>CN202353811</t>
  </si>
  <si>
    <t xml:space="preserve">Portable interpersonal interactive system for tourist party </t>
  </si>
  <si>
    <t>CN101640576</t>
  </si>
  <si>
    <t xml:space="preserve">Intelligent audio guide </t>
  </si>
  <si>
    <t>CN203118401</t>
  </si>
  <si>
    <t xml:space="preserve">Intelligent guide device for travelling </t>
  </si>
  <si>
    <t>CN204315208</t>
  </si>
  <si>
    <t xml:space="preserve">Infrared sending code receiving system for electronic guide machine </t>
  </si>
  <si>
    <t>CN2775941</t>
  </si>
  <si>
    <t xml:space="preserve">System for marketing foods and services utilizing computerized centraland remote facilities </t>
  </si>
  <si>
    <t>US6055514</t>
  </si>
  <si>
    <t xml:space="preserve">Tour Contents Providing System and Method, and Electronic Device supporting the same </t>
  </si>
  <si>
    <t>KR101593133</t>
  </si>
  <si>
    <t xml:space="preserve">Intelligent wireless electronic interpreter </t>
  </si>
  <si>
    <t>CN200983584</t>
  </si>
  <si>
    <t xml:space="preserve">A electron chest card for travel party </t>
  </si>
  <si>
    <t>CN204613995</t>
  </si>
  <si>
    <t xml:space="preserve">Multimedia electronic map real-time navigator </t>
  </si>
  <si>
    <t>CN201251446</t>
  </si>
  <si>
    <t xml:space="preserve">Multimedia electronic map device </t>
  </si>
  <si>
    <t>CN201251885</t>
  </si>
  <si>
    <t xml:space="preserve">Electronic television program schedule guide system and method perform a data feed access </t>
  </si>
  <si>
    <t>JP3228754</t>
  </si>
  <si>
    <t xml:space="preserve">Electronic direction detector for intelligent apparatus for guiding sightseeing tour </t>
  </si>
  <si>
    <t>CN2849659</t>
  </si>
  <si>
    <t xml:space="preserve">Electronic device and navigation method for tracking target device </t>
  </si>
  <si>
    <t>US2014067255</t>
  </si>
  <si>
    <t xml:space="preserve">Electronic television program schedule guide system and method which comprises a virtual channel </t>
  </si>
  <si>
    <t>JP3512195</t>
  </si>
  <si>
    <t xml:space="preserve">Hand automatic audio guide apparatus </t>
  </si>
  <si>
    <t>CN200972655</t>
  </si>
  <si>
    <t>US7379900</t>
  </si>
  <si>
    <t xml:space="preserve">System and method for retrieving information using position coordinates </t>
  </si>
  <si>
    <t>US6731239</t>
  </si>
  <si>
    <t xml:space="preserve">System for vending electronic guide devices </t>
  </si>
  <si>
    <t>US2008005224</t>
  </si>
  <si>
    <t xml:space="preserve">System and method for providing structured tours of hypertext files </t>
  </si>
  <si>
    <t>US5760771</t>
  </si>
  <si>
    <t xml:space="preserve">Coded data carrier and reader and electronic security tour system employing same </t>
  </si>
  <si>
    <t>US4625100</t>
  </si>
  <si>
    <t xml:space="preserve">Sight-seeing tour guide system </t>
  </si>
  <si>
    <t>EP0672890</t>
  </si>
  <si>
    <t xml:space="preserve">Multi-frequency point information transmitting/receiving apparatus for group tour </t>
  </si>
  <si>
    <t>CN2621362</t>
  </si>
  <si>
    <t xml:space="preserve">Tour guide system and method </t>
  </si>
  <si>
    <t>KR20010087962</t>
  </si>
  <si>
    <t xml:space="preserve">User interface and navigator for interactive television </t>
  </si>
  <si>
    <t>US2002069415</t>
  </si>
  <si>
    <t xml:space="preserve">Vending of an electronic guide device and system therefore </t>
  </si>
  <si>
    <t>WO2007137067</t>
  </si>
  <si>
    <t xml:space="preserve">Location-relevant real-time multimedia delivery and control and editing systems and methods </t>
  </si>
  <si>
    <t>US2007208749</t>
  </si>
  <si>
    <t xml:space="preserve">Receiver </t>
  </si>
  <si>
    <t>JP2003101900</t>
  </si>
  <si>
    <t xml:space="preserve">Electronic information display controller and its method </t>
  </si>
  <si>
    <t>JPH09214905</t>
  </si>
  <si>
    <t xml:space="preserve">System and method for managing interactions between users in a browser-based telecommunications network </t>
  </si>
  <si>
    <t>US6144991</t>
  </si>
  <si>
    <t xml:space="preserve">Electronic camera with liquid crystal display </t>
  </si>
  <si>
    <t>EP0917359</t>
  </si>
  <si>
    <t xml:space="preserve">Interactive personal interpretive device and system for retrieving information about a plurality of objects </t>
  </si>
  <si>
    <t>US5929848</t>
  </si>
  <si>
    <t xml:space="preserve">Electronic-automatic orientation device for walkers and the blind </t>
  </si>
  <si>
    <t>US4991126</t>
  </si>
  <si>
    <t xml:space="preserve">Electronic book with multimode I/O </t>
  </si>
  <si>
    <t>US7107533</t>
  </si>
  <si>
    <t xml:space="preserve">IC card processing system and processing method </t>
  </si>
  <si>
    <t>US6359699</t>
  </si>
  <si>
    <t xml:space="preserve">Dynamic customized web tours </t>
  </si>
  <si>
    <t>US6572662</t>
  </si>
  <si>
    <t xml:space="preserve">Method for implementing area navigation through reading image code </t>
  </si>
  <si>
    <t>CN101430203</t>
  </si>
  <si>
    <t xml:space="preserve">Tour schedule processor for moving bodies </t>
  </si>
  <si>
    <t>US5819227</t>
  </si>
  <si>
    <t xml:space="preserve">Work attendance method and work attendance machine for tourism visitor </t>
  </si>
  <si>
    <t>CN101436317</t>
  </si>
  <si>
    <t xml:space="preserve">Apparatus and method for creating a virtual three-dimensional environment, and method of generating revenue therefrom </t>
  </si>
  <si>
    <t>US7570261</t>
  </si>
  <si>
    <t xml:space="preserve">Automatic guiding method </t>
  </si>
  <si>
    <t>CN1897559</t>
  </si>
  <si>
    <t xml:space="preserve">Navigation information presenting apparatus and method thereof </t>
  </si>
  <si>
    <t>US6381534</t>
  </si>
  <si>
    <t xml:space="preserve">Virtual surgery input device </t>
  </si>
  <si>
    <t>US5800178</t>
  </si>
  <si>
    <t xml:space="preserve">HTML guided web tour </t>
  </si>
  <si>
    <t>US6009429</t>
  </si>
  <si>
    <t xml:space="preserve">Interactive electronic program guide for use with television delivery system </t>
  </si>
  <si>
    <t>US7363645</t>
  </si>
  <si>
    <t xml:space="preserve">Personal information system using proximity-based short-range wireless links </t>
  </si>
  <si>
    <t>US6487180</t>
  </si>
  <si>
    <t xml:space="preserve">Integrated vehicle navigation, communications and entertainment system </t>
  </si>
  <si>
    <t>US6055478</t>
  </si>
  <si>
    <t xml:space="preserve">Guided instructional cardiovascular exercise with accompaniment </t>
  </si>
  <si>
    <t>US6672991</t>
  </si>
  <si>
    <t>US2013083011</t>
  </si>
  <si>
    <t xml:space="preserve">Method for generating a path in an arbitrary physical structure </t>
  </si>
  <si>
    <t>US5963948</t>
  </si>
  <si>
    <t xml:space="preserve">Method and system for providing selectable programming in a multi-screen mode </t>
  </si>
  <si>
    <t>US6492997</t>
  </si>
  <si>
    <t xml:space="preserve">Linking of computers based on optical sensing of digital data </t>
  </si>
  <si>
    <t>US6311214</t>
  </si>
  <si>
    <t xml:space="preserve">Augmented reality vision systems which derive image information from other vision system </t>
  </si>
  <si>
    <t>US6307556</t>
  </si>
  <si>
    <t xml:space="preserve">Augmented reality vision systems which derive image information from other vision systems </t>
  </si>
  <si>
    <t>US6278461</t>
  </si>
  <si>
    <t xml:space="preserve">Vehicle navigation system with location-based multi-media annotation </t>
  </si>
  <si>
    <t>US6360167</t>
  </si>
  <si>
    <t xml:space="preserve">System, apparatus and method for providing a portable customizable maintenance support computer communications system </t>
  </si>
  <si>
    <t>US6574672</t>
  </si>
  <si>
    <t xml:space="preserve">Methods and systems for interacting with physical objects </t>
  </si>
  <si>
    <t>US7837094</t>
  </si>
  <si>
    <t xml:space="preserve">Information processing apparatus and information processing method </t>
  </si>
  <si>
    <t>US6055536</t>
  </si>
  <si>
    <t xml:space="preserve">System, apparatus and method for providing maintenance instructions to a user at a remote location </t>
  </si>
  <si>
    <t>US6697894</t>
  </si>
  <si>
    <t xml:space="preserve">Reservation system terminal </t>
  </si>
  <si>
    <t>US5311425</t>
  </si>
  <si>
    <t xml:space="preserve">Ride vehicle control system </t>
  </si>
  <si>
    <t>US5473990</t>
  </si>
  <si>
    <t xml:space="preserve">Optical disc for coordinating the use of special reproduction functions and a reproduction device for the optical disk </t>
  </si>
  <si>
    <t>US5923627</t>
  </si>
  <si>
    <t xml:space="preserve">System, apparatus and method for providing a portable customizable maintenance support instruction system </t>
  </si>
  <si>
    <t>US6356437</t>
  </si>
  <si>
    <t xml:space="preserve">System and method of creating and following URL tours </t>
  </si>
  <si>
    <t>US7249315</t>
  </si>
  <si>
    <t xml:space="preserve">Method and system for providing dynamically changing programming categories </t>
  </si>
  <si>
    <t>US6452611</t>
  </si>
  <si>
    <t xml:space="preserve">Voice controlled messaging system and processing method </t>
  </si>
  <si>
    <t>US6088428</t>
  </si>
  <si>
    <t xml:space="preserve">Participant interaction with entertainment in real and virtual environments </t>
  </si>
  <si>
    <t>US7396281</t>
  </si>
  <si>
    <t>US8597570</t>
  </si>
  <si>
    <t>CN204833996</t>
  </si>
  <si>
    <t xml:space="preserve">Information sharing system for personal electronic time management systems </t>
  </si>
  <si>
    <t>US6396512</t>
  </si>
  <si>
    <t xml:space="preserve">Tourism guide to visitors device with heat dissipation mechanism </t>
  </si>
  <si>
    <t>CN207284036</t>
  </si>
  <si>
    <t>US6571281</t>
  </si>
  <si>
    <t xml:space="preserve">Intelligent tour guide system used in sightseeing bus </t>
  </si>
  <si>
    <t>CN201828269</t>
  </si>
  <si>
    <t xml:space="preserve">Tourism guide to visitors device with lifting adjusting mechanism </t>
  </si>
  <si>
    <t>CN207279187</t>
  </si>
  <si>
    <t xml:space="preserve">Programming device and method for controlling ride vehicles in an amusement attraction </t>
  </si>
  <si>
    <t>US5583844</t>
  </si>
  <si>
    <t xml:space="preserve">Electronic digital inventory computer </t>
  </si>
  <si>
    <t>US2995729</t>
  </si>
  <si>
    <t xml:space="preserve">Method and apparatus for decomposing drive error signal noise sources </t>
  </si>
  <si>
    <t>US5909661</t>
  </si>
  <si>
    <t xml:space="preserve">Core area territory planning for optimizing driver familiarity and route flexibility </t>
  </si>
  <si>
    <t>US7363126</t>
  </si>
  <si>
    <t xml:space="preserve">System and method for minimizing the amount of data necessary to create a virtual three-dimensional environment </t>
  </si>
  <si>
    <t>US2005128212</t>
  </si>
  <si>
    <t xml:space="preserve">Method, system, and computer program product for risk assessment and risk management </t>
  </si>
  <si>
    <t>US2002099586</t>
  </si>
  <si>
    <t xml:space="preserve">Travel and guide information system for recorded information </t>
  </si>
  <si>
    <t>DE19506890</t>
  </si>
  <si>
    <t xml:space="preserve">System and Method for Using Virtual Environments </t>
  </si>
  <si>
    <t>US2008086696</t>
  </si>
  <si>
    <t xml:space="preserve">Infrared tour-guiding system </t>
  </si>
  <si>
    <t>CN1405997</t>
  </si>
  <si>
    <t xml:space="preserve">Modular display system </t>
  </si>
  <si>
    <t>US2007000849</t>
  </si>
  <si>
    <t xml:space="preserve">Short-range wireless voice communication device applied to tour group management </t>
  </si>
  <si>
    <t>CN202334517</t>
  </si>
  <si>
    <t xml:space="preserve">System, Method, and Computer Program Product for Assembling and Displaying a Travel Itinerary </t>
  </si>
  <si>
    <t>US2009216633</t>
  </si>
  <si>
    <t xml:space="preserve">Apparatus and method for managing social games </t>
  </si>
  <si>
    <t>US7305398</t>
  </si>
  <si>
    <t xml:space="preserve">Systems and methods for accessing travel services using a portable electronic device </t>
  </si>
  <si>
    <t>US2010190510</t>
  </si>
  <si>
    <t xml:space="preserve">System, method, and computer program product for reducing the burden on an inventory system by assembling a suggested themed travel itinerary in response to minimal user input </t>
  </si>
  <si>
    <t>US2007143155</t>
  </si>
  <si>
    <t>US2008091482</t>
  </si>
  <si>
    <t xml:space="preserve">Electronic commerce using personal preferences </t>
  </si>
  <si>
    <t>US2005187786</t>
  </si>
  <si>
    <t xml:space="preserve">Method and apparatus for tracking sequences of an electrical device controllable from multiple locations </t>
  </si>
  <si>
    <t>US6917167</t>
  </si>
  <si>
    <t xml:space="preserve">Enhanced music services for television </t>
  </si>
  <si>
    <t>US2003023975</t>
  </si>
  <si>
    <t xml:space="preserve">Methods and systems for presenting a virtual representation of a real city </t>
  </si>
  <si>
    <t>US2001034661</t>
  </si>
  <si>
    <t xml:space="preserve">Relationship discovery engine </t>
  </si>
  <si>
    <t>US2002082901</t>
  </si>
  <si>
    <t xml:space="preserve">Paper products and physical objects as means to access and control a computer or to navigate over or act as a portal on a network </t>
  </si>
  <si>
    <t>US2005013462</t>
  </si>
  <si>
    <t xml:space="preserve">Method and apparatus for providing multilingual translation over a network </t>
  </si>
  <si>
    <t>US2001029455</t>
  </si>
  <si>
    <t xml:space="preserve">Information processing with integrated semantic contexts </t>
  </si>
  <si>
    <t>US2010005061</t>
  </si>
  <si>
    <t xml:space="preserve">Facilitating collaborative searching using semantic contexts associated with information </t>
  </si>
  <si>
    <t>US2010005087</t>
  </si>
  <si>
    <t xml:space="preserve">Systems and methods of on-line booking of cruises </t>
  </si>
  <si>
    <t>US2003004760</t>
  </si>
  <si>
    <t>US2002004755</t>
  </si>
  <si>
    <t xml:space="preserve">Program recommending apparatus and program recommending method </t>
  </si>
  <si>
    <t>US2009228424</t>
  </si>
  <si>
    <t xml:space="preserve">Electronic chronograph, especially in a watch </t>
  </si>
  <si>
    <t>EP0130150</t>
  </si>
  <si>
    <t xml:space="preserve">System for purchasing geographically distinctive items via a communications network </t>
  </si>
  <si>
    <t>US2003050815</t>
  </si>
  <si>
    <t xml:space="preserve">Interlinking sports and television program listing metadata </t>
  </si>
  <si>
    <t>US2006088276</t>
  </si>
  <si>
    <t xml:space="preserve">Shared experience of media content </t>
  </si>
  <si>
    <t>US2006221173</t>
  </si>
  <si>
    <t xml:space="preserve">Method and system for suggesting search queries on electronic devices </t>
  </si>
  <si>
    <t>US2009112848</t>
  </si>
  <si>
    <t xml:space="preserve">Transaction card with three-dimensional tipping guide </t>
  </si>
  <si>
    <t>US2011073660</t>
  </si>
  <si>
    <t xml:space="preserve">System and method of distance education </t>
  </si>
  <si>
    <t>US2001049087</t>
  </si>
  <si>
    <t xml:space="preserve">System, method, and device for authoring content for interactive agents </t>
  </si>
  <si>
    <t>US2002005865</t>
  </si>
  <si>
    <t xml:space="preserve">System and method of efficient web browsing </t>
  </si>
  <si>
    <t>US2008148193</t>
  </si>
  <si>
    <t xml:space="preserve">Group underwater towing device </t>
  </si>
  <si>
    <t>US5323727</t>
  </si>
  <si>
    <t>US2005246314</t>
  </si>
  <si>
    <t xml:space="preserve">Enhanced input peripheral </t>
  </si>
  <si>
    <t>US2005078088</t>
  </si>
  <si>
    <t xml:space="preserve">Dual-screen electronic machine with content parsing function and display method for distributing display data on the same </t>
  </si>
  <si>
    <t>US2009027301</t>
  </si>
  <si>
    <t xml:space="preserve">Navigation system </t>
  </si>
  <si>
    <t>US2009234577</t>
  </si>
  <si>
    <t xml:space="preserve">Electronic device and methods for reproducing mass media content and related content </t>
  </si>
  <si>
    <t>EP1708505</t>
  </si>
  <si>
    <t xml:space="preserve">Real estate communications and monitoring systems and methods for use by real estate agents </t>
  </si>
  <si>
    <t>US2009284578</t>
  </si>
  <si>
    <t xml:space="preserve">Watchman{3 s tour recording system </t>
  </si>
  <si>
    <t>US3922649</t>
  </si>
  <si>
    <t xml:space="preserve">Virtual interactive expert solution system </t>
  </si>
  <si>
    <t>US2002099679</t>
  </si>
  <si>
    <t xml:space="preserve">Consumer Driven Telecommunication Integrated System for Hospitality Application </t>
  </si>
  <si>
    <t>US2007214052</t>
  </si>
  <si>
    <t xml:space="preserve">Systems and methods for providing lighting solutions over a computer network </t>
  </si>
  <si>
    <t>US2003097309</t>
  </si>
  <si>
    <t xml:space="preserve">System for developing custom group tours </t>
  </si>
  <si>
    <t>US2005234749</t>
  </si>
  <si>
    <t xml:space="preserve">Interactive information and guide system for museums and exhibitions </t>
  </si>
  <si>
    <t>DE19747745</t>
  </si>
  <si>
    <t xml:space="preserve">Biodegradable polymer/protein based coils for intralumenal implants </t>
  </si>
  <si>
    <t>WO9944538</t>
  </si>
  <si>
    <t xml:space="preserve">Methods and systems for improved drilling operations using real-time and historical drilling data </t>
  </si>
  <si>
    <t>US2014116776</t>
  </si>
  <si>
    <t xml:space="preserve">Method and apparatus for editing electronic information, system for editing and providing electronic information, and editing and providing method for the same system </t>
  </si>
  <si>
    <t>JP2007058653</t>
  </si>
  <si>
    <t xml:space="preserve">Virtual universe avatar companion </t>
  </si>
  <si>
    <t>US2010083139</t>
  </si>
  <si>
    <t xml:space="preserve">Behavior data fee collection system </t>
  </si>
  <si>
    <t>US2002059092</t>
  </si>
  <si>
    <t xml:space="preserve">System and method for using virtual environments </t>
  </si>
  <si>
    <t>US2007220435</t>
  </si>
  <si>
    <t xml:space="preserve">Digital publishing and dynamic integration </t>
  </si>
  <si>
    <t>WO0002143</t>
  </si>
  <si>
    <t xml:space="preserve">Method for serving complex user requests </t>
  </si>
  <si>
    <t>US2005234726</t>
  </si>
  <si>
    <t>US2005234750</t>
  </si>
  <si>
    <t xml:space="preserve">Vehicle navigation system and method </t>
  </si>
  <si>
    <t>US6691026</t>
  </si>
  <si>
    <t xml:space="preserve">Pivoting gate equipment for passageways </t>
  </si>
  <si>
    <t>EP0075806</t>
  </si>
  <si>
    <t xml:space="preserve">System and Method for Providing Travel-Related Products and Services </t>
  </si>
  <si>
    <t>US2008021748</t>
  </si>
  <si>
    <t xml:space="preserve">Custom channels </t>
  </si>
  <si>
    <t>US2009320072</t>
  </si>
  <si>
    <t xml:space="preserve">Methods and systems for operating a display facility or other public space </t>
  </si>
  <si>
    <t>US7358959</t>
  </si>
  <si>
    <t xml:space="preserve">Broadcast terminal equipment and information supply system </t>
  </si>
  <si>
    <t>US2003046696</t>
  </si>
  <si>
    <t xml:space="preserve">Electronic public transport time table information system </t>
  </si>
  <si>
    <t>WO9600960</t>
  </si>
  <si>
    <t>US7330786</t>
  </si>
  <si>
    <t xml:space="preserve">Cleaning device for sunlight collecting devices in a solar thermal electric power generation system </t>
  </si>
  <si>
    <t>US2011126378</t>
  </si>
  <si>
    <t xml:space="preserve">Improved graphic user interface using method and device for executing interface to remote device </t>
  </si>
  <si>
    <t>JPH0798640</t>
  </si>
  <si>
    <t xml:space="preserve">Internet Art Community </t>
  </si>
  <si>
    <t>US2008235111</t>
  </si>
  <si>
    <t>US8027787</t>
  </si>
  <si>
    <t xml:space="preserve">Video Branching </t>
  </si>
  <si>
    <t>US2010088735</t>
  </si>
  <si>
    <t xml:space="preserve">A method and system for providing additional information to a user receiving a video or audio program </t>
  </si>
  <si>
    <t>EP1146739</t>
  </si>
  <si>
    <t xml:space="preserve">Method and system for navigating through content in an organized and categorized fashion </t>
  </si>
  <si>
    <t>WO9940506</t>
  </si>
  <si>
    <t xml:space="preserve">Reception system </t>
  </si>
  <si>
    <t>JP2003101893</t>
  </si>
  <si>
    <t xml:space="preserve">Universal intelligent group guidance system and method </t>
  </si>
  <si>
    <t>US5523737</t>
  </si>
  <si>
    <t xml:space="preserve">Wireless radio-frequency based self-service system </t>
  </si>
  <si>
    <t>CN1808463</t>
  </si>
  <si>
    <t>US2011043496</t>
  </si>
  <si>
    <t xml:space="preserve">Security guard recording system </t>
  </si>
  <si>
    <t>US3959633</t>
  </si>
  <si>
    <t xml:space="preserve">Information processing method, device and system </t>
  </si>
  <si>
    <t>CN101621738</t>
  </si>
  <si>
    <t xml:space="preserve">Method and system for using spatial metaphor to organize natural language in spoken user interfaces </t>
  </si>
  <si>
    <t>US2004037434</t>
  </si>
  <si>
    <t xml:space="preserve">plasma generator and process for its operation </t>
  </si>
  <si>
    <t>FR2539942</t>
  </si>
  <si>
    <t xml:space="preserve">Computer control from a physical / electronic objects, i.e. a method and system for linking the Internet resource </t>
  </si>
  <si>
    <t>JP2002544637</t>
  </si>
  <si>
    <t xml:space="preserve">Portable multi-medium intelligent terminal with wireless radio-frequency discriminating function </t>
  </si>
  <si>
    <t>CN101030341</t>
  </si>
  <si>
    <t xml:space="preserve">Electronic text manipulation and display </t>
  </si>
  <si>
    <t>CN102804182</t>
  </si>
  <si>
    <t xml:space="preserve">Automated management system for interactive digital television </t>
  </si>
  <si>
    <t>FR2726146</t>
  </si>
  <si>
    <t xml:space="preserve">Official trip support system </t>
  </si>
  <si>
    <t>JPH11143977</t>
  </si>
  <si>
    <t xml:space="preserve">Electronic security tour system </t>
  </si>
  <si>
    <t>US3990067</t>
  </si>
  <si>
    <t xml:space="preserve">Electronic property viewing system for providing virtual tours via a public communications network, and a method of exchanging the same </t>
  </si>
  <si>
    <t>US6839880</t>
  </si>
  <si>
    <t xml:space="preserve">Tour event clearinghouse system and method for interaction with retail travel systems </t>
  </si>
  <si>
    <t>US2007276707</t>
  </si>
  <si>
    <t xml:space="preserve">Supervised guard tour tracking systems and methods </t>
  </si>
  <si>
    <t>US7289023</t>
  </si>
  <si>
    <t xml:space="preserve">Supervised guard tour systems and methods </t>
  </si>
  <si>
    <t>US2004046654</t>
  </si>
  <si>
    <t xml:space="preserve">System and Method for Electronic Group Tour Reservation </t>
  </si>
  <si>
    <t>US2008215381</t>
  </si>
  <si>
    <t xml:space="preserve">Electronic signature capability in a gaming machine </t>
  </si>
  <si>
    <t>US6935951</t>
  </si>
  <si>
    <t xml:space="preserve">Electronic network for collective decision based on large number of connections between signals </t>
  </si>
  <si>
    <t>US4660166</t>
  </si>
  <si>
    <t xml:space="preserve">Sub-nanoscale electronic systems and devices </t>
  </si>
  <si>
    <t>US5475341</t>
  </si>
  <si>
    <t xml:space="preserve">Sub-nanoscale electronic devices and processes </t>
  </si>
  <si>
    <t>US6320200</t>
  </si>
  <si>
    <t xml:space="preserve">Wireless intelligent real estate sign and electronic lock box </t>
  </si>
  <si>
    <t>US6624742</t>
  </si>
  <si>
    <t xml:space="preserve">Worldwide casino tour promotion and acceptance system and method </t>
  </si>
  <si>
    <t>US6910968</t>
  </si>
  <si>
    <t xml:space="preserve">Systems and methods for training security officers </t>
  </si>
  <si>
    <t>US2010047756</t>
  </si>
  <si>
    <t xml:space="preserve">Method for conductance switching in molecular electronic junctions </t>
  </si>
  <si>
    <t>US6855950</t>
  </si>
  <si>
    <t xml:space="preserve">Interactive video tour system editor </t>
  </si>
  <si>
    <t>US7334190</t>
  </si>
  <si>
    <t xml:space="preserve">System and method for providing electronic event tickets </t>
  </si>
  <si>
    <t>US2010082491</t>
  </si>
  <si>
    <t xml:space="preserve">Electronic photo album editing apparatus </t>
  </si>
  <si>
    <t>US6111586</t>
  </si>
  <si>
    <t>US2005090314</t>
  </si>
  <si>
    <t xml:space="preserve">Electronic circuit device, system, and method </t>
  </si>
  <si>
    <t>US2002175390</t>
  </si>
  <si>
    <t xml:space="preserve">Chemical monolayer and micro-electronic junctions and devices containing same </t>
  </si>
  <si>
    <t>US2002105897</t>
  </si>
  <si>
    <t xml:space="preserve">Electronic keyboard </t>
  </si>
  <si>
    <t>US3129418</t>
  </si>
  <si>
    <t>US2008243624</t>
  </si>
  <si>
    <t xml:space="preserve">System and method for providing a guided tour of a web site </t>
  </si>
  <si>
    <t>US2001054089</t>
  </si>
  <si>
    <t xml:space="preserve">Electronic shopping system and method for defining electronic catalog data </t>
  </si>
  <si>
    <t>JPH10240823</t>
  </si>
  <si>
    <t xml:space="preserve">Electronic aid for reading practice </t>
  </si>
  <si>
    <t>US5888070</t>
  </si>
  <si>
    <t xml:space="preserve">Sub-nanoscale electronic systems, devices and processes </t>
  </si>
  <si>
    <t>WO9325003</t>
  </si>
  <si>
    <t xml:space="preserve">In-transit electronic media with Customized passenger-related content </t>
  </si>
  <si>
    <t>US2013074115</t>
  </si>
  <si>
    <t xml:space="preserve">In-transit electronic media with location-based content </t>
  </si>
  <si>
    <t>US2013074111</t>
  </si>
  <si>
    <t xml:space="preserve">Method of making a nanoscale electronic device </t>
  </si>
  <si>
    <t>US6946336</t>
  </si>
  <si>
    <t xml:space="preserve">Wireless Electronic Real Estate Resource System </t>
  </si>
  <si>
    <t>US2007260465</t>
  </si>
  <si>
    <t xml:space="preserve">Electronic neural network for solving "traveling salesman" and similar global optimization problems </t>
  </si>
  <si>
    <t>US5255349</t>
  </si>
  <si>
    <t xml:space="preserve">Electrical contacts for molecular electronic transistors </t>
  </si>
  <si>
    <t>US6989290</t>
  </si>
  <si>
    <t xml:space="preserve">Power source for in-transit electronic media </t>
  </si>
  <si>
    <t>US2013074107</t>
  </si>
  <si>
    <t xml:space="preserve">Vertically-stacked electronic devices having conductive carbon films </t>
  </si>
  <si>
    <t>US8395901</t>
  </si>
  <si>
    <t xml:space="preserve">Dynamic electronic door lock control system </t>
  </si>
  <si>
    <t>US2007271112</t>
  </si>
  <si>
    <t xml:space="preserve">Secure electronic media for in-transit passenger usage </t>
  </si>
  <si>
    <t>US2013074112</t>
  </si>
  <si>
    <t xml:space="preserve">Pressurized waterproof case electronic device </t>
  </si>
  <si>
    <t>US2013025904</t>
  </si>
  <si>
    <t xml:space="preserve">Impact resistant electronic data module housing </t>
  </si>
  <si>
    <t>US6850418</t>
  </si>
  <si>
    <t xml:space="preserve">Device and method for creating electronic album using map data </t>
  </si>
  <si>
    <t>CN1797398</t>
  </si>
  <si>
    <t xml:space="preserve">Organic electrodes and electronic devices </t>
  </si>
  <si>
    <t>WO2008144756</t>
  </si>
  <si>
    <t xml:space="preserve">PBX security system for monitoring security guard tours </t>
  </si>
  <si>
    <t>US4672654</t>
  </si>
  <si>
    <t xml:space="preserve">System for insertion and output of a second electronic material based on a first electronic material </t>
  </si>
  <si>
    <t>US7299268</t>
  </si>
  <si>
    <t xml:space="preserve">Watch comprising an electronic tourist guide </t>
  </si>
  <si>
    <t>US2002141289</t>
  </si>
  <si>
    <t xml:space="preserve">Historical tours </t>
  </si>
  <si>
    <t>US2014088861</t>
  </si>
  <si>
    <t xml:space="preserve">E-business development platform based on tourist industry </t>
  </si>
  <si>
    <t>CN103020834</t>
  </si>
  <si>
    <t xml:space="preserve">Method of protecting an area and control system for watchman tours </t>
  </si>
  <si>
    <t>US4300124</t>
  </si>
  <si>
    <t>WO2014066981</t>
  </si>
  <si>
    <t xml:space="preserve">Method and system for statistics and process of tourist density distribution </t>
  </si>
  <si>
    <t>CN103136703</t>
  </si>
  <si>
    <t xml:space="preserve">Portable electronic equipment and order taking business method using the same </t>
  </si>
  <si>
    <t>JP2002024351</t>
  </si>
  <si>
    <t xml:space="preserve">Use of molecular electrostatic potential to process electronic signals </t>
  </si>
  <si>
    <t>US6259277</t>
  </si>
  <si>
    <t xml:space="preserve">System for the delivery of location-specific audio tours </t>
  </si>
  <si>
    <t>US2008183385</t>
  </si>
  <si>
    <t xml:space="preserve">Information providing systems and portable electronic devices </t>
  </si>
  <si>
    <t>US5701580</t>
  </si>
  <si>
    <t xml:space="preserve">Molecular electronic device </t>
  </si>
  <si>
    <t>EP1734594</t>
  </si>
  <si>
    <t xml:space="preserve">Tour view spot picture-video taking method and system based on Network technology </t>
  </si>
  <si>
    <t>CN1815505</t>
  </si>
  <si>
    <t xml:space="preserve">Electronic article surveillance event monitoring system </t>
  </si>
  <si>
    <t>US5748085</t>
  </si>
  <si>
    <t xml:space="preserve">Molecular electronic interconnects </t>
  </si>
  <si>
    <t>US2005233158</t>
  </si>
  <si>
    <t xml:space="preserve">Recording medium with electronic ticket definitions recorded thereon and electronic ticket processing methods and apparatuses </t>
  </si>
  <si>
    <t>US6842741</t>
  </si>
  <si>
    <t xml:space="preserve">Automatic, profile-free web page recommendation </t>
  </si>
  <si>
    <t>US7054900</t>
  </si>
  <si>
    <t xml:space="preserve">Method and apparatus for generating a tour of world wide web sites </t>
  </si>
  <si>
    <t>US6182072</t>
  </si>
  <si>
    <t xml:space="preserve">Customized electronic books with supplemental content </t>
  </si>
  <si>
    <t>US8478662</t>
  </si>
  <si>
    <t xml:space="preserve">Entertainment monitoring system and method </t>
  </si>
  <si>
    <t>US7303475</t>
  </si>
  <si>
    <t xml:space="preserve">Electronic money instrument </t>
  </si>
  <si>
    <t>US2003041022</t>
  </si>
  <si>
    <t xml:space="preserve">System and method for creating and submitting electronic shopping lists </t>
  </si>
  <si>
    <t>US8429026</t>
  </si>
  <si>
    <t xml:space="preserve">Monomolecular electronic device </t>
  </si>
  <si>
    <t>US6339227</t>
  </si>
  <si>
    <t xml:space="preserve">Methods and apparatus for managing a tour product purchase </t>
  </si>
  <si>
    <t>US2003110063</t>
  </si>
  <si>
    <t xml:space="preserve">Enhanced E-Book and Enhanced E-book Reader </t>
  </si>
  <si>
    <t>US2015026176</t>
  </si>
  <si>
    <t xml:space="preserve">Monomolecular rectifying wire and logic based thereupon </t>
  </si>
  <si>
    <t>US6348700</t>
  </si>
  <si>
    <t xml:space="preserve">System and process for viewing and navigating through an interactive video tour </t>
  </si>
  <si>
    <t>US6968973</t>
  </si>
  <si>
    <t xml:space="preserve">Electronic device, content reproducing method, program, recording medium, and server device </t>
  </si>
  <si>
    <t>JP2009278342</t>
  </si>
  <si>
    <t xml:space="preserve">System for maintaining large numbers of handheld electronic devices </t>
  </si>
  <si>
    <t>US2009096336</t>
  </si>
  <si>
    <t xml:space="preserve">Electronic realty and transaction system and method therein </t>
  </si>
  <si>
    <t>US2003187756</t>
  </si>
  <si>
    <t xml:space="preserve">Systems and methods for identifying objects and providing information related to identified objects </t>
  </si>
  <si>
    <t>US2009175499</t>
  </si>
  <si>
    <t xml:space="preserve">Method and apparatus for bonus round play </t>
  </si>
  <si>
    <t>US7275990</t>
  </si>
  <si>
    <t xml:space="preserve">Self-service system for selling travel-related services or products </t>
  </si>
  <si>
    <t>US5732398</t>
  </si>
  <si>
    <t xml:space="preserve">Method and apparatus for distributed compressed sensing </t>
  </si>
  <si>
    <t>US7271747</t>
  </si>
  <si>
    <t xml:space="preserve">Method for providing customer on-line support via prepaid internet access </t>
  </si>
  <si>
    <t>US5806043</t>
  </si>
  <si>
    <t xml:space="preserve">Secure automated electronic casino gaming system </t>
  </si>
  <si>
    <t>US5326104</t>
  </si>
  <si>
    <t xml:space="preserve">Security system </t>
  </si>
  <si>
    <t>US6232877</t>
  </si>
  <si>
    <t xml:space="preserve">System and method for providing event-related incentives </t>
  </si>
  <si>
    <t>US2012290336</t>
  </si>
  <si>
    <t xml:space="preserve">Systems and methods for updating vehicle behavior and settings based on the locations of vehicle passengers </t>
  </si>
  <si>
    <t>US8527146</t>
  </si>
  <si>
    <t xml:space="preserve">Shopping system of integrated electronic commerce and physical commerce </t>
  </si>
  <si>
    <t>US2002026380</t>
  </si>
  <si>
    <t xml:space="preserve">Method and device for obtaining playlist content over a network </t>
  </si>
  <si>
    <t>US8045952</t>
  </si>
  <si>
    <t xml:space="preserve">Special purpose neurocomputer system for solving optimization problems </t>
  </si>
  <si>
    <t>US4858147</t>
  </si>
  <si>
    <t xml:space="preserve">Multilingual electronic document translation, management, and delivery system </t>
  </si>
  <si>
    <t>US6623529</t>
  </si>
  <si>
    <t xml:space="preserve">Electronic devices containing switchably conductive silicon oxides as a switching element and methods for production and use thereof </t>
  </si>
  <si>
    <t>US8592791</t>
  </si>
  <si>
    <t xml:space="preserve">System for logging premises hazard inspections </t>
  </si>
  <si>
    <t>US6078255</t>
  </si>
  <si>
    <t xml:space="preserve">Electronic real estate bartering system </t>
  </si>
  <si>
    <t>US7158956</t>
  </si>
  <si>
    <t xml:space="preserve">Enabling a three-dimensional simulation of a trip through a region </t>
  </si>
  <si>
    <t>US2004218910</t>
  </si>
  <si>
    <t xml:space="preserve">Method and apparatus for authenticating data relating to participation in an electronic game </t>
  </si>
  <si>
    <t>US2013005445</t>
  </si>
  <si>
    <t xml:space="preserve">Venue-related multi-media management, streaming, and electronic commerce techniques implemented via computer networks and mobile devices </t>
  </si>
  <si>
    <t>US2013339877</t>
  </si>
  <si>
    <t xml:space="preserve">Transport and traffic guiding system </t>
  </si>
  <si>
    <t>EP0288068</t>
  </si>
  <si>
    <t xml:space="preserve">Electronic Secure Authorization for Exchange Application Interface Device (eSafeAID) </t>
  </si>
  <si>
    <t>US2008235108</t>
  </si>
  <si>
    <t xml:space="preserve">Method, device and system for drilling rig modification </t>
  </si>
  <si>
    <t>US2008173480</t>
  </si>
  <si>
    <t xml:space="preserve">Electronic switching, memory, and sensor devices from carbon sheets on dielectric materials </t>
  </si>
  <si>
    <t>WO2009043023</t>
  </si>
  <si>
    <t xml:space="preserve">Molecular scale electronic devices </t>
  </si>
  <si>
    <t>WO0127972</t>
  </si>
  <si>
    <t xml:space="preserve">Systems and methods for information accumulation, information providing and electronic mail distribution, methods for information accumulation, information providing and electronic mail distriibution, and recording medium with information processing program reorded thereon </t>
  </si>
  <si>
    <t>JP2002288187</t>
  </si>
  <si>
    <t xml:space="preserve">Multi-media management, streaming, and electronic commerce techniques implemented over a computer network </t>
  </si>
  <si>
    <t>US8732195</t>
  </si>
  <si>
    <t xml:space="preserve">Method and electronic travel route building system, based on an intermodal electronic platform </t>
  </si>
  <si>
    <t>US2016203422</t>
  </si>
  <si>
    <t xml:space="preserve">Laundry dryer with electronic programme control </t>
  </si>
  <si>
    <t>EP0039645</t>
  </si>
  <si>
    <t xml:space="preserve">System for using electronic coupon, and computer program and method for realizing the same </t>
  </si>
  <si>
    <t>JP2004279299</t>
  </si>
  <si>
    <t xml:space="preserve">System and method for enabling an advertisement to follow the user to additional web pages </t>
  </si>
  <si>
    <t>US7930206</t>
  </si>
  <si>
    <t xml:space="preserve">Portable electronic devices and methods for downloading applications based on presence of the portable electronic device in a defined geographical region </t>
  </si>
  <si>
    <t>CN101796803</t>
  </si>
  <si>
    <t xml:space="preserve">Hybrid molecular electronic device for switching, memory, and sensor applications, and method of fabricating same </t>
  </si>
  <si>
    <t>US2008258179</t>
  </si>
  <si>
    <t xml:space="preserve">Method and apparatus for controlling an electric current through bio-molecules </t>
  </si>
  <si>
    <t>US2002158244</t>
  </si>
  <si>
    <t xml:space="preserve">Novel molecular structures with controllable electron conducting properties </t>
  </si>
  <si>
    <t>US2007215866</t>
  </si>
  <si>
    <t xml:space="preserve">Electronic deal mediating method and electronic deal mediating system </t>
  </si>
  <si>
    <t>WO0227575</t>
  </si>
  <si>
    <t xml:space="preserve">Customer centric revenue management </t>
  </si>
  <si>
    <t>US2009234710</t>
  </si>
  <si>
    <t xml:space="preserve">Methods and apparatus to predict demand for a product or service </t>
  </si>
  <si>
    <t>US2006277130</t>
  </si>
  <si>
    <t xml:space="preserve">Drone Tours In Security Systems </t>
  </si>
  <si>
    <t>US2016116914</t>
  </si>
  <si>
    <t xml:space="preserve">Method and system for advertising </t>
  </si>
  <si>
    <t>US2001034643</t>
  </si>
  <si>
    <t xml:space="preserve">Method and apparatus for selection and viewing real estate properties </t>
  </si>
  <si>
    <t>US2003083957</t>
  </si>
  <si>
    <t xml:space="preserve">Elastomers Reinforced with Carbon Nanotubes </t>
  </si>
  <si>
    <t>US2007259994</t>
  </si>
  <si>
    <t xml:space="preserve">Systems and methods for accessing hotel services using a portable electronic device </t>
  </si>
  <si>
    <t>US2010191551</t>
  </si>
  <si>
    <t>US6756605</t>
  </si>
  <si>
    <t xml:space="preserve">Aromatic and aromatic/heteroaromatic molecular structures with controllable electron conducting properties </t>
  </si>
  <si>
    <t>US2004138467</t>
  </si>
  <si>
    <t xml:space="preserve">Cardio-fitness station with virtual- reality capability </t>
  </si>
  <si>
    <t>US2007042868</t>
  </si>
  <si>
    <t xml:space="preserve">Electric oil pump control apparatus for vehicle, electric oil pump control method for vehicle, and shift apparatus </t>
  </si>
  <si>
    <t>US2008242464</t>
  </si>
  <si>
    <t xml:space="preserve">System for separately receiving multiple station audio-tour signals </t>
  </si>
  <si>
    <t>US4457019</t>
  </si>
  <si>
    <t xml:space="preserve">Identification, storage and display of land data on a website </t>
  </si>
  <si>
    <t>US2007226004</t>
  </si>
  <si>
    <t xml:space="preserve">System and method for searching for a query </t>
  </si>
  <si>
    <t>US2007011154</t>
  </si>
  <si>
    <t xml:space="preserve">Methods, devices, systems and computer program products for providing interactive activity programs for use with portable electric devices </t>
  </si>
  <si>
    <t>US2007032344</t>
  </si>
  <si>
    <t xml:space="preserve">Electronic menu and concierge system </t>
  </si>
  <si>
    <t>US2007038727</t>
  </si>
  <si>
    <t xml:space="preserve">Cardio-fitness station with virtual-reality capability </t>
  </si>
  <si>
    <t>US2010035726</t>
  </si>
  <si>
    <t xml:space="preserve">Method and apparatus for air and bus charter management via wide area network in the gaming industry </t>
  </si>
  <si>
    <t>US2006036450</t>
  </si>
  <si>
    <t xml:space="preserve">System and method for planning a tour of activities </t>
  </si>
  <si>
    <t>US2005222886</t>
  </si>
  <si>
    <t xml:space="preserve">System and Method for Adaptive Electronic Distribution of Information </t>
  </si>
  <si>
    <t>US2013226995</t>
  </si>
  <si>
    <t xml:space="preserve">Systems and methods for communicating with customers in the hospitality industry </t>
  </si>
  <si>
    <t>US2005144642</t>
  </si>
  <si>
    <t xml:space="preserve">Real estate related and ancilliary services provided through a single point of sale </t>
  </si>
  <si>
    <t>US2005010423</t>
  </si>
  <si>
    <t xml:space="preserve">Computer-implemented system and method for obtaining customized information related to media content </t>
  </si>
  <si>
    <t>US2007136247</t>
  </si>
  <si>
    <t xml:space="preserve">Electronic music controller using inertial navigation </t>
  </si>
  <si>
    <t>US2013152768</t>
  </si>
  <si>
    <t xml:space="preserve">Electronic book contents, method for sharing memorandum information, and recording medium of program for electronic book perusal </t>
  </si>
  <si>
    <t>JP2001052025</t>
  </si>
  <si>
    <t xml:space="preserve">Wi-Fi broadcast of links </t>
  </si>
  <si>
    <t>US2010080201</t>
  </si>
  <si>
    <t>US2007094245</t>
  </si>
  <si>
    <t xml:space="preserve">Method and system for combining multimedia inputs into an indexed and searchable output </t>
  </si>
  <si>
    <t>US2003236792</t>
  </si>
  <si>
    <t xml:space="preserve">Electronic portal for information storage and retrieval </t>
  </si>
  <si>
    <t>US2006075343</t>
  </si>
  <si>
    <t xml:space="preserve">Capacitive electric musical instrument vibration transducer </t>
  </si>
  <si>
    <t>US7408109</t>
  </si>
  <si>
    <t>US7216152</t>
  </si>
  <si>
    <t xml:space="preserve">Systems and methods for USA Patriot Act compliance </t>
  </si>
  <si>
    <t>US2005288941</t>
  </si>
  <si>
    <t xml:space="preserve">Customizable electronic musical instrument and user interface </t>
  </si>
  <si>
    <t>US8716585</t>
  </si>
  <si>
    <t xml:space="preserve">Electronic watch having fixed control means </t>
  </si>
  <si>
    <t>EP0064025</t>
  </si>
  <si>
    <t xml:space="preserve">Kiosk-based automatic update of online social networking sites </t>
  </si>
  <si>
    <t>US2011047463</t>
  </si>
  <si>
    <t xml:space="preserve">Regulating electric current through medium, useful as molecular switch in electronics or chemical process control, involves changing parameter inhibiting internal motion of adjacent molecular sections of chain molecule </t>
  </si>
  <si>
    <t>DE19959904</t>
  </si>
  <si>
    <t xml:space="preserve">Customized Travel Route System </t>
  </si>
  <si>
    <t>US2013006521</t>
  </si>
  <si>
    <t xml:space="preserve">Multi-purpose electronic kiosk </t>
  </si>
  <si>
    <t>US2005114703</t>
  </si>
  <si>
    <t xml:space="preserve">Object oriented framework mechanism for an electronic catalog </t>
  </si>
  <si>
    <t>US6052670</t>
  </si>
  <si>
    <t xml:space="preserve">Electronic real estate lockbox system </t>
  </si>
  <si>
    <t>US4766746</t>
  </si>
  <si>
    <t xml:space="preserve">PREPARATION OF THIN FILM TRANSISTORS (TFT's) OR RADIO FREQUENCY IDENTIFICATION (RFID) TAGS OR OTHER PRINTABLE ELECTRONICS USING INK-JET PRINTER AND CARBON NANOTUBE INKS </t>
  </si>
  <si>
    <t>US2009173935</t>
  </si>
  <si>
    <t xml:space="preserve">Electronic key with interactive graphic user interface </t>
  </si>
  <si>
    <t>US4914732</t>
  </si>
  <si>
    <t xml:space="preserve">System and method for providing content for a point of interest </t>
  </si>
  <si>
    <t>US2013332890</t>
  </si>
  <si>
    <t xml:space="preserve">Method and apparatus for compiling data relating to operation of an electronic lock system </t>
  </si>
  <si>
    <t>US4916443</t>
  </si>
  <si>
    <t xml:space="preserve">Electronic real estate lockbox system with improved reporting capability </t>
  </si>
  <si>
    <t>US5046084</t>
  </si>
  <si>
    <t xml:space="preserve">Data-update monitoring in communications network </t>
  </si>
  <si>
    <t>US5905866</t>
  </si>
  <si>
    <t xml:space="preserve">Electronic exercise system </t>
  </si>
  <si>
    <t>US6450922</t>
  </si>
  <si>
    <t>US6336072</t>
  </si>
  <si>
    <t xml:space="preserve">Method and apparatus for the sale of airline-specified flight tickets </t>
  </si>
  <si>
    <t>US5897620</t>
  </si>
  <si>
    <t xml:space="preserve">Shoppers communication system and processes relating thereto </t>
  </si>
  <si>
    <t>US5630068</t>
  </si>
  <si>
    <t xml:space="preserve">System and method for tracking casino promotional funds and apparatus for use therewith </t>
  </si>
  <si>
    <t>US5321241</t>
  </si>
  <si>
    <t xml:space="preserve">Automatic recommendation of products using latent semantic indexing of content </t>
  </si>
  <si>
    <t>US6615208</t>
  </si>
  <si>
    <t xml:space="preserve">Dynamic policy illustration system </t>
  </si>
  <si>
    <t>US5956691</t>
  </si>
  <si>
    <t xml:space="preserve">System and method for providing dynamic three-dimensional multi-user virtual spaces in synchrony with hypertext browsing </t>
  </si>
  <si>
    <t>US6175842</t>
  </si>
  <si>
    <t xml:space="preserve">Method, system, and computer program product for concept-based multi-dimensional analysis of unstructured information </t>
  </si>
  <si>
    <t>US7194483</t>
  </si>
  <si>
    <t xml:space="preserve">Graphical user interface for displaying and manipulating objects </t>
  </si>
  <si>
    <t>US6344861</t>
  </si>
  <si>
    <t xml:space="preserve">Watermarked business cards and methods </t>
  </si>
  <si>
    <t>US6650761</t>
  </si>
  <si>
    <t xml:space="preserve">Gaming environment including portable transaction devices for rating players </t>
  </si>
  <si>
    <t>US6800029</t>
  </si>
  <si>
    <t xml:space="preserve">Method and apparatus for the interactive display of any portion of a spherical image </t>
  </si>
  <si>
    <t>US5990941</t>
  </si>
  <si>
    <t xml:space="preserve">Methods and systems employing digital content </t>
  </si>
  <si>
    <t>US7565294</t>
  </si>
  <si>
    <t xml:space="preserve">Image processing system, method and apparatus for correlating position data with image data </t>
  </si>
  <si>
    <t>US2005278111</t>
  </si>
  <si>
    <t xml:space="preserve">Asset inventory system </t>
  </si>
  <si>
    <t>US2008033847</t>
  </si>
  <si>
    <t xml:space="preserve">Carbon Nanotube-Silicon Composite Structures and Methods for Making Same </t>
  </si>
  <si>
    <t>US2009042136</t>
  </si>
  <si>
    <t xml:space="preserve">Promotional and product on-line help methods via internet </t>
  </si>
  <si>
    <t>WO9639668</t>
  </si>
  <si>
    <t xml:space="preserve">System and method for providing communications services </t>
  </si>
  <si>
    <t>US2005152530</t>
  </si>
  <si>
    <t xml:space="preserve">Electronic security system with configurable key </t>
  </si>
  <si>
    <t>US4947163</t>
  </si>
  <si>
    <t xml:space="preserve">Concept-based categorization of unstructured objects </t>
  </si>
  <si>
    <t>US7536413</t>
  </si>
  <si>
    <t xml:space="preserve">Electronic lock system with improved data dissemination </t>
  </si>
  <si>
    <t>US4887292</t>
  </si>
  <si>
    <t xml:space="preserve">Online gaming spectator system </t>
  </si>
  <si>
    <t>US7458894</t>
  </si>
  <si>
    <t xml:space="preserve">Electronic lock system with battery conservation features </t>
  </si>
  <si>
    <t>US4929880</t>
  </si>
  <si>
    <t xml:space="preserve">Implantable medical device management system </t>
  </si>
  <si>
    <t>US7324949</t>
  </si>
  <si>
    <t xml:space="preserve">Three-terminal field-controlled molecular devices </t>
  </si>
  <si>
    <t>WO0235580</t>
  </si>
  <si>
    <t xml:space="preserve">Electronic device for energy-saving and environment-protecting regulation and control and safe preservation to household environment </t>
  </si>
  <si>
    <t>CN101556727</t>
  </si>
  <si>
    <t xml:space="preserve">Capability addressable network and method therefor </t>
  </si>
  <si>
    <t>US6421347</t>
  </si>
  <si>
    <t xml:space="preserve">Method and system for employee work scheduling </t>
  </si>
  <si>
    <t>US7058589</t>
  </si>
  <si>
    <t xml:space="preserve">System and method for matching entities utilizing an electronic calendaring system </t>
  </si>
  <si>
    <t>US6978246</t>
  </si>
  <si>
    <t xml:space="preserve">Distribution, recognition and accountability system for intellectual and copy written properties in digital media's </t>
  </si>
  <si>
    <t>US6947909</t>
  </si>
  <si>
    <t xml:space="preserve">Telescope control system </t>
  </si>
  <si>
    <t>US4682091</t>
  </si>
  <si>
    <t xml:space="preserve">Merchandising method and merchandising device </t>
  </si>
  <si>
    <t>US2003065562</t>
  </si>
  <si>
    <t xml:space="preserve">Shock Absorber for a Bicycle </t>
  </si>
  <si>
    <t>US2012186922</t>
  </si>
  <si>
    <t xml:space="preserve">Nanogaps: methods and devices containing same </t>
  </si>
  <si>
    <t>US2010142259</t>
  </si>
  <si>
    <t xml:space="preserve">Virtual three-dimensional display for product development </t>
  </si>
  <si>
    <t>US7012602</t>
  </si>
  <si>
    <t xml:space="preserve">Tourist Information System for Cars </t>
  </si>
  <si>
    <t>FR2730083</t>
  </si>
  <si>
    <t xml:space="preserve">Systems and methods for accessing cruise services using a portable electronic device </t>
  </si>
  <si>
    <t>US2010306075</t>
  </si>
  <si>
    <t xml:space="preserve">String-based systems and methods for searching for real estate properties </t>
  </si>
  <si>
    <t>US8024349</t>
  </si>
  <si>
    <t xml:space="preserve">Method and system for image information processing and analysis </t>
  </si>
  <si>
    <t>US2005010808</t>
  </si>
  <si>
    <t xml:space="preserve">Electronic system and method coupling live event ticketing with sale of event recordings </t>
  </si>
  <si>
    <t>US2003220813</t>
  </si>
  <si>
    <t xml:space="preserve">Versatile electronic sheet music device with improved navigation system and method </t>
  </si>
  <si>
    <t>US2008060507</t>
  </si>
  <si>
    <t xml:space="preserve">System And Process For Stacking Electronic Game Tables </t>
  </si>
  <si>
    <t>US2011105224</t>
  </si>
  <si>
    <t xml:space="preserve">Special unmanned helicopter obstacle-avoiding system suitable for tour inspection of electrical networks in mountain area </t>
  </si>
  <si>
    <t>CN203397214</t>
  </si>
  <si>
    <t xml:space="preserve">Dual orientation electronic connector with external contacts </t>
  </si>
  <si>
    <t>WO2013070767</t>
  </si>
  <si>
    <t xml:space="preserve">Three-dimensional virtual tour method and system </t>
  </si>
  <si>
    <t>US7187377</t>
  </si>
  <si>
    <t xml:space="preserve">Carrying case </t>
  </si>
  <si>
    <t>US8188714</t>
  </si>
  <si>
    <t xml:space="preserve">Cash drawer/operator identification </t>
  </si>
  <si>
    <t>US4752874</t>
  </si>
  <si>
    <t xml:space="preserve">Electric field measuring obstacle avoidance system and method for live wire routing inspection of unmanned aerial vehicle </t>
  </si>
  <si>
    <t>CN102722178</t>
  </si>
  <si>
    <t xml:space="preserve">Differential evadible system of electric field for unmanned aerial vehicle polling live wires and method </t>
  </si>
  <si>
    <t>CN102736632</t>
  </si>
  <si>
    <t xml:space="preserve">Electronic contract managing system operation platform </t>
  </si>
  <si>
    <t>CN1858793</t>
  </si>
  <si>
    <t xml:space="preserve">Network delivery of interactive entertainment complementing audio recordings </t>
  </si>
  <si>
    <t>US6154773</t>
  </si>
  <si>
    <t xml:space="preserve">Circuit arrangement for charging rechargeable batteries </t>
  </si>
  <si>
    <t>US5598085</t>
  </si>
  <si>
    <t xml:space="preserve">Electronic supermarket </t>
  </si>
  <si>
    <t>DE19511649</t>
  </si>
  <si>
    <t xml:space="preserve">Content providing device and system having client storage areas and a time frame based providing schedule </t>
  </si>
  <si>
    <t>US6963898</t>
  </si>
  <si>
    <t xml:space="preserve">Electronic lock with energy conservation features </t>
  </si>
  <si>
    <t>US4896246</t>
  </si>
  <si>
    <t xml:space="preserve">System for displaying selected assembly-facility seating views </t>
  </si>
  <si>
    <t>US5333257</t>
  </si>
  <si>
    <t xml:space="preserve">High density non-volatile memory device incorporating thiol-derivatized porphyrins </t>
  </si>
  <si>
    <t>US6208553</t>
  </si>
  <si>
    <t xml:space="preserve">Controlling operation of a device using a re-configurable watermark detector </t>
  </si>
  <si>
    <t>US6442285</t>
  </si>
  <si>
    <t xml:space="preserve">Concept-based method and system for dynamically analyzing unstructured information </t>
  </si>
  <si>
    <t>US6970881</t>
  </si>
  <si>
    <t xml:space="preserve">System for managing and automatically deleting network address identified and stored during a network communication session when the network address is visited </t>
  </si>
  <si>
    <t>US6510461</t>
  </si>
  <si>
    <t xml:space="preserve">High density non-volatile memory device </t>
  </si>
  <si>
    <t>US6381169</t>
  </si>
  <si>
    <t xml:space="preserve">Systems, methods, and computer program products for accessing, leasing, relocating, constructing and modifying internet sites within a multi-dimensional virtual reality environment </t>
  </si>
  <si>
    <t>US5889951</t>
  </si>
  <si>
    <t xml:space="preserve">Customized web browsing and marketing software with local events statistics database </t>
  </si>
  <si>
    <t>US6434745</t>
  </si>
  <si>
    <t xml:space="preserve">Gaming environment including portable transaction devices </t>
  </si>
  <si>
    <t>US7927211</t>
  </si>
  <si>
    <t>US2006143214</t>
  </si>
  <si>
    <t xml:space="preserve">Matching residential buyers and property owners to initiate a transaction for properties which are currently not listed for sale </t>
  </si>
  <si>
    <t>US8140442</t>
  </si>
  <si>
    <t xml:space="preserve">Process for derivatizing carbon nanotubes with diazonium species </t>
  </si>
  <si>
    <t>US7250147</t>
  </si>
  <si>
    <t xml:space="preserve">Celestial object location device </t>
  </si>
  <si>
    <t>US6366212</t>
  </si>
  <si>
    <t xml:space="preserve">Captioning glasses </t>
  </si>
  <si>
    <t>US6005536</t>
  </si>
  <si>
    <t xml:space="preserve">Method for programming a programmable logic controller </t>
  </si>
  <si>
    <t>US7117043</t>
  </si>
  <si>
    <t xml:space="preserve">Personalized internet access </t>
  </si>
  <si>
    <t>US6629843</t>
  </si>
  <si>
    <t xml:space="preserve">Aircraft collision avoidance system </t>
  </si>
  <si>
    <t>US6909381</t>
  </si>
  <si>
    <t xml:space="preserve">Functional anchors connecting graphene-like carbon to metal </t>
  </si>
  <si>
    <t>US2009029221</t>
  </si>
  <si>
    <t xml:space="preserve">Molecular computer </t>
  </si>
  <si>
    <t>US6430511</t>
  </si>
  <si>
    <t xml:space="preserve">System and method for selecting and reserving items </t>
  </si>
  <si>
    <t>US2004117528</t>
  </si>
  <si>
    <t xml:space="preserve">System and method for distributing and recording targeted information </t>
  </si>
  <si>
    <t>US2003055713</t>
  </si>
  <si>
    <t xml:space="preserve">Transportation planning, execution, and freight payments managers and related methods </t>
  </si>
  <si>
    <t>US2002019759</t>
  </si>
  <si>
    <t xml:space="preserve">Transactions in virtual property </t>
  </si>
  <si>
    <t>US2005021472</t>
  </si>
  <si>
    <t xml:space="preserve">Method for increasing the functionality of a media player/recorder device or an application program </t>
  </si>
  <si>
    <t>US2004128514</t>
  </si>
  <si>
    <t xml:space="preserve">Generation, organization and/or playing back of content based on incorporated parameter identifiers </t>
  </si>
  <si>
    <t>US2006184538</t>
  </si>
  <si>
    <t xml:space="preserve">Methods for Preparation of Graphene Nanoribbons From Carbon Nanotubes and Compositions, Thin Films and Devices Derived Therefrom </t>
  </si>
  <si>
    <t>US2010105834</t>
  </si>
  <si>
    <t xml:space="preserve">System and method for determining advertising effectiveness </t>
  </si>
  <si>
    <t>US2005028188</t>
  </si>
  <si>
    <t xml:space="preserve">System and method for delivering internet advertisements that change between textual and graphical ads on demand by a user </t>
  </si>
  <si>
    <t>US2005096980</t>
  </si>
  <si>
    <t xml:space="preserve">Method and system for coordinating appointments </t>
  </si>
  <si>
    <t>US2002035493</t>
  </si>
  <si>
    <t xml:space="preserve">Electronic advertisement system and method </t>
  </si>
  <si>
    <t>US2003046152</t>
  </si>
  <si>
    <t xml:space="preserve">Apparatus and method for user control of appliances </t>
  </si>
  <si>
    <t>US6856238</t>
  </si>
  <si>
    <t>US2007156726</t>
  </si>
  <si>
    <t xml:space="preserve">Digital multimedia sharing in virtual worlds </t>
  </si>
  <si>
    <t>US2009106671</t>
  </si>
  <si>
    <t xml:space="preserve">Apparatus and method for scheduling of search for updates or downloads of a file </t>
  </si>
  <si>
    <t>US2003195974</t>
  </si>
  <si>
    <t xml:space="preserve">Interactive advertisement and reward system </t>
  </si>
  <si>
    <t>US2002147633</t>
  </si>
  <si>
    <t xml:space="preserve">Slide show presentation and method for viewing same </t>
  </si>
  <si>
    <t>US2003160814</t>
  </si>
  <si>
    <t xml:space="preserve">Apparatus and methods for locating and identifying remote objects </t>
  </si>
  <si>
    <t>US2008163504</t>
  </si>
  <si>
    <t xml:space="preserve">Quiz-nested quiz game and system therefore </t>
  </si>
  <si>
    <t>US2009091087</t>
  </si>
  <si>
    <t xml:space="preserve">Method and apparatus for managing hotel transactions from a gaming device </t>
  </si>
  <si>
    <t>US2003050806</t>
  </si>
  <si>
    <t xml:space="preserve">Direct growth of graphene films on non-catalyst surfaces </t>
  </si>
  <si>
    <t>US2014120270</t>
  </si>
  <si>
    <t xml:space="preserve">Interactive Content for Digital Books </t>
  </si>
  <si>
    <t>US2013073932</t>
  </si>
  <si>
    <t xml:space="preserve">System and method for tagging objects in a panoramic video and associating functions and indexing panoramic images with same </t>
  </si>
  <si>
    <t>US2008106594</t>
  </si>
  <si>
    <t xml:space="preserve">Music methods and systems </t>
  </si>
  <si>
    <t>US8094949</t>
  </si>
  <si>
    <t xml:space="preserve">Functionalization of Carbon Nanotubes in Acidic Media </t>
  </si>
  <si>
    <t>US2007280876</t>
  </si>
  <si>
    <t xml:space="preserve">Selective Functionalization Of Carbon Nanotubes </t>
  </si>
  <si>
    <t>US2008063587</t>
  </si>
  <si>
    <t xml:space="preserve">Method and system for documenting assets with certified digital imager </t>
  </si>
  <si>
    <t>US2006178902</t>
  </si>
  <si>
    <t xml:space="preserve">Real estate rebate system and method </t>
  </si>
  <si>
    <t>US2002077893</t>
  </si>
  <si>
    <t xml:space="preserve">Process and apparatus for microwave desorption of elements or species from carbon nanotubes </t>
  </si>
  <si>
    <t>US2004180244</t>
  </si>
  <si>
    <t xml:space="preserve">Method and apparatus for workflow scheduling and forecasting </t>
  </si>
  <si>
    <t>US2007179829</t>
  </si>
  <si>
    <t xml:space="preserve">Head tracking for enhanced 3d experience using face detection </t>
  </si>
  <si>
    <t>US2009219224</t>
  </si>
  <si>
    <t>US2005168320</t>
  </si>
  <si>
    <t xml:space="preserve">Ordering-and-reserving management method using paper medium mounted with radio frequency identification IC chip and advertising effect analysis method, and system thereof </t>
  </si>
  <si>
    <t>US2002169714</t>
  </si>
  <si>
    <t xml:space="preserve">Contribution processing device and method, contribution accepting device and method, program storage media, and contribution processing system </t>
  </si>
  <si>
    <t>US2005203845</t>
  </si>
  <si>
    <t xml:space="preserve">Content Protection Arrangements </t>
  </si>
  <si>
    <t>US2008133416</t>
  </si>
  <si>
    <t xml:space="preserve">Talking book employing photoelectronics for autonomous page recognition </t>
  </si>
  <si>
    <t>US2003170604</t>
  </si>
  <si>
    <t xml:space="preserve">Apparatus and method for generating and using a customized uniform resource locator </t>
  </si>
  <si>
    <t>US2009210807</t>
  </si>
  <si>
    <t xml:space="preserve">Activity Based Users' Interests Modeling for Determining Content Relevance </t>
  </si>
  <si>
    <t>US2011016121</t>
  </si>
  <si>
    <t xml:space="preserve">System and method for providing an event-based community </t>
  </si>
  <si>
    <t>US2001049637</t>
  </si>
  <si>
    <t xml:space="preserve">Method, system and software for inventory management </t>
  </si>
  <si>
    <t>US2002165782</t>
  </si>
  <si>
    <t xml:space="preserve">Information input apparatus, information input method, control program, and storage medium </t>
  </si>
  <si>
    <t>US2005160067</t>
  </si>
  <si>
    <t xml:space="preserve">Navigating images using image based geometric alignment and object based controls </t>
  </si>
  <si>
    <t>US8160400</t>
  </si>
  <si>
    <t xml:space="preserve">Dynamic force management system </t>
  </si>
  <si>
    <t>US2005160142</t>
  </si>
  <si>
    <t xml:space="preserve">Comfortable seating arrangements with easy access </t>
  </si>
  <si>
    <t>US2006192050</t>
  </si>
  <si>
    <t xml:space="preserve">Driving plan producing device and method, and navigation apparatus </t>
  </si>
  <si>
    <t>US6975938</t>
  </si>
  <si>
    <t xml:space="preserve">Device and method for shopping and data collection </t>
  </si>
  <si>
    <t>US2007090185</t>
  </si>
  <si>
    <t xml:space="preserve">Computer-implemented systems and methods for resource allocation </t>
  </si>
  <si>
    <t>US7778853</t>
  </si>
  <si>
    <t xml:space="preserve">Method and apparatus for constructing verification test sequences by merging and touring hierarchical unique input/output sequence (UIO) based test subsequence graphs </t>
  </si>
  <si>
    <t>US5703885</t>
  </si>
  <si>
    <t xml:space="preserve">Information display </t>
  </si>
  <si>
    <t>US2005030309</t>
  </si>
  <si>
    <t xml:space="preserve">Simplified method and system for e-commerce operable in on-line and off -line modes </t>
  </si>
  <si>
    <t>US2001034659</t>
  </si>
  <si>
    <t xml:space="preserve">Networked system with supporting media access and social networking </t>
  </si>
  <si>
    <t>US2012054666</t>
  </si>
  <si>
    <t xml:space="preserve">Multiple level minimum logic network </t>
  </si>
  <si>
    <t>US5996020</t>
  </si>
  <si>
    <t xml:space="preserve">Systems and methods for implementing centralized workflow management for multiple disparate entities </t>
  </si>
  <si>
    <t>US2009024488</t>
  </si>
  <si>
    <t xml:space="preserve">Method and system for predicting network usage in a network having re-occurring usage variations </t>
  </si>
  <si>
    <t>US7499844</t>
  </si>
  <si>
    <t xml:space="preserve">Agent scheduler incorporating agent profiles </t>
  </si>
  <si>
    <t>US2005138167</t>
  </si>
  <si>
    <t xml:space="preserve">Virtual reality shopping system </t>
  </si>
  <si>
    <t>US2007192203</t>
  </si>
  <si>
    <t>US2003218546</t>
  </si>
  <si>
    <t xml:space="preserve">Information processing apparatus, system and method </t>
  </si>
  <si>
    <t>US2014210748</t>
  </si>
  <si>
    <t xml:space="preserve">Offer Presentation for Crowdfunding </t>
  </si>
  <si>
    <t>US2014040157</t>
  </si>
  <si>
    <t xml:space="preserve">Growth of graphene films from non-gaseous carbon sources </t>
  </si>
  <si>
    <t>US2014234200</t>
  </si>
  <si>
    <t xml:space="preserve">Highly oxidized graphene oxide and methods for production thereof </t>
  </si>
  <si>
    <t>US2012129736</t>
  </si>
  <si>
    <t xml:space="preserve">Process for derivatizing carbon nanotubes with diazonium species and compositions thereof </t>
  </si>
  <si>
    <t>WO02060812</t>
  </si>
  <si>
    <t xml:space="preserve">High density memory device </t>
  </si>
  <si>
    <t>US2006209587</t>
  </si>
  <si>
    <t xml:space="preserve">Graphene-carbon nanotube hybrid materials and use as electrodes </t>
  </si>
  <si>
    <t>US2014313636</t>
  </si>
  <si>
    <t xml:space="preserve">Apparatus, method and system for web-based health care marketplace portal </t>
  </si>
  <si>
    <t>US2009076855</t>
  </si>
  <si>
    <t xml:space="preserve">Removably attachable security devices </t>
  </si>
  <si>
    <t>US2004069661</t>
  </si>
  <si>
    <t xml:space="preserve">Travel route and scheduling generation method and server </t>
  </si>
  <si>
    <t>CN101963960</t>
  </si>
  <si>
    <t xml:space="preserve">Information aggregation and enquiry method based on geographic coordinates </t>
  </si>
  <si>
    <t>CN101192215</t>
  </si>
  <si>
    <t>WO8705069</t>
  </si>
  <si>
    <t xml:space="preserve">Intelligent routing inspection system for substation equipment </t>
  </si>
  <si>
    <t>CN202093536</t>
  </si>
  <si>
    <t xml:space="preserve">Controller of driver for vehicle </t>
  </si>
  <si>
    <t>US2009076694</t>
  </si>
  <si>
    <t xml:space="preserve">System and method for token-based transactions </t>
  </si>
  <si>
    <t>US2010250290</t>
  </si>
  <si>
    <t xml:space="preserve">Method for Scripting Inter-scene Transitions </t>
  </si>
  <si>
    <t>US2008143727</t>
  </si>
  <si>
    <t xml:space="preserve">Interactive system and method for viewing on line advertising </t>
  </si>
  <si>
    <t>WO0124067</t>
  </si>
  <si>
    <t xml:space="preserve">Graphene nanoribbons prepared from carbon nanotubes via alkali metal exposure </t>
  </si>
  <si>
    <t>WO2010147860</t>
  </si>
  <si>
    <t xml:space="preserve">Control apparatus for use with driving device of vehicle </t>
  </si>
  <si>
    <t>US2006006734</t>
  </si>
  <si>
    <t xml:space="preserve">System and method for providing property improvements </t>
  </si>
  <si>
    <t>US2006036513</t>
  </si>
  <si>
    <t xml:space="preserve">Methods for production of single-crystal graphenes </t>
  </si>
  <si>
    <t>US2014014030</t>
  </si>
  <si>
    <t xml:space="preserve">Ordering-and-reserving management method using paper medium attached with unique code and advertising effect analysis method and system thereof </t>
  </si>
  <si>
    <t>US2002169666</t>
  </si>
  <si>
    <t xml:space="preserve">Schema Validation for Submissions of Digital Assets for Network-Based Distribution </t>
  </si>
  <si>
    <t>US2010251099</t>
  </si>
  <si>
    <t xml:space="preserve">Value analysis and value added concoction of a beverage in a network environment of the beverage </t>
  </si>
  <si>
    <t>US7881960</t>
  </si>
  <si>
    <t>WO0221335</t>
  </si>
  <si>
    <t xml:space="preserve">Control device for vehicular drive system </t>
  </si>
  <si>
    <t>US2008004156</t>
  </si>
  <si>
    <t xml:space="preserve">Performing a competition between teams by means of modular units </t>
  </si>
  <si>
    <t>US8038532</t>
  </si>
  <si>
    <t xml:space="preserve">Classification and status of users of networking and social activity systems </t>
  </si>
  <si>
    <t>US2012054277</t>
  </si>
  <si>
    <t xml:space="preserve">Phrase-based statistical machine translation as a generalized traveling salesman problem </t>
  </si>
  <si>
    <t>US2011022380</t>
  </si>
  <si>
    <t xml:space="preserve">Method for Monitoring and Ranking Web Visitors and Soliciting Higher Ranked Visitors to Engage in Live Assistance </t>
  </si>
  <si>
    <t>US2010161540</t>
  </si>
  <si>
    <t xml:space="preserve">Method of making a molecule-surface interface </t>
  </si>
  <si>
    <t>US2004023479</t>
  </si>
  <si>
    <t xml:space="preserve">Efficiency report generator </t>
  </si>
  <si>
    <t>US2005137893</t>
  </si>
  <si>
    <t xml:space="preserve">Proxy transmission/reception method, and its system </t>
  </si>
  <si>
    <t>JP2002135334</t>
  </si>
  <si>
    <t xml:space="preserve">Systems and methods for managing access to real estate content </t>
  </si>
  <si>
    <t>US2008154774</t>
  </si>
  <si>
    <t xml:space="preserve">Process for functionalizing carbon nanotubes under solvent-free conditions </t>
  </si>
  <si>
    <t>US2005255030</t>
  </si>
  <si>
    <t xml:space="preserve">Methods, apparatus and computer program products for automated visual inspection </t>
  </si>
  <si>
    <t>US6023680</t>
  </si>
  <si>
    <t xml:space="preserve">Methods and systems for selecting travel products </t>
  </si>
  <si>
    <t>US2001044748</t>
  </si>
  <si>
    <t xml:space="preserve">Section de tour d'Ã©olienne prÃ©-assemblÃ©e et procÃ©dÃ© de transport d'une section de tour d'Ã©olienne </t>
  </si>
  <si>
    <t>EP2093417</t>
  </si>
  <si>
    <t xml:space="preserve">Reconfigurable balancing robot and method for dynamically transitioning between statically stable mode and dynamically balanced mode </t>
  </si>
  <si>
    <t>US2008105481</t>
  </si>
  <si>
    <t xml:space="preserve">Magnetic spherical balancing robot drive </t>
  </si>
  <si>
    <t>US8269447</t>
  </si>
  <si>
    <t xml:space="preserve">Statically-balanced direct-drive robot arm </t>
  </si>
  <si>
    <t>US4775289</t>
  </si>
  <si>
    <t xml:space="preserve">Biomimetic quadruped robot provided with head and tail balance adjustment devices </t>
  </si>
  <si>
    <t>CN103192898</t>
  </si>
  <si>
    <t xml:space="preserve">Balance mechanism of an industrial robot </t>
  </si>
  <si>
    <t>US4954043</t>
  </si>
  <si>
    <t xml:space="preserve">Robot with balancing mechanism having a variable counterbalance force </t>
  </si>
  <si>
    <t>US4659280</t>
  </si>
  <si>
    <t xml:space="preserve">Robotic joint movement device </t>
  </si>
  <si>
    <t>US5318471</t>
  </si>
  <si>
    <t xml:space="preserve">Balance control apparatus of robot and control method thereof </t>
  </si>
  <si>
    <t>US2012316683</t>
  </si>
  <si>
    <t>US2012316682</t>
  </si>
  <si>
    <t xml:space="preserve">One-wheel robot system and control method thereof </t>
  </si>
  <si>
    <t>CN101623865</t>
  </si>
  <si>
    <t xml:space="preserve">Robot and method of controlling balance thereof </t>
  </si>
  <si>
    <t>US2010161116</t>
  </si>
  <si>
    <t xml:space="preserve">Upright balance robot </t>
  </si>
  <si>
    <t>CN104932508</t>
  </si>
  <si>
    <t>CN106078739</t>
  </si>
  <si>
    <t xml:space="preserve">Agricultural robot for pest control, and agricultural robot system for pest control </t>
  </si>
  <si>
    <t>WO2014035169</t>
  </si>
  <si>
    <t xml:space="preserve">Balance control method of multi-leg robot </t>
  </si>
  <si>
    <t>CN102749919</t>
  </si>
  <si>
    <t xml:space="preserve">Balance mechanism and robot using same </t>
  </si>
  <si>
    <t>CN102990677</t>
  </si>
  <si>
    <t xml:space="preserve">Multi-functional intelligent balanced robot </t>
  </si>
  <si>
    <t>CN204536903</t>
  </si>
  <si>
    <t xml:space="preserve">Robot direct teaching control method based on moment balance </t>
  </si>
  <si>
    <t>CN103425100</t>
  </si>
  <si>
    <t xml:space="preserve">Power balance mobile robot system </t>
  </si>
  <si>
    <t>JP2011523903</t>
  </si>
  <si>
    <t xml:space="preserve">Attitude control device of mobile robot </t>
  </si>
  <si>
    <t>US7112938</t>
  </si>
  <si>
    <t xml:space="preserve">Robot with adjustable balance moment </t>
  </si>
  <si>
    <t>CN104708623</t>
  </si>
  <si>
    <t xml:space="preserve">Dynamic balance manipulator </t>
  </si>
  <si>
    <t>CN102431040</t>
  </si>
  <si>
    <t xml:space="preserve">Wheel leg mechanism for two-wheel balance wheel leg type robot adapted to complex landforms </t>
  </si>
  <si>
    <t>CN204137153</t>
  </si>
  <si>
    <t xml:space="preserve">Device for balancing forces, in particular weight, acting on a robot arm or the like </t>
  </si>
  <si>
    <t>US4901591</t>
  </si>
  <si>
    <t xml:space="preserve">One human formula 6 DOF robot weight balance and Pseudo </t>
  </si>
  <si>
    <t>CN102825601</t>
  </si>
  <si>
    <t xml:space="preserve">Balance and cylinder assembly having its robot </t>
  </si>
  <si>
    <t>CN108312176</t>
  </si>
  <si>
    <t xml:space="preserve">An autonomous robot to control the balance of logistics </t>
  </si>
  <si>
    <t>CN207903351</t>
  </si>
  <si>
    <t xml:space="preserve">Universal balancing controller for lateral stabilization of bipedal robots in dynamic unstable environments </t>
  </si>
  <si>
    <t>US2015217448</t>
  </si>
  <si>
    <t xml:space="preserve">Gravitation balancing device, articulated robot, and wrist device for robot </t>
  </si>
  <si>
    <t>JPH0569378</t>
  </si>
  <si>
    <t xml:space="preserve">Dynamic balance robotic arm </t>
  </si>
  <si>
    <t>CN202344547</t>
  </si>
  <si>
    <t xml:space="preserve">Spring device for balancing vertical movements of multi-joint robot </t>
  </si>
  <si>
    <t>US5982127</t>
  </si>
  <si>
    <t>US5157316</t>
  </si>
  <si>
    <t xml:space="preserve">Steering system of balancing robot </t>
  </si>
  <si>
    <t>KR101886533</t>
  </si>
  <si>
    <t xml:space="preserve">Variable balancing robot </t>
  </si>
  <si>
    <t>KR101886125</t>
  </si>
  <si>
    <t xml:space="preserve">Balancing two-wheeled wheelchairs application features the Robot </t>
  </si>
  <si>
    <t>KR101216028</t>
  </si>
  <si>
    <t xml:space="preserve">Robot with balancing function Robot with balancing function </t>
  </si>
  <si>
    <t>KR101151273</t>
  </si>
  <si>
    <t xml:space="preserve">Tracking and maintaining balance system and method of a robot that mimics the motion capture data </t>
  </si>
  <si>
    <t>JP5836565</t>
  </si>
  <si>
    <t xml:space="preserve">Industrial robot with mass balance </t>
  </si>
  <si>
    <t>WO9631325</t>
  </si>
  <si>
    <t xml:space="preserve">Device for weight balancing of robot arm has unit for easy fitting and removal of at least one additional exchangeable coil spring in cylinder </t>
  </si>
  <si>
    <t>DE10007251</t>
  </si>
  <si>
    <t xml:space="preserve">detachable moving cart for the overhead welding robot </t>
  </si>
  <si>
    <t>KR101203295</t>
  </si>
  <si>
    <t>CN204658434</t>
  </si>
  <si>
    <t xml:space="preserve">Travelling robot with obstacle avoidance system and balance control - has 2 sets of perpendicular longitudinal elements supported by legs which are lengthened and shortened by operating drives </t>
  </si>
  <si>
    <t>DE4237773</t>
  </si>
  <si>
    <t xml:space="preserve">Balance regulator for arm in industrial robot </t>
  </si>
  <si>
    <t>JPS63139683</t>
  </si>
  <si>
    <t xml:space="preserve">Star face detection mechanism for balancing robot </t>
  </si>
  <si>
    <t>CN104527992</t>
  </si>
  <si>
    <t xml:space="preserve">Walking robot and method of controlling balance thereof </t>
  </si>
  <si>
    <t>US2011172817</t>
  </si>
  <si>
    <t xml:space="preserve">Vertical and balanced robot </t>
  </si>
  <si>
    <t>CN105005303</t>
  </si>
  <si>
    <t xml:space="preserve">Portable Robot Arms With Wheel </t>
  </si>
  <si>
    <t>KR200364302</t>
  </si>
  <si>
    <t xml:space="preserve">Insect killer balancing system, insect killer balance adjustment method and program </t>
  </si>
  <si>
    <t>JP6105181</t>
  </si>
  <si>
    <t xml:space="preserve">Vertical balanced robot </t>
  </si>
  <si>
    <t>CN105094160</t>
  </si>
  <si>
    <t xml:space="preserve">Two wheels balancing robot </t>
  </si>
  <si>
    <t>KR20110065740</t>
  </si>
  <si>
    <t xml:space="preserve">Automatic Cleaning Robot Apparatus for Solar Cell Panel </t>
  </si>
  <si>
    <t>KR101822307</t>
  </si>
  <si>
    <t xml:space="preserve">Sensing method the damaage for the carriage of the movable welding robot </t>
  </si>
  <si>
    <t>KR101287283</t>
  </si>
  <si>
    <t xml:space="preserve">Agricultural robot system for pest control </t>
  </si>
  <si>
    <t>KR101376535</t>
  </si>
  <si>
    <t xml:space="preserve">Apparatus for maintaining the balancing of the crankshaft of a robot </t>
  </si>
  <si>
    <t>FR2555493</t>
  </si>
  <si>
    <t xml:space="preserve">Prevent starting balanced robot of two -wheeled of layback </t>
  </si>
  <si>
    <t>CN206633021</t>
  </si>
  <si>
    <t xml:space="preserve">Big arm balance cylinder device for industrial robot </t>
  </si>
  <si>
    <t>CN203171650</t>
  </si>
  <si>
    <t xml:space="preserve">High weight handling robot equipped with loose preventing appratus of balance spring shaft </t>
  </si>
  <si>
    <t>KR200468355</t>
  </si>
  <si>
    <t xml:space="preserve">Walking robot and method for controlling balancing the same </t>
  </si>
  <si>
    <t>KR20120069923</t>
  </si>
  <si>
    <t>US8498742</t>
  </si>
  <si>
    <t xml:space="preserve">Parallel robot </t>
  </si>
  <si>
    <t>US5333514</t>
  </si>
  <si>
    <t xml:space="preserve">Industrial robot with weight balancing system </t>
  </si>
  <si>
    <t>CN102029607</t>
  </si>
  <si>
    <t xml:space="preserve">Balance system by fluid transfer for legged robots </t>
  </si>
  <si>
    <t>US2007039768</t>
  </si>
  <si>
    <t xml:space="preserve">Industrial robot with pressurized air supply in balancing device </t>
  </si>
  <si>
    <t>US2010043587</t>
  </si>
  <si>
    <t xml:space="preserve">Pumpless balancing system for bipedal or multi - legged robots </t>
  </si>
  <si>
    <t>WO2009078825</t>
  </si>
  <si>
    <t xml:space="preserve">Balancing device for an industrial robot </t>
  </si>
  <si>
    <t>EP0058955</t>
  </si>
  <si>
    <t xml:space="preserve">Posture control system of legged mobile robot </t>
  </si>
  <si>
    <t>US6505096</t>
  </si>
  <si>
    <t xml:space="preserve">Six-degree-of-freedom articulated robot mechanism and assembling and working apparatus using same </t>
  </si>
  <si>
    <t>US5197846</t>
  </si>
  <si>
    <t xml:space="preserve">Robot lower arm balancing device </t>
  </si>
  <si>
    <t>CN201800052</t>
  </si>
  <si>
    <t xml:space="preserve">Balanced suspension chassis and robot </t>
  </si>
  <si>
    <t>CN107571697</t>
  </si>
  <si>
    <t xml:space="preserve">Hemispheric differential spherical robot </t>
  </si>
  <si>
    <t>CN101565062</t>
  </si>
  <si>
    <t xml:space="preserve">Multidimension framework formula satellite antenna deployment mechanism gravity balance arm </t>
  </si>
  <si>
    <t>CN204964218</t>
  </si>
  <si>
    <t xml:space="preserve">Gravity balancing device for rocking arm </t>
  </si>
  <si>
    <t>US4592697</t>
  </si>
  <si>
    <t xml:space="preserve">Multi-legged, walking toy robot </t>
  </si>
  <si>
    <t>US5423708</t>
  </si>
  <si>
    <t xml:space="preserve">Balance actuating element for use in industrial robot system for e.g. positioning object, has joint arrangement deflectable by actuator, and movement unit deflectable in spatial directions due to coupling of joint assembly </t>
  </si>
  <si>
    <t>DE102009035877</t>
  </si>
  <si>
    <t xml:space="preserve">Balanced spherical robot's of two -wheeled transmitter positioner , ejector system </t>
  </si>
  <si>
    <t>CN206632999</t>
  </si>
  <si>
    <t xml:space="preserve">Three-dimensional robot apparatus and method for compensating the weight balance </t>
  </si>
  <si>
    <t>CN104626101</t>
  </si>
  <si>
    <t xml:space="preserve">Appliance stabilized by a gyroscope, in particular a two-wheeled robot </t>
  </si>
  <si>
    <t>US6527071</t>
  </si>
  <si>
    <t xml:space="preserve">Robotic cane device </t>
  </si>
  <si>
    <t>JP2012035076</t>
  </si>
  <si>
    <t xml:space="preserve">Magnetic sphere balancing type robot actuator </t>
  </si>
  <si>
    <t>CN203237310</t>
  </si>
  <si>
    <t xml:space="preserve">Ambulation control apparatus and ambulation control method of robot </t>
  </si>
  <si>
    <t>US6697709</t>
  </si>
  <si>
    <t>JPH03208582</t>
  </si>
  <si>
    <t xml:space="preserve">Anti-slip control for a legged robot and realisitc simulation of a legged creature </t>
  </si>
  <si>
    <t>US5644204</t>
  </si>
  <si>
    <t xml:space="preserve">Robot apparatus for pipe inside surface work </t>
  </si>
  <si>
    <t>KR20100064475</t>
  </si>
  <si>
    <t xml:space="preserve">Ceiling and floor mounted surgical robot set-up arms </t>
  </si>
  <si>
    <t>US6788018</t>
  </si>
  <si>
    <t xml:space="preserve">Single-wheel robot system </t>
  </si>
  <si>
    <t>CN201525025</t>
  </si>
  <si>
    <t xml:space="preserve">Balanced suspension robot welding workstation </t>
  </si>
  <si>
    <t>CN202591857</t>
  </si>
  <si>
    <t xml:space="preserve">Bidirectional balance six-shaft robot with movable gripper </t>
  </si>
  <si>
    <t>CN105171733</t>
  </si>
  <si>
    <t xml:space="preserve">Counterbalance robot arm </t>
  </si>
  <si>
    <t>US4507043</t>
  </si>
  <si>
    <t xml:space="preserve">Gripping device of motor rotor balancing machine </t>
  </si>
  <si>
    <t>CN203003898</t>
  </si>
  <si>
    <t>US7089083</t>
  </si>
  <si>
    <t xml:space="preserve">Balancer device for a robot arm </t>
  </si>
  <si>
    <t>US5415057</t>
  </si>
  <si>
    <t xml:space="preserve">Robot motion control system </t>
  </si>
  <si>
    <t>US4843566</t>
  </si>
  <si>
    <t xml:space="preserve">Industrial robot with a balancing device </t>
  </si>
  <si>
    <t>US2002162414</t>
  </si>
  <si>
    <t xml:space="preserve">Robot system, robot apparatus and cover for robot apparatus </t>
  </si>
  <si>
    <t>US6711469</t>
  </si>
  <si>
    <t>US5351773</t>
  </si>
  <si>
    <t xml:space="preserve">Control system and related method for multi-limbed, multi-legged robot </t>
  </si>
  <si>
    <t>US7339340</t>
  </si>
  <si>
    <t xml:space="preserve">Five axis direct-drive mini-robot having fifth actuator located at non-adjacent joint </t>
  </si>
  <si>
    <t>US5528955</t>
  </si>
  <si>
    <t xml:space="preserve">Leg device for leg type movable robot, and method of controlling leg type movable robot </t>
  </si>
  <si>
    <t>US6992455</t>
  </si>
  <si>
    <t xml:space="preserve">Balanced type machinery arm control device </t>
  </si>
  <si>
    <t>CN205255008</t>
  </si>
  <si>
    <t xml:space="preserve">Robotic admixture system </t>
  </si>
  <si>
    <t>US5431201</t>
  </si>
  <si>
    <t xml:space="preserve">Device for counter-balancing the forces due to gravity in a robot arm </t>
  </si>
  <si>
    <t>US4620829</t>
  </si>
  <si>
    <t xml:space="preserve">Control system for controlling the knee joint actuators of a legged robot in response to a detected fall condition so as to lower the center of gravity of the robot </t>
  </si>
  <si>
    <t>US6064167</t>
  </si>
  <si>
    <t xml:space="preserve">Automated centrifuge for automatically receiving and balancing samples </t>
  </si>
  <si>
    <t>US5769775</t>
  </si>
  <si>
    <t>CN204295679</t>
  </si>
  <si>
    <t>US4894595</t>
  </si>
  <si>
    <t>US2006173578</t>
  </si>
  <si>
    <t xml:space="preserve">Dynamic balance adjusting apparatus </t>
  </si>
  <si>
    <t>US5992232</t>
  </si>
  <si>
    <t xml:space="preserve">Balance function diagnostic system and method </t>
  </si>
  <si>
    <t>US2006251334</t>
  </si>
  <si>
    <t xml:space="preserve">Robot and motion control method of robot </t>
  </si>
  <si>
    <t>US7053577</t>
  </si>
  <si>
    <t xml:space="preserve">Balanced type mechanical arm for changing card type battery of electric motor car </t>
  </si>
  <si>
    <t>CN1467108</t>
  </si>
  <si>
    <t xml:space="preserve">Robot device and control method of robot device </t>
  </si>
  <si>
    <t>US2005107916</t>
  </si>
  <si>
    <t xml:space="preserve">Robot movement control system </t>
  </si>
  <si>
    <t>US2004254679</t>
  </si>
  <si>
    <t xml:space="preserve">Method of weighing a load on a balance and apparatus for performing the method </t>
  </si>
  <si>
    <t>US6420666</t>
  </si>
  <si>
    <t xml:space="preserve">Systems and methods for controlling a legged robot based on rate of change of angular momentum </t>
  </si>
  <si>
    <t>US2005234593</t>
  </si>
  <si>
    <t xml:space="preserve">Legged mobile robot and external module for the robot </t>
  </si>
  <si>
    <t>US6538410</t>
  </si>
  <si>
    <t xml:space="preserve">Folding robotic system </t>
  </si>
  <si>
    <t>US6999849</t>
  </si>
  <si>
    <t xml:space="preserve">Robot and joint device for the same </t>
  </si>
  <si>
    <t>US6583595</t>
  </si>
  <si>
    <t>US2005075755</t>
  </si>
  <si>
    <t xml:space="preserve">Robot device, motion control device for robot device and motion control method </t>
  </si>
  <si>
    <t>US2005038560</t>
  </si>
  <si>
    <t xml:space="preserve">Reconfigurable wall climbing robot and collaborative obstacle-detouring method thereof </t>
  </si>
  <si>
    <t>CN102390453</t>
  </si>
  <si>
    <t xml:space="preserve">Gait creation device of leg-type mobile robot </t>
  </si>
  <si>
    <t>US2009312867</t>
  </si>
  <si>
    <t xml:space="preserve">Palletizing robot </t>
  </si>
  <si>
    <t>CN102234026</t>
  </si>
  <si>
    <t xml:space="preserve">Pool cleaning robot </t>
  </si>
  <si>
    <t>US7805792</t>
  </si>
  <si>
    <t xml:space="preserve">Autonomous rolling robot </t>
  </si>
  <si>
    <t>US6414457</t>
  </si>
  <si>
    <t xml:space="preserve">Multi-purpose end effector for a robotic arm </t>
  </si>
  <si>
    <t>US6357994</t>
  </si>
  <si>
    <t xml:space="preserve">Articulated robot </t>
  </si>
  <si>
    <t>US5634377</t>
  </si>
  <si>
    <t>US4445184</t>
  </si>
  <si>
    <t xml:space="preserve">Multiaxial industrial robot </t>
  </si>
  <si>
    <t>US5305652</t>
  </si>
  <si>
    <t>US7765780</t>
  </si>
  <si>
    <t>JP2002283274</t>
  </si>
  <si>
    <t xml:space="preserve">Legged walking robot </t>
  </si>
  <si>
    <t>US6377014</t>
  </si>
  <si>
    <t xml:space="preserve">Controller of Leg Type Moving Robot </t>
  </si>
  <si>
    <t>US2008065269</t>
  </si>
  <si>
    <t xml:space="preserve">Electrical robot dueler </t>
  </si>
  <si>
    <t>US2957693</t>
  </si>
  <si>
    <t xml:space="preserve">Robot action based on human demonstration </t>
  </si>
  <si>
    <t>US2012143374</t>
  </si>
  <si>
    <t xml:space="preserve">Revolute welding robot </t>
  </si>
  <si>
    <t>US5151570</t>
  </si>
  <si>
    <t xml:space="preserve">Machine Learning Approach for Predicting Humanoid Robot Fall </t>
  </si>
  <si>
    <t>US2010292838</t>
  </si>
  <si>
    <t>US7331750</t>
  </si>
  <si>
    <t>US2009314554</t>
  </si>
  <si>
    <t xml:space="preserve">Gait producing device for leg type movable robot </t>
  </si>
  <si>
    <t>US2005021176</t>
  </si>
  <si>
    <t xml:space="preserve">Automatic horizontal equilibrium robot </t>
  </si>
  <si>
    <t>CN205521353</t>
  </si>
  <si>
    <t xml:space="preserve">Robot mechanism </t>
  </si>
  <si>
    <t>JP2006218563</t>
  </si>
  <si>
    <t xml:space="preserve">Industrial robot control system - has spiral balancing spring between jib bracket and tool arm pull-rod </t>
  </si>
  <si>
    <t>DE2848385</t>
  </si>
  <si>
    <t xml:space="preserve">Counter balance system and method with one or more mechanical arms </t>
  </si>
  <si>
    <t>US2004035243</t>
  </si>
  <si>
    <t>US8001837</t>
  </si>
  <si>
    <t xml:space="preserve">Posture control device for leg type mobile robot </t>
  </si>
  <si>
    <t>JPH10230485</t>
  </si>
  <si>
    <t xml:space="preserve">Analytical balance </t>
  </si>
  <si>
    <t>US4789034</t>
  </si>
  <si>
    <t xml:space="preserve">Live-working robot of transformer substation </t>
  </si>
  <si>
    <t>CN103056866</t>
  </si>
  <si>
    <t xml:space="preserve">Robot walking control apparatus and method thereof </t>
  </si>
  <si>
    <t>US2010185330</t>
  </si>
  <si>
    <t xml:space="preserve">Dynamic force controller for multilegged robot </t>
  </si>
  <si>
    <t>US2008109115</t>
  </si>
  <si>
    <t xml:space="preserve">Mechanized robots for use in instruction, training, and practice in the sport of ice and roller hockey </t>
  </si>
  <si>
    <t>US5647747</t>
  </si>
  <si>
    <t xml:space="preserve">Robot device and method of controlling robot device operation </t>
  </si>
  <si>
    <t>US6865446</t>
  </si>
  <si>
    <t xml:space="preserve">Packing and palletizing robot </t>
  </si>
  <si>
    <t>CN101817452</t>
  </si>
  <si>
    <t xml:space="preserve">Gait Generator of Legged Mobile Robot </t>
  </si>
  <si>
    <t>US2008133055</t>
  </si>
  <si>
    <t xml:space="preserve">Robot cyclic locomotion using a dynamic object </t>
  </si>
  <si>
    <t>US2013238122</t>
  </si>
  <si>
    <t xml:space="preserve">Robot and control method thereof </t>
  </si>
  <si>
    <t>US2012310412</t>
  </si>
  <si>
    <t xml:space="preserve">Method and device for dynamic control of a walking robot </t>
  </si>
  <si>
    <t>EP2384863</t>
  </si>
  <si>
    <t xml:space="preserve">Legged mobile robot controller, legged mobile robot and legged mobile robot control method </t>
  </si>
  <si>
    <t>US7330775</t>
  </si>
  <si>
    <t xml:space="preserve">Hand-in-hand demonstration robot </t>
  </si>
  <si>
    <t>CN1307956</t>
  </si>
  <si>
    <t xml:space="preserve">Driving method, drive control apparatus, and robot </t>
  </si>
  <si>
    <t>US2007260355</t>
  </si>
  <si>
    <t xml:space="preserve">Handling system for moving work piece e.g. vehicle body, has industrial robot, where drive unit is not operated on supporting device and supporting device is moved through carrier unit by suspension system in coupled position of robot </t>
  </si>
  <si>
    <t>DE102006026132</t>
  </si>
  <si>
    <t xml:space="preserve">Accessory robot for mobile device </t>
  </si>
  <si>
    <t>US2014277847</t>
  </si>
  <si>
    <t xml:space="preserve">Inner system for controlling gestures of underwater robot </t>
  </si>
  <si>
    <t>CN102012704</t>
  </si>
  <si>
    <t xml:space="preserve">Articulated arm robot </t>
  </si>
  <si>
    <t>US2007265731</t>
  </si>
  <si>
    <t xml:space="preserve">Walking robot and control method thereof </t>
  </si>
  <si>
    <t>US2012059518</t>
  </si>
  <si>
    <t xml:space="preserve">Damage reduction control for humanoid robot fall </t>
  </si>
  <si>
    <t>US2012245735</t>
  </si>
  <si>
    <t>US2009118865</t>
  </si>
  <si>
    <t xml:space="preserve">Method for gait generation and tracking control for a bipedal walking robot </t>
  </si>
  <si>
    <t>US2015120044</t>
  </si>
  <si>
    <t xml:space="preserve">Improved all-direction moving unit for spherical robot </t>
  </si>
  <si>
    <t>CN1397411</t>
  </si>
  <si>
    <t xml:space="preserve">Joint-type medium-duty intelligent control palletizing robot </t>
  </si>
  <si>
    <t>CN202716271</t>
  </si>
  <si>
    <t xml:space="preserve">Robot with counterbalance mechanism having multiple attachment locations </t>
  </si>
  <si>
    <t>US4653975</t>
  </si>
  <si>
    <t xml:space="preserve">Robot having robot foot and equilibrium maintenance method of the same </t>
  </si>
  <si>
    <t>KR20090002417</t>
  </si>
  <si>
    <t xml:space="preserve">Movable robot without falling over </t>
  </si>
  <si>
    <t>US2006149419</t>
  </si>
  <si>
    <t>US2005129495</t>
  </si>
  <si>
    <t>US4466307</t>
  </si>
  <si>
    <t xml:space="preserve">Novel structure of deicing robot based on pneumatic type electric transmission line </t>
  </si>
  <si>
    <t>CN101938095</t>
  </si>
  <si>
    <t xml:space="preserve">Robot controller, robot control method, and legged robot </t>
  </si>
  <si>
    <t>US2011224827</t>
  </si>
  <si>
    <t xml:space="preserve">Walking control apparatus of robot and method of controlling the same </t>
  </si>
  <si>
    <t>US2011178637</t>
  </si>
  <si>
    <t>US2011172825</t>
  </si>
  <si>
    <t xml:space="preserve">Melt indexer system with robot operation </t>
  </si>
  <si>
    <t>US4882930</t>
  </si>
  <si>
    <t xml:space="preserve">Body of robot for automatic polling high-tension transmission line </t>
  </si>
  <si>
    <t>CN1695907</t>
  </si>
  <si>
    <t xml:space="preserve">Arm hanging type high voltage transmission line detecting robot </t>
  </si>
  <si>
    <t>CN101104265</t>
  </si>
  <si>
    <t xml:space="preserve">Four-leg robot mechanism based on bionic design </t>
  </si>
  <si>
    <t>CN102211627</t>
  </si>
  <si>
    <t xml:space="preserve">Robot for carrying and piling </t>
  </si>
  <si>
    <t>CN1923468</t>
  </si>
  <si>
    <t xml:space="preserve">Humanoid Robot that can Dynamically Walk with Limited Available Footholds in the Presence of Disturbances </t>
  </si>
  <si>
    <t>US2013184861</t>
  </si>
  <si>
    <t xml:space="preserve">Device and method for calibration of a multi-axis industrial robot </t>
  </si>
  <si>
    <t>US6205839</t>
  </si>
  <si>
    <t xml:space="preserve">Industrial articulated robot </t>
  </si>
  <si>
    <t>JPH11262889</t>
  </si>
  <si>
    <t xml:space="preserve">Control device and method of articulated mechanism, articulated device, robot device and its control method </t>
  </si>
  <si>
    <t>JP2000296484</t>
  </si>
  <si>
    <t xml:space="preserve">Scara type robot with counterbalanced arms </t>
  </si>
  <si>
    <t>US6354167</t>
  </si>
  <si>
    <t xml:space="preserve">Walking robot and method for controlling posture thereof </t>
  </si>
  <si>
    <t>US9043029</t>
  </si>
  <si>
    <t xml:space="preserve">Wheelchair type paraplegia patient walk-training robot </t>
  </si>
  <si>
    <t>CN201005941</t>
  </si>
  <si>
    <t xml:space="preserve">Walk control device for leg type mobile robot </t>
  </si>
  <si>
    <t>JPH0679657</t>
  </si>
  <si>
    <t xml:space="preserve">Robot system and control method therefor </t>
  </si>
  <si>
    <t>JP2004142095</t>
  </si>
  <si>
    <t xml:space="preserve">Robot of the multi-freedom degree for positioning surgical tool </t>
  </si>
  <si>
    <t>KR100695468</t>
  </si>
  <si>
    <t xml:space="preserve">Delta robot </t>
  </si>
  <si>
    <t>US2012103124</t>
  </si>
  <si>
    <t xml:space="preserve">Robot balancer </t>
  </si>
  <si>
    <t>JPH10138189</t>
  </si>
  <si>
    <t xml:space="preserve">Two-wheel type throwing robot </t>
  </si>
  <si>
    <t>US2012185087</t>
  </si>
  <si>
    <t xml:space="preserve">Balance training system and control method thereof </t>
  </si>
  <si>
    <t>JP2014182318</t>
  </si>
  <si>
    <t xml:space="preserve">Apparatus and method for stabilizing humanoid robot </t>
  </si>
  <si>
    <t>US2011040407</t>
  </si>
  <si>
    <t xml:space="preserve">Exoskeleton type robot </t>
  </si>
  <si>
    <t>JP2012045194</t>
  </si>
  <si>
    <t xml:space="preserve">Underactuated biped robot multi-mode underactuated elastic foot with lateral degrees of freedom </t>
  </si>
  <si>
    <t>CN101428656</t>
  </si>
  <si>
    <t xml:space="preserve">Walking control apparatus and method of robot </t>
  </si>
  <si>
    <t>US2012158182</t>
  </si>
  <si>
    <t xml:space="preserve">Robot and controller </t>
  </si>
  <si>
    <t>WO2007139135</t>
  </si>
  <si>
    <t xml:space="preserve">Apparatus and method controlling legged mobile robot </t>
  </si>
  <si>
    <t>US2011040410</t>
  </si>
  <si>
    <t xml:space="preserve">Electric robot </t>
  </si>
  <si>
    <t>CN2776799</t>
  </si>
  <si>
    <t>US2011138550</t>
  </si>
  <si>
    <t xml:space="preserve">Walking robot and method of controlling the same </t>
  </si>
  <si>
    <t>US2009299523</t>
  </si>
  <si>
    <t>CN1460052</t>
  </si>
  <si>
    <t xml:space="preserve">Robot device, device and method for controlling operation of legged locomotion robot, sensor system for legged locomotion robot, and moving body device </t>
  </si>
  <si>
    <t>JP2004181613</t>
  </si>
  <si>
    <t xml:space="preserve">Manufacture of numerical model with respect to vertebrate animal or robot imitating same </t>
  </si>
  <si>
    <t>JPH11192214</t>
  </si>
  <si>
    <t xml:space="preserve">Robot device, legged locomotion robot operation control device and operation control method, legged locomotion robot sensor system, and locomotion device </t>
  </si>
  <si>
    <t>CN1649698</t>
  </si>
  <si>
    <t xml:space="preserve">Path planning apparatus of robot and method and computer-readable medium thereof </t>
  </si>
  <si>
    <t>US2011106307</t>
  </si>
  <si>
    <t xml:space="preserve">Method of controlling biped walking robot </t>
  </si>
  <si>
    <t>US2005029979</t>
  </si>
  <si>
    <t xml:space="preserve">Motion control device and method for leg-type moving robot, and robot device </t>
  </si>
  <si>
    <t>JP2002210681</t>
  </si>
  <si>
    <t xml:space="preserve">Intelligent emotional robot multi-modal behavioral associative expression system </t>
  </si>
  <si>
    <t>CN101661569</t>
  </si>
  <si>
    <t xml:space="preserve">Amphibious garbage picking robot </t>
  </si>
  <si>
    <t>CN105544443</t>
  </si>
  <si>
    <t xml:space="preserve">Walking robot using simple ground reaction force sensors and a method of controlling the same </t>
  </si>
  <si>
    <t>US7266424</t>
  </si>
  <si>
    <t xml:space="preserve">Assisting device for transport of robot </t>
  </si>
  <si>
    <t>JP2005131715</t>
  </si>
  <si>
    <t xml:space="preserve">Rocker type four-wheel robot </t>
  </si>
  <si>
    <t>CN101549715</t>
  </si>
  <si>
    <t xml:space="preserve">Humanoid robot and walking control method thereof </t>
  </si>
  <si>
    <t>US2011178636</t>
  </si>
  <si>
    <t xml:space="preserve">Stacking robot system of cold-end glass on floatation glass production line </t>
  </si>
  <si>
    <t>CN101704454</t>
  </si>
  <si>
    <t xml:space="preserve">Pneumatic balancing mechanical arm </t>
  </si>
  <si>
    <t>CN101234486</t>
  </si>
  <si>
    <t xml:space="preserve">Block material stacking robot </t>
  </si>
  <si>
    <t>CN203473969</t>
  </si>
  <si>
    <t>US4728247</t>
  </si>
  <si>
    <t xml:space="preserve">Lower extremity recovery training robot </t>
  </si>
  <si>
    <t>CN2558375</t>
  </si>
  <si>
    <t xml:space="preserve">Rope-driven waist rehabilitation robot </t>
  </si>
  <si>
    <t>CN102068363</t>
  </si>
  <si>
    <t xml:space="preserve">Industrial robot shaft supporting mechanism </t>
  </si>
  <si>
    <t>US4782713</t>
  </si>
  <si>
    <t>US4708578</t>
  </si>
  <si>
    <t xml:space="preserve">Robot cleaner </t>
  </si>
  <si>
    <t>EP2316322</t>
  </si>
  <si>
    <t xml:space="preserve">Three-wheel inspection robot mechanism capable of crossing over catenary of pole and tower </t>
  </si>
  <si>
    <t>CN101859989</t>
  </si>
  <si>
    <t xml:space="preserve">Fire-fighting reconnoitre robot possessing explosion-proof characteristic </t>
  </si>
  <si>
    <t>CN1923465</t>
  </si>
  <si>
    <t xml:space="preserve">Bionic robot fish </t>
  </si>
  <si>
    <t>CN2628239</t>
  </si>
  <si>
    <t xml:space="preserve">Leg wheel separation type robot </t>
  </si>
  <si>
    <t>JP2006326739</t>
  </si>
  <si>
    <t xml:space="preserve">Pneumatic power assisting industrial robot </t>
  </si>
  <si>
    <t>CN102922516</t>
  </si>
  <si>
    <t xml:space="preserve">Industrial robot comprising a control system </t>
  </si>
  <si>
    <t>US4024961</t>
  </si>
  <si>
    <t xml:space="preserve">Method for controlling the walking motion of a mobile robot, and robot implementing said method </t>
  </si>
  <si>
    <t>US8965573</t>
  </si>
  <si>
    <t>JPH0631680</t>
  </si>
  <si>
    <t xml:space="preserve">Crawler type traveling robot </t>
  </si>
  <si>
    <t>JP2005111595</t>
  </si>
  <si>
    <t xml:space="preserve">Pipeline detection robot based on probe detection </t>
  </si>
  <si>
    <t>CN102135221</t>
  </si>
  <si>
    <t xml:space="preserve">Corridor cleaning robot </t>
  </si>
  <si>
    <t>CN201683852</t>
  </si>
  <si>
    <t xml:space="preserve">Kinematic and Dynamic Calibration Methods for Legged Robots with Force-Controlled Joints </t>
  </si>
  <si>
    <t>US2013131865</t>
  </si>
  <si>
    <t xml:space="preserve">Real-time optimal control method for leg type robot </t>
  </si>
  <si>
    <t>JP2002086373</t>
  </si>
  <si>
    <t xml:space="preserve">Loading robot with weight compensative balancer </t>
  </si>
  <si>
    <t>CN1279147</t>
  </si>
  <si>
    <t xml:space="preserve">Workpiece station balancing positioning apparatus </t>
  </si>
  <si>
    <t>CN201134009</t>
  </si>
  <si>
    <t xml:space="preserve">Balance function diagnostic system and method balance function diagnostic system and method </t>
  </si>
  <si>
    <t>WO2004103176</t>
  </si>
  <si>
    <t xml:space="preserve">Modular manipulator support for robotic surgery </t>
  </si>
  <si>
    <t>CN101106952</t>
  </si>
  <si>
    <t xml:space="preserve">System for balancing and positioning work table of photoetching device </t>
  </si>
  <si>
    <t>CN101075096</t>
  </si>
  <si>
    <t xml:space="preserve">Wheel chair type robot for walking training of paraplegia patient </t>
  </si>
  <si>
    <t>CN1973805</t>
  </si>
  <si>
    <t>US7784570</t>
  </si>
  <si>
    <t>US2011178639</t>
  </si>
  <si>
    <t xml:space="preserve">Robotic filter weighing system </t>
  </si>
  <si>
    <t>US5606153</t>
  </si>
  <si>
    <t xml:space="preserve">Air purifying and floor sweeping robot </t>
  </si>
  <si>
    <t>CN204071961</t>
  </si>
  <si>
    <t>US2013144439</t>
  </si>
  <si>
    <t xml:space="preserve">Robotic controller that realizes human-like responses to unexpected disturbances </t>
  </si>
  <si>
    <t>US2013054021</t>
  </si>
  <si>
    <t xml:space="preserve">3-degree of freedom surgical cartesian robot for positioning surgical tool </t>
  </si>
  <si>
    <t>KR100719347</t>
  </si>
  <si>
    <t xml:space="preserve">Parallel link robot, and method of teaching parallel link robot </t>
  </si>
  <si>
    <t>US2012078415</t>
  </si>
  <si>
    <t xml:space="preserve">Sitting horizontal type individual lower limb rehabilitation training robot </t>
  </si>
  <si>
    <t>CN102743270</t>
  </si>
  <si>
    <t xml:space="preserve">Device and method for foot drop analysis and rehabilitation </t>
  </si>
  <si>
    <t>WO2009125397</t>
  </si>
  <si>
    <t xml:space="preserve">Interference avoiding method of multi-articulated robot </t>
  </si>
  <si>
    <t>JP2005014108</t>
  </si>
  <si>
    <t xml:space="preserve">Means for counterbalancing mass in mechanisms such as a robot arm </t>
  </si>
  <si>
    <t>US4598601</t>
  </si>
  <si>
    <t xml:space="preserve">Robot and method of its attitude control </t>
  </si>
  <si>
    <t>US6330494</t>
  </si>
  <si>
    <t xml:space="preserve">Robot and method of controlling the same </t>
  </si>
  <si>
    <t>US2010161118</t>
  </si>
  <si>
    <t xml:space="preserve">Dynamic control of a robot with its center of mass decoupled from an end effector by a redundant linkage </t>
  </si>
  <si>
    <t>US5214749</t>
  </si>
  <si>
    <t xml:space="preserve">Method and system for positioning surgical robot </t>
  </si>
  <si>
    <t>US5806518</t>
  </si>
  <si>
    <t xml:space="preserve">Multifunctional glass cleaning robot and control method </t>
  </si>
  <si>
    <t>CN102961080</t>
  </si>
  <si>
    <t>US2013128035</t>
  </si>
  <si>
    <t xml:space="preserve">Rocker-type wheel and track combining robot </t>
  </si>
  <si>
    <t>CN101554890</t>
  </si>
  <si>
    <t xml:space="preserve">High power passive obstacle crossing robot </t>
  </si>
  <si>
    <t>CN2673583</t>
  </si>
  <si>
    <t>JPH11238775</t>
  </si>
  <si>
    <t xml:space="preserve">Robotic sample preparation system and method </t>
  </si>
  <si>
    <t>US5363885</t>
  </si>
  <si>
    <t xml:space="preserve">Legged mobile robot and a system for controlling the same </t>
  </si>
  <si>
    <t>US5455497</t>
  </si>
  <si>
    <t xml:space="preserve">Locomotion control system for legged mobile robot </t>
  </si>
  <si>
    <t>US5432417</t>
  </si>
  <si>
    <t>US6289265</t>
  </si>
  <si>
    <t xml:space="preserve">Remote center-of-motion robot for surgery </t>
  </si>
  <si>
    <t>US5397323</t>
  </si>
  <si>
    <t xml:space="preserve">Electric public transport system </t>
  </si>
  <si>
    <t>CN1605514</t>
  </si>
  <si>
    <t xml:space="preserve">Control apparatus for movable robot </t>
  </si>
  <si>
    <t>US2006058920</t>
  </si>
  <si>
    <t xml:space="preserve">Inverted two-wheeled robot </t>
  </si>
  <si>
    <t>US2008173493</t>
  </si>
  <si>
    <t xml:space="preserve">Spherical rolling robot </t>
  </si>
  <si>
    <t>CN102514645</t>
  </si>
  <si>
    <t xml:space="preserve">Robotic seed-handling apparatus and methods </t>
  </si>
  <si>
    <t>US6705827</t>
  </si>
  <si>
    <t xml:space="preserve">Riverway illegal sewage drain detection robot fish </t>
  </si>
  <si>
    <t>CN102700695</t>
  </si>
  <si>
    <t xml:space="preserve">Three freedom shoulder, elbow joint force feedback type healing robot </t>
  </si>
  <si>
    <t>CN101288620</t>
  </si>
  <si>
    <t>US4641251</t>
  </si>
  <si>
    <t xml:space="preserve">Robot system and its control method </t>
  </si>
  <si>
    <t>US5929585</t>
  </si>
  <si>
    <t xml:space="preserve">Legged mobile robot and control method thereof, leg structure of legged mobile robot, and mobile leg unit for legged mobile robot </t>
  </si>
  <si>
    <t>US6901313</t>
  </si>
  <si>
    <t xml:space="preserve">Clamping device and workpiece conveying robot </t>
  </si>
  <si>
    <t>US8764085</t>
  </si>
  <si>
    <t xml:space="preserve">Automatic analysis method and apparatus for enzyme reaction </t>
  </si>
  <si>
    <t>US4835707</t>
  </si>
  <si>
    <t xml:space="preserve">Instruction for groups of users interactively controlling groups of images to make idiosyncratic, simulated, physical movements </t>
  </si>
  <si>
    <t>US6220865</t>
  </si>
  <si>
    <t xml:space="preserve">Augmented stereoscopic visualization for a surgical robot using a captured fluorescence image and captured stereoscopic visible images </t>
  </si>
  <si>
    <t>US2009268010</t>
  </si>
  <si>
    <t xml:space="preserve">Safe programming system for industrial robots </t>
  </si>
  <si>
    <t>US4442387</t>
  </si>
  <si>
    <t xml:space="preserve">High precision redundant robotic manipulator </t>
  </si>
  <si>
    <t>US5811951</t>
  </si>
  <si>
    <t>US2013158712</t>
  </si>
  <si>
    <t xml:space="preserve">Automatic thin-film measuring apparatus </t>
  </si>
  <si>
    <t>US5321634</t>
  </si>
  <si>
    <t xml:space="preserve">Upper arm and wrist structure for robot </t>
  </si>
  <si>
    <t>CN2215972</t>
  </si>
  <si>
    <t xml:space="preserve">Load balanced image generation </t>
  </si>
  <si>
    <t>US6108460</t>
  </si>
  <si>
    <t>US5054332</t>
  </si>
  <si>
    <t xml:space="preserve">Haptic feedback devices for surgical robot </t>
  </si>
  <si>
    <t>US9198714</t>
  </si>
  <si>
    <t xml:space="preserve">Apparatus and method for disassembling and assembling gas turbine combustor </t>
  </si>
  <si>
    <t>US6141862</t>
  </si>
  <si>
    <t xml:space="preserve">Robot device and method of controlling the same </t>
  </si>
  <si>
    <t>US2005228540</t>
  </si>
  <si>
    <t xml:space="preserve">Legged mobile robot equipped with impact absorber </t>
  </si>
  <si>
    <t>US5445235</t>
  </si>
  <si>
    <t xml:space="preserve">Appendage for a robot </t>
  </si>
  <si>
    <t>US6779217</t>
  </si>
  <si>
    <t xml:space="preserve">Industrial robot of the articulated type </t>
  </si>
  <si>
    <t>US4396344</t>
  </si>
  <si>
    <t xml:space="preserve">Balance with wind guard </t>
  </si>
  <si>
    <t>US4798250</t>
  </si>
  <si>
    <t xml:space="preserve">Wire type robot capable of independently controlling attitude and rigidity </t>
  </si>
  <si>
    <t>JP2004322283</t>
  </si>
  <si>
    <t xml:space="preserve">Restaurant service robot </t>
  </si>
  <si>
    <t>CN203102008</t>
  </si>
  <si>
    <t>US7546891</t>
  </si>
  <si>
    <t xml:space="preserve">Horizontal multi-articulated robot </t>
  </si>
  <si>
    <t>JP2010149214</t>
  </si>
  <si>
    <t xml:space="preserve">Robot for cleaning outer wall and method therefor </t>
  </si>
  <si>
    <t>KR100823006</t>
  </si>
  <si>
    <t xml:space="preserve">System and method for computing grasps for a robotic hand with a palm </t>
  </si>
  <si>
    <t>US2006012198</t>
  </si>
  <si>
    <t xml:space="preserve">Robot technology of on-line cleaning power plant steam condenser using high pressure water jet </t>
  </si>
  <si>
    <t>CN1664486</t>
  </si>
  <si>
    <t xml:space="preserve">Automated sample processing system </t>
  </si>
  <si>
    <t>US7141213</t>
  </si>
  <si>
    <t>US8004229</t>
  </si>
  <si>
    <t xml:space="preserve">Speed-adaptive control scheme for legged running robots </t>
  </si>
  <si>
    <t>US7295892</t>
  </si>
  <si>
    <t xml:space="preserve">Interactive systems employing robotic companions </t>
  </si>
  <si>
    <t>US2009055019</t>
  </si>
  <si>
    <t xml:space="preserve">Surface maintaining robot </t>
  </si>
  <si>
    <t>CN203266627</t>
  </si>
  <si>
    <t>US2013079929</t>
  </si>
  <si>
    <t xml:space="preserve">Control robot </t>
  </si>
  <si>
    <t>US5509847</t>
  </si>
  <si>
    <t xml:space="preserve">Balanced access to data volumes with redundant copies stored in data storage libraries </t>
  </si>
  <si>
    <t>US6502165</t>
  </si>
  <si>
    <t xml:space="preserve">Yaw slip handling in a robotic device </t>
  </si>
  <si>
    <t>US9352470</t>
  </si>
  <si>
    <t xml:space="preserve">Multi-fingered robot hand </t>
  </si>
  <si>
    <t>US2010176615</t>
  </si>
  <si>
    <t xml:space="preserve">Master interface and driving method of surgical robot </t>
  </si>
  <si>
    <t>US2011022229</t>
  </si>
  <si>
    <t xml:space="preserve">Robot gripper </t>
  </si>
  <si>
    <t>US5871248</t>
  </si>
  <si>
    <t xml:space="preserve">Holding arrangement having an apparatus for balancing a load torque </t>
  </si>
  <si>
    <t>US7109678</t>
  </si>
  <si>
    <t xml:space="preserve">Human-simulated external skeleton robot assisting lower limbs </t>
  </si>
  <si>
    <t>CN103610568</t>
  </si>
  <si>
    <t xml:space="preserve">Remote-controlled work robot </t>
  </si>
  <si>
    <t>US2012043100</t>
  </si>
  <si>
    <t xml:space="preserve">Multiple-joint industrial robot </t>
  </si>
  <si>
    <t>US2014102240</t>
  </si>
  <si>
    <t xml:space="preserve">Controllable multi-degree of freedom welding robot </t>
  </si>
  <si>
    <t>CN103707289</t>
  </si>
  <si>
    <t xml:space="preserve">Group robot system, and sensing robot and base station used therefor </t>
  </si>
  <si>
    <t>US2003105534</t>
  </si>
  <si>
    <t xml:space="preserve">Robot hand and robot </t>
  </si>
  <si>
    <t>US2008114491</t>
  </si>
  <si>
    <t xml:space="preserve">Three dimensional force feedback main operator assisting minimally invasive surgery robot </t>
  </si>
  <si>
    <t>CN101444431</t>
  </si>
  <si>
    <t xml:space="preserve">Operating range limiting device for direct teaching robot </t>
  </si>
  <si>
    <t>JPH09141580</t>
  </si>
  <si>
    <t xml:space="preserve">Device and method for controlling operation of legged robot, and robot device </t>
  </si>
  <si>
    <t>US6898485</t>
  </si>
  <si>
    <t xml:space="preserve">Cluster tool architecture for processing a substrate </t>
  </si>
  <si>
    <t>US7925377</t>
  </si>
  <si>
    <t xml:space="preserve">Mechanical handling device of object stacking machine </t>
  </si>
  <si>
    <t>CN2902981</t>
  </si>
  <si>
    <t xml:space="preserve">Health protection robot system and data processing method thereof </t>
  </si>
  <si>
    <t>CN105260588</t>
  </si>
  <si>
    <t xml:space="preserve">Polar robot based on wind-solar hybrid power supply </t>
  </si>
  <si>
    <t>CN103481786</t>
  </si>
  <si>
    <t xml:space="preserve">Tactile sensor and gripping robot using the same </t>
  </si>
  <si>
    <t>US6886415</t>
  </si>
  <si>
    <t xml:space="preserve">Wearable walking assistance robot suit </t>
  </si>
  <si>
    <t>KR20110074170</t>
  </si>
  <si>
    <t xml:space="preserve">Pneumatic mechanical hand clamping tongs </t>
  </si>
  <si>
    <t>CN1824473</t>
  </si>
  <si>
    <t xml:space="preserve">Method for loading vehicle body with seats and robot hand for clamping seat </t>
  </si>
  <si>
    <t>US5833432</t>
  </si>
  <si>
    <t xml:space="preserve">Caster type mobile robot </t>
  </si>
  <si>
    <t>JP2003205480</t>
  </si>
  <si>
    <t xml:space="preserve">Robotic vehicle construction </t>
  </si>
  <si>
    <t>US6702050</t>
  </si>
  <si>
    <t xml:space="preserve">Robot unit </t>
  </si>
  <si>
    <t>US7189049</t>
  </si>
  <si>
    <t xml:space="preserve">Automatic delivery method for cone yarn dyeing powdery dye and special equipment therefor </t>
  </si>
  <si>
    <t>CN101476222</t>
  </si>
  <si>
    <t xml:space="preserve">Modular hybrid multi-axis robot </t>
  </si>
  <si>
    <t>US6831436</t>
  </si>
  <si>
    <t xml:space="preserve">Robot hand member, method of manufacturing the same, and robot hand </t>
  </si>
  <si>
    <t>WO2005102618</t>
  </si>
  <si>
    <t xml:space="preserve">Robot gravity-based electrical generator </t>
  </si>
  <si>
    <t>US2009127864</t>
  </si>
  <si>
    <t>CN2767079</t>
  </si>
  <si>
    <t xml:space="preserve">Two-plane balance for spindle motors </t>
  </si>
  <si>
    <t>US6608733</t>
  </si>
  <si>
    <t xml:space="preserve">Clean thin glass handling robot </t>
  </si>
  <si>
    <t>CN200974243</t>
  </si>
  <si>
    <t xml:space="preserve">Robot system controlling method, robot system, and control apparatus for quadrupedal robot </t>
  </si>
  <si>
    <t>US2012072026</t>
  </si>
  <si>
    <t xml:space="preserve">Dynamically balanced substrate carrier handler </t>
  </si>
  <si>
    <t>US7168553</t>
  </si>
  <si>
    <t xml:space="preserve">Gravitational torque compensation system for robot arms </t>
  </si>
  <si>
    <t>US5220849</t>
  </si>
  <si>
    <t xml:space="preserve">Method for robotic arthroplasty using navigation </t>
  </si>
  <si>
    <t>US8641726</t>
  </si>
  <si>
    <t xml:space="preserve">Methods for robotic arthroplasty </t>
  </si>
  <si>
    <t>US2012221017</t>
  </si>
  <si>
    <t xml:space="preserve">Door Opener Arrangement for Use with an Industrial Robot </t>
  </si>
  <si>
    <t>US2009204260</t>
  </si>
  <si>
    <t xml:space="preserve">Hand device of industrial robot </t>
  </si>
  <si>
    <t>JP2008073824</t>
  </si>
  <si>
    <t xml:space="preserve">Medical robotic system with programmably controlled constraints on error dynamics </t>
  </si>
  <si>
    <t>US2007151389</t>
  </si>
  <si>
    <t xml:space="preserve">Interactive control system for packaging control of contact lenses </t>
  </si>
  <si>
    <t>US5607642</t>
  </si>
  <si>
    <t xml:space="preserve">Intelligent methods, functions and apparatus for load handling and transportation mobile robots </t>
  </si>
  <si>
    <t>US2004158355</t>
  </si>
  <si>
    <t xml:space="preserve">Wheel-type X-ray flaw detection robot device </t>
  </si>
  <si>
    <t>CN101887037</t>
  </si>
  <si>
    <t xml:space="preserve">Digital robot control having pulse width modulator operable with reduced noise </t>
  </si>
  <si>
    <t>US4980838</t>
  </si>
  <si>
    <t xml:space="preserve">Man type robot arm </t>
  </si>
  <si>
    <t>JP2003175484</t>
  </si>
  <si>
    <t>CN1155833</t>
  </si>
  <si>
    <t xml:space="preserve">Walking control device for leg type mobile robot </t>
  </si>
  <si>
    <t>JPH05305579</t>
  </si>
  <si>
    <t xml:space="preserve">Two-degree-of-freedom plane parallel robot mechanism </t>
  </si>
  <si>
    <t>CN101104272</t>
  </si>
  <si>
    <t xml:space="preserve">Propel mechanism of underactuated biped walk robot </t>
  </si>
  <si>
    <t>CN101428657</t>
  </si>
  <si>
    <t>CN202045637</t>
  </si>
  <si>
    <t xml:space="preserve">Scheduling method for processing equipment </t>
  </si>
  <si>
    <t>US2008051930</t>
  </si>
  <si>
    <t>JPH05305585</t>
  </si>
  <si>
    <t xml:space="preserve">Balance training apparatus </t>
  </si>
  <si>
    <t>JP2001286578</t>
  </si>
  <si>
    <t xml:space="preserve">Controllable mechanism type fine-adjusting welding robot with multiple degrees of spatial freedom </t>
  </si>
  <si>
    <t>CN103737578</t>
  </si>
  <si>
    <t>US2009321150</t>
  </si>
  <si>
    <t xml:space="preserve">Robot and control method </t>
  </si>
  <si>
    <t>JP2008149444</t>
  </si>
  <si>
    <t xml:space="preserve">Simultaneous Localization And Mapping For A Mobile Robot </t>
  </si>
  <si>
    <t>US2014129027</t>
  </si>
  <si>
    <t>US8042627</t>
  </si>
  <si>
    <t xml:space="preserve">Power assist robotic device and control method of the same </t>
  </si>
  <si>
    <t>JP2013052192</t>
  </si>
  <si>
    <t xml:space="preserve">Compliance apparatus of a robot hand </t>
  </si>
  <si>
    <t>US4820114</t>
  </si>
  <si>
    <t xml:space="preserve">Robot and method of controlling safety thereof </t>
  </si>
  <si>
    <t>US2010057253</t>
  </si>
  <si>
    <t xml:space="preserve">Redundant axis and degree of freedom for hardware-constrained remote center robotic manipulator </t>
  </si>
  <si>
    <t>US2013325031</t>
  </si>
  <si>
    <t xml:space="preserve">Method and device for pretreatment of samples by centrifuging </t>
  </si>
  <si>
    <t>US7115090</t>
  </si>
  <si>
    <t xml:space="preserve">Internal balanced coil for inductively coupled high density plasma processing chamber </t>
  </si>
  <si>
    <t>US2008188087</t>
  </si>
  <si>
    <t xml:space="preserve">Magnetically coupleable robotic surgical devices and related methods </t>
  </si>
  <si>
    <t>US2008058835</t>
  </si>
  <si>
    <t>JP2006136962</t>
  </si>
  <si>
    <t xml:space="preserve">Interactive ice and roller hockey training, coaching, and playing rinks </t>
  </si>
  <si>
    <t>US5643094</t>
  </si>
  <si>
    <t xml:space="preserve">Robot, and control apparatus, control method, and control program for robot </t>
  </si>
  <si>
    <t>US2011029133</t>
  </si>
  <si>
    <t xml:space="preserve">Power transmission device for at least two coaxial axes in a robot </t>
  </si>
  <si>
    <t>EP0443576</t>
  </si>
  <si>
    <t xml:space="preserve">Robot teaching machine </t>
  </si>
  <si>
    <t>US6019606</t>
  </si>
  <si>
    <t xml:space="preserve">Industrial robot with an umbilical-member managing system </t>
  </si>
  <si>
    <t>CN1666847</t>
  </si>
  <si>
    <t xml:space="preserve">Power assisting robotic device and control method thereof </t>
  </si>
  <si>
    <t>US2014212243</t>
  </si>
  <si>
    <t xml:space="preserve">Balance training device </t>
  </si>
  <si>
    <t>JP2001079113</t>
  </si>
  <si>
    <t xml:space="preserve">Gantry robot construction and drive mechanism </t>
  </si>
  <si>
    <t>CN1052360</t>
  </si>
  <si>
    <t xml:space="preserve">Apparatus and method for robot handling control </t>
  </si>
  <si>
    <t>US2004140787</t>
  </si>
  <si>
    <t xml:space="preserve">Portable advisory system for balancing airflows in paint booth </t>
  </si>
  <si>
    <t>US6829522</t>
  </si>
  <si>
    <t xml:space="preserve">Insulator chain intelligent detection robotic system </t>
  </si>
  <si>
    <t>CN103091579</t>
  </si>
  <si>
    <t>US2008185284</t>
  </si>
  <si>
    <t xml:space="preserve">Multi-arm type substrate transporting robot and method of transporting substrate </t>
  </si>
  <si>
    <t>JP2005158826</t>
  </si>
  <si>
    <t xml:space="preserve">Dynamic lower limb rehabilitation robotic apparatus and method of rehabilitating human gait </t>
  </si>
  <si>
    <t>US2010298102</t>
  </si>
  <si>
    <t xml:space="preserve">Robotic system for flexible endoscopy </t>
  </si>
  <si>
    <t>US2012078053</t>
  </si>
  <si>
    <t xml:space="preserve">Device and method for controlling motion of legged mobile robot, and motion unit generating method for legged mobile robot </t>
  </si>
  <si>
    <t>US2003139849</t>
  </si>
  <si>
    <t xml:space="preserve">Monitoring robot sensor consistency </t>
  </si>
  <si>
    <t>US2014067124</t>
  </si>
  <si>
    <t xml:space="preserve">Robotic Chamber Support Pedestal </t>
  </si>
  <si>
    <t>US2008232933</t>
  </si>
  <si>
    <t xml:space="preserve">Methods for automatically programming spatial information in robotic systems </t>
  </si>
  <si>
    <t>US5345540</t>
  </si>
  <si>
    <t xml:space="preserve">Process to balance a rotatable plate of a centrifuge and centrifuge using the process </t>
  </si>
  <si>
    <t>US7025714</t>
  </si>
  <si>
    <t xml:space="preserve">Fictitious force-controlled lower limb exoskeleton robot with counter torque structure </t>
  </si>
  <si>
    <t>CN101786478</t>
  </si>
  <si>
    <t xml:space="preserve">Improved mobility robot and its control system </t>
  </si>
  <si>
    <t>JP2001525567</t>
  </si>
  <si>
    <t xml:space="preserve">Walking robot amusement ride </t>
  </si>
  <si>
    <t>US3680487</t>
  </si>
  <si>
    <t xml:space="preserve">Controlling flexible robot arms using high speed dynamics process </t>
  </si>
  <si>
    <t>US5546508</t>
  </si>
  <si>
    <t xml:space="preserve">Cfrp conveying member, and robot hand using the same </t>
  </si>
  <si>
    <t>JP2009160685</t>
  </si>
  <si>
    <t xml:space="preserve">Method of teaching welding robot </t>
  </si>
  <si>
    <t>US5898285</t>
  </si>
  <si>
    <t xml:space="preserve">Electrical robot </t>
  </si>
  <si>
    <t>US4812104</t>
  </si>
  <si>
    <t xml:space="preserve">High power electrical contacts for robotic tool changer </t>
  </si>
  <si>
    <t>US6116966</t>
  </si>
  <si>
    <t xml:space="preserve">Systems and methods for tracking and balancing robots for imitating motion capture data </t>
  </si>
  <si>
    <t>US2010250001</t>
  </si>
  <si>
    <t xml:space="preserve">Burden loading robot having balancer for compensating for off-center loading of weight </t>
  </si>
  <si>
    <t>US6210097</t>
  </si>
  <si>
    <t xml:space="preserve">Device and method for balancing the weight on a robot arm </t>
  </si>
  <si>
    <t>US6408225</t>
  </si>
  <si>
    <t xml:space="preserve">Balancing control apparatus and control method thereof of the robot </t>
  </si>
  <si>
    <t>JP5991857</t>
  </si>
  <si>
    <t xml:space="preserve">Balancing unit for pivotable mechanical elements, such as doors, robot arms, etc. </t>
  </si>
  <si>
    <t>US4904150</t>
  </si>
  <si>
    <t xml:space="preserve">Balancer device, device equipped with the same, vertically rotatable robot, and thin plate-like object manufacturing equipment </t>
  </si>
  <si>
    <t>JP2005319550</t>
  </si>
  <si>
    <t xml:space="preserve">Industrial robot with a balancing device supported in cantilever fashion </t>
  </si>
  <si>
    <t>EP1419857</t>
  </si>
  <si>
    <t xml:space="preserve">Delta type parallel manipulator robot for moving light load, has load balancing unit balancing load exerted on movable unit and permitting mobility of connection with respect to base unit according to three degrees of liberty and pantograph </t>
  </si>
  <si>
    <t>FR2880575</t>
  </si>
  <si>
    <t xml:space="preserve">Apparatus for weight balancing an industrial robot </t>
  </si>
  <si>
    <t>US4455120</t>
  </si>
  <si>
    <t xml:space="preserve">Mobile platform apparatus of robot having balancing member </t>
  </si>
  <si>
    <t>KR101668390</t>
  </si>
  <si>
    <t xml:space="preserve">Robot arm with balancer </t>
  </si>
  <si>
    <t>CN204123408</t>
  </si>
  <si>
    <t xml:space="preserve">Rotary balancer and robot built in with this rotary balancer </t>
  </si>
  <si>
    <t>JPH10193292</t>
  </si>
  <si>
    <t xml:space="preserve">Robot balancer connection structure and assembling method thereof </t>
  </si>
  <si>
    <t>CN102161206</t>
  </si>
  <si>
    <t xml:space="preserve">Sailing ship with robotic arm balancer </t>
  </si>
  <si>
    <t>KR20080098465</t>
  </si>
  <si>
    <t xml:space="preserve">Balancing device for articulated mechanism </t>
  </si>
  <si>
    <t>FR2533284</t>
  </si>
  <si>
    <t xml:space="preserve">Balancing device for robot arm </t>
  </si>
  <si>
    <t>EP0914911</t>
  </si>
  <si>
    <t xml:space="preserve">Gravity balancing mechanism for joint type industrial robot </t>
  </si>
  <si>
    <t>JPS57132988</t>
  </si>
  <si>
    <t xml:space="preserve">Balancing apparatus for jointed robot </t>
  </si>
  <si>
    <t>JPS51122254</t>
  </si>
  <si>
    <t xml:space="preserve">Industrial robot provided with permanent magnet type balancer </t>
  </si>
  <si>
    <t>JPH0890484</t>
  </si>
  <si>
    <t xml:space="preserve">Balancing means for robot arms </t>
  </si>
  <si>
    <t>EP0143134</t>
  </si>
  <si>
    <t xml:space="preserve">Robot for balancing rehabilitation training </t>
  </si>
  <si>
    <t>CN202620119</t>
  </si>
  <si>
    <t xml:space="preserve">Arm load balancing device </t>
  </si>
  <si>
    <t>CN207087913</t>
  </si>
  <si>
    <t xml:space="preserve">Assembly line balancing apparatus, method and program </t>
  </si>
  <si>
    <t>EP3282407</t>
  </si>
  <si>
    <t xml:space="preserve">Balancer device for robot arm </t>
  </si>
  <si>
    <t>JPH05329792</t>
  </si>
  <si>
    <t xml:space="preserve">Variable-gravity-center type robot balancer </t>
  </si>
  <si>
    <t>CN204300230</t>
  </si>
  <si>
    <t xml:space="preserve">Balancer device for robot </t>
  </si>
  <si>
    <t>JP2017030099</t>
  </si>
  <si>
    <t xml:space="preserve">Gyration balancing unit on the transfer robot </t>
  </si>
  <si>
    <t>CN204505298</t>
  </si>
  <si>
    <t xml:space="preserve">Industrial robot having a balancer mechanism and the balancer mechanism of an industrial robot </t>
  </si>
  <si>
    <t>JP4222918</t>
  </si>
  <si>
    <t xml:space="preserve">Kind of heavy-duty robot balancer </t>
  </si>
  <si>
    <t>CN207630071</t>
  </si>
  <si>
    <t xml:space="preserve">Walk and roll robot </t>
  </si>
  <si>
    <t>US2009039819</t>
  </si>
  <si>
    <t xml:space="preserve">Industrial robot, with a swing arm, has a compensating force unit at the counterweight with a transmission belt/cable around the arm axis </t>
  </si>
  <si>
    <t>DE102006020886</t>
  </si>
  <si>
    <t xml:space="preserve">Novel joint type balancing cylinder of industrial robot </t>
  </si>
  <si>
    <t>CN204054079</t>
  </si>
  <si>
    <t xml:space="preserve">Fully automatic automobile tire dismounting mounting, dynamic balancing and inflating all-in-one machine </t>
  </si>
  <si>
    <t>CN104890647</t>
  </si>
  <si>
    <t xml:space="preserve">Gravitational balancing device and industrial robot with the same </t>
  </si>
  <si>
    <t>CN202955055</t>
  </si>
  <si>
    <t xml:space="preserve">Dynamic balancing single-wheel remotion robot body </t>
  </si>
  <si>
    <t>CN101284552</t>
  </si>
  <si>
    <t xml:space="preserve">Planet gear type differential balancing mechanism </t>
  </si>
  <si>
    <t>CN201218316</t>
  </si>
  <si>
    <t xml:space="preserve">Gear type differential balancing mechanism for rocker type mobile robot </t>
  </si>
  <si>
    <t>CN101585304</t>
  </si>
  <si>
    <t xml:space="preserve">Energy storage and energy saving type gravity balancing device for industrial robot </t>
  </si>
  <si>
    <t>CN104526716</t>
  </si>
  <si>
    <t xml:space="preserve">Damping extension spring balancing unit </t>
  </si>
  <si>
    <t>CN204921841</t>
  </si>
  <si>
    <t xml:space="preserve">Air-actuated balancing machine arm </t>
  </si>
  <si>
    <t>CN201012495</t>
  </si>
  <si>
    <t xml:space="preserve">Balancing device for industrial robot </t>
  </si>
  <si>
    <t>CN101823262</t>
  </si>
  <si>
    <t xml:space="preserve">Robot with two arms </t>
  </si>
  <si>
    <t>US5100284</t>
  </si>
  <si>
    <t xml:space="preserve">Control system for direct teaching/playback type robots </t>
  </si>
  <si>
    <t>US4608651</t>
  </si>
  <si>
    <t xml:space="preserve">Compression spring type balancer for robot </t>
  </si>
  <si>
    <t>JPH05200690</t>
  </si>
  <si>
    <t xml:space="preserve">Development of 16 DOF biped robot balancing autonomously using FSR </t>
  </si>
  <si>
    <t>KR200220822</t>
  </si>
  <si>
    <t xml:space="preserve">Balancing device of industrial robot </t>
  </si>
  <si>
    <t>CN201693559</t>
  </si>
  <si>
    <t xml:space="preserve">Balance Support and Steering Device for Cable Indenting Test Robot </t>
  </si>
  <si>
    <t>KR101228187</t>
  </si>
  <si>
    <t xml:space="preserve">Balancing system for a teaching-type robot arm </t>
  </si>
  <si>
    <t>EP0034959</t>
  </si>
  <si>
    <t xml:space="preserve">Balance structure for walking type robot </t>
  </si>
  <si>
    <t>JP2007319946</t>
  </si>
  <si>
    <t xml:space="preserve">Moment balancing device and an arm structure of a surgical robot using the same </t>
  </si>
  <si>
    <t>WO2011102630</t>
  </si>
  <si>
    <t xml:space="preserve">Floating balancing mechanism in pneumatic robot welding tongs </t>
  </si>
  <si>
    <t>CN202240141</t>
  </si>
  <si>
    <t xml:space="preserve">Pitch-balancing walking multi-ped robot </t>
  </si>
  <si>
    <t>KR101287593</t>
  </si>
  <si>
    <t xml:space="preserve">Balancing mechanism for industrial robot </t>
  </si>
  <si>
    <t>EP0195085</t>
  </si>
  <si>
    <t xml:space="preserve">Industrial robot second joint balance mechanism </t>
  </si>
  <si>
    <t>CN205043806</t>
  </si>
  <si>
    <t xml:space="preserve">A auxiliary fixtures for assembly of industrial robot spring balance cylinder </t>
  </si>
  <si>
    <t>CN204711977</t>
  </si>
  <si>
    <t xml:space="preserve">Balance device for robot </t>
  </si>
  <si>
    <t>JPH1158287</t>
  </si>
  <si>
    <t xml:space="preserve">Balancing control apparatus for bicycle robot </t>
  </si>
  <si>
    <t>KR101413608</t>
  </si>
  <si>
    <t xml:space="preserve">Balancing Device of Tray and Robot Having the Same for Serving </t>
  </si>
  <si>
    <t>KR101507368</t>
  </si>
  <si>
    <t xml:space="preserve">Device for balancing the weight of a robot thanks to an inflatable hose </t>
  </si>
  <si>
    <t>EP1138449</t>
  </si>
  <si>
    <t xml:space="preserve">Balancing device and the balancing device includes a robot </t>
  </si>
  <si>
    <t>CN104890010</t>
  </si>
  <si>
    <t xml:space="preserve">Robot computer embroidery machine balancing device types wrap bobbin of the bobbin case </t>
  </si>
  <si>
    <t>CN207845992</t>
  </si>
  <si>
    <t xml:space="preserve">Method for positioning a welding robot tool </t>
  </si>
  <si>
    <t>US2006212169</t>
  </si>
  <si>
    <t xml:space="preserve">A new articulated industrial robot balancing cylinders </t>
  </si>
  <si>
    <t>CN103991090</t>
  </si>
  <si>
    <t xml:space="preserve">Articulated robot having a weight balancing device </t>
  </si>
  <si>
    <t>JP2520185</t>
  </si>
  <si>
    <t xml:space="preserve">Spherical robot capable of balanced generation </t>
  </si>
  <si>
    <t>CN105591452</t>
  </si>
  <si>
    <t xml:space="preserve">Industrial robot with an actuated brake system, which cooperate with the robot's control system </t>
  </si>
  <si>
    <t>US2003141155</t>
  </si>
  <si>
    <t xml:space="preserve">Robot having multi-joint arms movable in horizontal plane </t>
  </si>
  <si>
    <t>US6199444</t>
  </si>
  <si>
    <t xml:space="preserve">Tracked type robot with magnetic soles </t>
  </si>
  <si>
    <t>EP1650116</t>
  </si>
  <si>
    <t>JP2003326483</t>
  </si>
  <si>
    <t xml:space="preserve">Robot pre-positioning in a wafer processing system </t>
  </si>
  <si>
    <t>US2004078109</t>
  </si>
  <si>
    <t xml:space="preserve">Manipulator robot </t>
  </si>
  <si>
    <t>EP0060483</t>
  </si>
  <si>
    <t xml:space="preserve">Manipulator, Particularly Industrial Robot, Having A Redundant Sensor Arrangement, And Method For The Control Thereof </t>
  </si>
  <si>
    <t>US2010234996</t>
  </si>
  <si>
    <t xml:space="preserve">Arm part of an industrial robot as well as an industrial robot provided therewith </t>
  </si>
  <si>
    <t>US2009114053</t>
  </si>
  <si>
    <t xml:space="preserve">Gravity balancer for industial robot, and industrial robot </t>
  </si>
  <si>
    <t>JP2001225293</t>
  </si>
  <si>
    <t xml:space="preserve">Robot having direct acting shaft </t>
  </si>
  <si>
    <t>JPH1044071</t>
  </si>
  <si>
    <t xml:space="preserve">Method for charged particle beam exposure with fixed barycenter through balancing stage scan </t>
  </si>
  <si>
    <t>US5981118</t>
  </si>
  <si>
    <t xml:space="preserve">Multi-purpose industrial robot </t>
  </si>
  <si>
    <t>US4733576</t>
  </si>
  <si>
    <t xml:space="preserve">Vertical multi-articulated robot </t>
  </si>
  <si>
    <t>US4842474</t>
  </si>
  <si>
    <t xml:space="preserve">Door opener arrangement for use with an industrial robot </t>
  </si>
  <si>
    <t>WO2006035259</t>
  </si>
  <si>
    <t xml:space="preserve">Balancing mechanism </t>
  </si>
  <si>
    <t>US4803895</t>
  </si>
  <si>
    <t xml:space="preserve">Series-parallel robot with five degrees of freedom </t>
  </si>
  <si>
    <t>CN104057442</t>
  </si>
  <si>
    <t xml:space="preserve">Control device for a balancing apparatus </t>
  </si>
  <si>
    <t>US4455838</t>
  </si>
  <si>
    <t xml:space="preserve">Welding claw for robots </t>
  </si>
  <si>
    <t>DE19801652</t>
  </si>
  <si>
    <t xml:space="preserve">Procedure and device for mounting a balancing weight by means of a robot </t>
  </si>
  <si>
    <t>EP1111362</t>
  </si>
  <si>
    <t xml:space="preserve">Robotic container handler system </t>
  </si>
  <si>
    <t>US6257821</t>
  </si>
  <si>
    <t xml:space="preserve">Lasso drive based upper limb rehabilitation exoskeleton robot </t>
  </si>
  <si>
    <t>CN104873360</t>
  </si>
  <si>
    <t xml:space="preserve">Robotic parts handler system </t>
  </si>
  <si>
    <t>US6764266</t>
  </si>
  <si>
    <t xml:space="preserve">Apparatus and method for balancing and damping control in whole body coordination framework for biped humanoid robot </t>
  </si>
  <si>
    <t>US2011196532</t>
  </si>
  <si>
    <t xml:space="preserve">Novel underwater robot movement control device </t>
  </si>
  <si>
    <t>CN103287557</t>
  </si>
  <si>
    <t xml:space="preserve">Line-controlled robot fish </t>
  </si>
  <si>
    <t>CN2592510</t>
  </si>
  <si>
    <t>US2012158175</t>
  </si>
  <si>
    <t xml:space="preserve">Industrial robot for welding </t>
  </si>
  <si>
    <t>CN103273490</t>
  </si>
  <si>
    <t>US2011172824</t>
  </si>
  <si>
    <t xml:space="preserve">Multifunctional press quenching robot </t>
  </si>
  <si>
    <t>CN2499185</t>
  </si>
  <si>
    <t xml:space="preserve">Magnetic end effector and device for guiding and positioning the same </t>
  </si>
  <si>
    <t>US2013110128</t>
  </si>
  <si>
    <t xml:space="preserve">Disc balancing device, and method thereof </t>
  </si>
  <si>
    <t>US2002040891</t>
  </si>
  <si>
    <t xml:space="preserve">Casting type miniature robot of spring vibration reduction inflatable wheel with omnidirectional buffer capacity </t>
  </si>
  <si>
    <t>CN101402198</t>
  </si>
  <si>
    <t>US2005095094</t>
  </si>
  <si>
    <t xml:space="preserve">Step-by-step teaching robot based on motor power and control method thereof </t>
  </si>
  <si>
    <t>CN104162890</t>
  </si>
  <si>
    <t xml:space="preserve">Ground-level power supply system for small unmanned aerial robot </t>
  </si>
  <si>
    <t>WO2012165887</t>
  </si>
  <si>
    <t xml:space="preserve">Robot welding tongs, used in welding devices, comprises a tongs unit, arranged in a frame, having arms and a drive, and an equalization unit for the tongs unit having two spring elements and a controllable bracing unit </t>
  </si>
  <si>
    <t>DE20214970</t>
  </si>
  <si>
    <t xml:space="preserve">Robot driver of a two-wheel motorcycle </t>
  </si>
  <si>
    <t>US3546814</t>
  </si>
  <si>
    <t xml:space="preserve">Robotized handling method and device </t>
  </si>
  <si>
    <t>EP0410833</t>
  </si>
  <si>
    <t xml:space="preserve">Low cost robot </t>
  </si>
  <si>
    <t>US4688983</t>
  </si>
  <si>
    <t xml:space="preserve">Method and system for quickly and efficiently transferring a workpiece from a first station to a second station </t>
  </si>
  <si>
    <t>US5423648</t>
  </si>
  <si>
    <t xml:space="preserve">Event driven blackboard processing system that provides dynamic load balancing and shared data between knowledge source processors </t>
  </si>
  <si>
    <t>US5506999</t>
  </si>
  <si>
    <t xml:space="preserve">Recipe cascading in a wafer processing system </t>
  </si>
  <si>
    <t>US6678572</t>
  </si>
  <si>
    <t xml:space="preserve">Method and apparatus for picking/packing applications </t>
  </si>
  <si>
    <t>US2009271034</t>
  </si>
  <si>
    <t>US5132601</t>
  </si>
  <si>
    <t xml:space="preserve">Automated sample processing system including automatic centrifuge device </t>
  </si>
  <si>
    <t>US6060022</t>
  </si>
  <si>
    <t xml:space="preserve">Transformable Robotic Platform and Methods for Overcoming Obstacles </t>
  </si>
  <si>
    <t>US2011061951</t>
  </si>
  <si>
    <t>US5402690</t>
  </si>
  <si>
    <t xml:space="preserve">Vertical heat-treating apparatus and heat-treating process by using the vertical heat-treating apparatus </t>
  </si>
  <si>
    <t>US5388944</t>
  </si>
  <si>
    <t xml:space="preserve">Industrial robots of the spherical type </t>
  </si>
  <si>
    <t>EP0194217</t>
  </si>
  <si>
    <t xml:space="preserve">Method and apparatus for robotic force controlled material removal with programmable overload release function </t>
  </si>
  <si>
    <t>US5796229</t>
  </si>
  <si>
    <t xml:space="preserve">Welding machine and method for assembling same </t>
  </si>
  <si>
    <t>US6337456</t>
  </si>
  <si>
    <t xml:space="preserve">Legged mobile robot </t>
  </si>
  <si>
    <t>JP2002144278</t>
  </si>
  <si>
    <t xml:space="preserve">Cartesian robot cluster tool architecture </t>
  </si>
  <si>
    <t>US7651306</t>
  </si>
  <si>
    <t xml:space="preserve">Robot hand </t>
  </si>
  <si>
    <t>US6247738</t>
  </si>
  <si>
    <t xml:space="preserve">Pool cleaning robot having waterline movement capabilities </t>
  </si>
  <si>
    <t>US2014230168</t>
  </si>
  <si>
    <t>US5901613</t>
  </si>
  <si>
    <t xml:space="preserve">Robot device and attitude control method for robot </t>
  </si>
  <si>
    <t>JP2005096068</t>
  </si>
  <si>
    <t xml:space="preserve">Method and apparatus for resolving conflicts in a substrate processing system </t>
  </si>
  <si>
    <t>US6418356</t>
  </si>
  <si>
    <t xml:space="preserve">Two-degree-of-freedom static load balancing in-parallel movement simulation platform </t>
  </si>
  <si>
    <t>CN103035161</t>
  </si>
  <si>
    <t xml:space="preserve">Force limiting device and method </t>
  </si>
  <si>
    <t>US2011126660</t>
  </si>
  <si>
    <t xml:space="preserve">Method for balancing a drive shaft </t>
  </si>
  <si>
    <t>US7066025</t>
  </si>
  <si>
    <t xml:space="preserve">Counter-balanced substrate support </t>
  </si>
  <si>
    <t>US2009120584</t>
  </si>
  <si>
    <t>JPH05305586</t>
  </si>
  <si>
    <t xml:space="preserve">Hybrid airship-drone farm robot system for crop dusting, planting, fertilizing and other field jobs </t>
  </si>
  <si>
    <t>US2016307448</t>
  </si>
  <si>
    <t xml:space="preserve">Linear semiconductor processing facilities </t>
  </si>
  <si>
    <t>US2006263177</t>
  </si>
  <si>
    <t xml:space="preserve">Intelligent driving robot for providing customer service and calculation in restaurants </t>
  </si>
  <si>
    <t>WO2012020858</t>
  </si>
  <si>
    <t xml:space="preserve">Compact counter balance for robotic surgical systems </t>
  </si>
  <si>
    <t>US2007156122</t>
  </si>
  <si>
    <t xml:space="preserve">Dispensing device for balancing weights and method for dispensing balancing weights </t>
  </si>
  <si>
    <t>WO2013034399</t>
  </si>
  <si>
    <t xml:space="preserve">Test head robot for automatic testing </t>
  </si>
  <si>
    <t>EP0308348</t>
  </si>
  <si>
    <t xml:space="preserve">Bipedal humanoid </t>
  </si>
  <si>
    <t>US2004211603</t>
  </si>
  <si>
    <t xml:space="preserve">Master arm for robot arm training or virtual reality simulation, uses fixed wrist attachment to arm and has three-degrees of freedom in wrist unit, with rotation axes meeting at common point </t>
  </si>
  <si>
    <t>FR2809048</t>
  </si>
  <si>
    <t xml:space="preserve">Interlocking wheeled figure construction toy </t>
  </si>
  <si>
    <t>US4217724</t>
  </si>
  <si>
    <t xml:space="preserve">Reducing device having a high reduction ratio, robot and haptic interface comprising at least one such reducing device </t>
  </si>
  <si>
    <t>US2013090194</t>
  </si>
  <si>
    <t>US2008014058</t>
  </si>
  <si>
    <t>US2008051929</t>
  </si>
  <si>
    <t xml:space="preserve">7-DOF (degree of freedom) space manipulator ground microgravity hybrid simulation method </t>
  </si>
  <si>
    <t>CN103144104</t>
  </si>
  <si>
    <t xml:space="preserve">Special portal-type bolster frame assembly manipulator for truck bogie production line </t>
  </si>
  <si>
    <t>CN102430906</t>
  </si>
  <si>
    <t xml:space="preserve">Robotic appliance with on-board joystick sensor and associated methods of operation </t>
  </si>
  <si>
    <t>US7603744</t>
  </si>
  <si>
    <t xml:space="preserve">Intelligent stereo garage </t>
  </si>
  <si>
    <t>CN101050670</t>
  </si>
  <si>
    <t>US6768930</t>
  </si>
  <si>
    <t xml:space="preserve">Cartesian robot design </t>
  </si>
  <si>
    <t>US2006182535</t>
  </si>
  <si>
    <t xml:space="preserve">Movable knee implant and methods therefor </t>
  </si>
  <si>
    <t>US6770078</t>
  </si>
  <si>
    <t xml:space="preserve">Resource allocation for multiple applications </t>
  </si>
  <si>
    <t>US7146353</t>
  </si>
  <si>
    <t xml:space="preserve">Instrumentation for minimally invasive joint replacement and methods for using same </t>
  </si>
  <si>
    <t>US6702821</t>
  </si>
  <si>
    <t xml:space="preserve">Method of performing surgery </t>
  </si>
  <si>
    <t>US7104996</t>
  </si>
  <si>
    <t xml:space="preserve">Stand alone swage apparatus </t>
  </si>
  <si>
    <t>US6012216</t>
  </si>
  <si>
    <t xml:space="preserve">Surgical system for use in the course of a knee replacement operation </t>
  </si>
  <si>
    <t>US6859661</t>
  </si>
  <si>
    <t xml:space="preserve">System for detecting human presence in hazardous situations </t>
  </si>
  <si>
    <t>US5436613</t>
  </si>
  <si>
    <t xml:space="preserve">Custom-made manufacturing system and custom-made manufacturing method </t>
  </si>
  <si>
    <t>US5357439</t>
  </si>
  <si>
    <t xml:space="preserve">Control method for machines, including a system, computer program, data signal and gui </t>
  </si>
  <si>
    <t>US2007108109</t>
  </si>
  <si>
    <t xml:space="preserve">Apparatus and method of electroplating </t>
  </si>
  <si>
    <t>US5441629</t>
  </si>
  <si>
    <t xml:space="preserve">Substrate processing sequence in a cartesian robot cluster tool </t>
  </si>
  <si>
    <t>US2007147976</t>
  </si>
  <si>
    <t xml:space="preserve">Method and apparatus for automatic synthesis controllers </t>
  </si>
  <si>
    <t>US6564194</t>
  </si>
  <si>
    <t xml:space="preserve">Production facility with automatic movable body for man-machine cooperation </t>
  </si>
  <si>
    <t>US5956465</t>
  </si>
  <si>
    <t xml:space="preserve">Walking robot and simultaneous localization and mapping method thereof </t>
  </si>
  <si>
    <t>US2012155775</t>
  </si>
  <si>
    <t xml:space="preserve">Ball robot and method for determining position thereof </t>
  </si>
  <si>
    <t>WO9725239</t>
  </si>
  <si>
    <t xml:space="preserve">Substrate gripper for a substrate handling robot </t>
  </si>
  <si>
    <t>US2007147979</t>
  </si>
  <si>
    <t xml:space="preserve">Underwater robot </t>
  </si>
  <si>
    <t>CN101475055</t>
  </si>
  <si>
    <t xml:space="preserve">Intelligent robot for pipeline detection </t>
  </si>
  <si>
    <t>CN2556639</t>
  </si>
  <si>
    <t xml:space="preserve">Control system for an automatic needle-suture assembly and packaging machine </t>
  </si>
  <si>
    <t>US6081981</t>
  </si>
  <si>
    <t xml:space="preserve">Method and apparatus for assembling exterior automotive vehicle body components onto an automotive vehicle body </t>
  </si>
  <si>
    <t>US6691392</t>
  </si>
  <si>
    <t xml:space="preserve">Closed loop control system for RF power balancing of the stations in a multi-station processing tool with shared RF source </t>
  </si>
  <si>
    <t>US8282983</t>
  </si>
  <si>
    <t xml:space="preserve">Manipulator stacking system </t>
  </si>
  <si>
    <t>CN101612997</t>
  </si>
  <si>
    <t xml:space="preserve">Linear driven x-z robot </t>
  </si>
  <si>
    <t>US2009088912</t>
  </si>
  <si>
    <t xml:space="preserve">Book fetching robot for library </t>
  </si>
  <si>
    <t>CN104552230</t>
  </si>
  <si>
    <t xml:space="preserve">Method for the management of workcell systems based on an automation management system </t>
  </si>
  <si>
    <t>US6721615</t>
  </si>
  <si>
    <t xml:space="preserve">Automated swage wind and packaging machine </t>
  </si>
  <si>
    <t>US6032343</t>
  </si>
  <si>
    <t xml:space="preserve">Method and device for the control of an autonomously exploring robot </t>
  </si>
  <si>
    <t>US5774632</t>
  </si>
  <si>
    <t xml:space="preserve">Limited incision total joint replacement methods </t>
  </si>
  <si>
    <t>US7959635</t>
  </si>
  <si>
    <t xml:space="preserve">System and method of a list commands utility for a speech recognition command system </t>
  </si>
  <si>
    <t>US2010169098</t>
  </si>
  <si>
    <t xml:space="preserve">Enhanced Diagnostics for a Telepresence Robot </t>
  </si>
  <si>
    <t>US2014139616</t>
  </si>
  <si>
    <t xml:space="preserve">System and method for context specific website optimization </t>
  </si>
  <si>
    <t>US2013227078</t>
  </si>
  <si>
    <t xml:space="preserve">Systems and methods of a structured grammar for a speech recognition command system </t>
  </si>
  <si>
    <t>US2008300886</t>
  </si>
  <si>
    <t xml:space="preserve">Method of and apparatus for assembling wheels to vehicles </t>
  </si>
  <si>
    <t>US5640750</t>
  </si>
  <si>
    <t xml:space="preserve">Surgical Manipulator Capable of Controlling a Surgical Instrument in Multiple Modes </t>
  </si>
  <si>
    <t>US2014039681</t>
  </si>
  <si>
    <t xml:space="preserve">Method of controlling an Action, Such as a Sharpness Modification, Using a Colour Digital Image </t>
  </si>
  <si>
    <t>US2008158377</t>
  </si>
  <si>
    <t xml:space="preserve">Vehicle assembly line-side heat activation of a â€œready-to-installâ€ window fixing adhesive for attachment of a vehicle window to a vehicle </t>
  </si>
  <si>
    <t>US6203639</t>
  </si>
  <si>
    <t xml:space="preserve">Navigation System for use with a Surgical Manipulator Operable in Manual or Semi-Autonomous Modes </t>
  </si>
  <si>
    <t>US2014039517</t>
  </si>
  <si>
    <t xml:space="preserve">Device for enabling access to a structure above ground level </t>
  </si>
  <si>
    <t>US2009173573</t>
  </si>
  <si>
    <t xml:space="preserve">Automatic wheel attachment apparatus </t>
  </si>
  <si>
    <t>US4841632</t>
  </si>
  <si>
    <t>US7143494</t>
  </si>
  <si>
    <t>US2014222207</t>
  </si>
  <si>
    <t xml:space="preserve">Battery system, electric vehicle, movable body, power storage device, and power supply device </t>
  </si>
  <si>
    <t>US2012280573</t>
  </si>
  <si>
    <t xml:space="preserve">Automated nut driving apparatus </t>
  </si>
  <si>
    <t>US4909105</t>
  </si>
  <si>
    <t xml:space="preserve">Line arranging device of wire drawing machine constructs and take -up </t>
  </si>
  <si>
    <t>CN206509340</t>
  </si>
  <si>
    <t xml:space="preserve">Little guide system based on high in clouds server </t>
  </si>
  <si>
    <t>CN205912088</t>
  </si>
  <si>
    <t xml:space="preserve">Tablet is guideed to travelling route </t>
  </si>
  <si>
    <t>CN205428428</t>
  </si>
  <si>
    <t>US3539189</t>
  </si>
  <si>
    <t xml:space="preserve">Hose </t>
  </si>
  <si>
    <t>US3212528</t>
  </si>
  <si>
    <t xml:space="preserve">Machine tool </t>
  </si>
  <si>
    <t>US3400625</t>
  </si>
  <si>
    <t xml:space="preserve">Packaging machine and method of forming packages </t>
  </si>
  <si>
    <t>US3347011</t>
  </si>
  <si>
    <t xml:space="preserve">Bus bridge device including data bus of first width for a first processor, memory controller, arbiter circuit and second processor having a different second data width </t>
  </si>
  <si>
    <t>US5909559</t>
  </si>
  <si>
    <t>US5778187</t>
  </si>
  <si>
    <t xml:space="preserve">Travel system and methods utilizing multi-application traveler cards </t>
  </si>
  <si>
    <t>US6609658</t>
  </si>
  <si>
    <t xml:space="preserve">Adjustable balance weighting system for golf clubs </t>
  </si>
  <si>
    <t>US5683309</t>
  </si>
  <si>
    <t xml:space="preserve">Devices, methods, systems and software products for coordination of computer main microprocessor and second microprocessor coupled thereto </t>
  </si>
  <si>
    <t>US6179489</t>
  </si>
  <si>
    <t>US5916042</t>
  </si>
  <si>
    <t xml:space="preserve">System and method for automated remote previewing and purchasing of music, video, software, and other multimedia products </t>
  </si>
  <si>
    <t>US5918213</t>
  </si>
  <si>
    <t xml:space="preserve">Computer operating process allocating tasks between first and second processors at run time based upon current processor load </t>
  </si>
  <si>
    <t>US6298370</t>
  </si>
  <si>
    <t xml:space="preserve">Data transfer circuitry, DSP wrapper circuitry and improved processor devices, methods and systems </t>
  </si>
  <si>
    <t>US6105119</t>
  </si>
  <si>
    <t xml:space="preserve">Intergrated reservoir optimization </t>
  </si>
  <si>
    <t>US6980940</t>
  </si>
  <si>
    <t xml:space="preserve">Microwave radio transmission </t>
  </si>
  <si>
    <t>US2405242</t>
  </si>
  <si>
    <t xml:space="preserve">Loading balancing across servers in a computer network </t>
  </si>
  <si>
    <t>US6351775</t>
  </si>
  <si>
    <t xml:space="preserve">Method and apparatus for therapeutic electromagnetic treatment </t>
  </si>
  <si>
    <t>US6174325</t>
  </si>
  <si>
    <t xml:space="preserve">Scalable switching network </t>
  </si>
  <si>
    <t>US5841775</t>
  </si>
  <si>
    <t xml:space="preserve">System for accessing content by virtual remote control through mapping channel codes to network addresses </t>
  </si>
  <si>
    <t>US6874152</t>
  </si>
  <si>
    <t xml:space="preserve">Computerized resource name resolution mechanism </t>
  </si>
  <si>
    <t>US5944793</t>
  </si>
  <si>
    <t xml:space="preserve">Service point management system for use in sales promotion services </t>
  </si>
  <si>
    <t>US6965869</t>
  </si>
  <si>
    <t xml:space="preserve">Micro guide data processing method and server side based on cloud </t>
  </si>
  <si>
    <t>CN106375381</t>
  </si>
  <si>
    <t xml:space="preserve">Tooth positioning appliance </t>
  </si>
  <si>
    <t>US2531222</t>
  </si>
  <si>
    <t xml:space="preserve">System and method for coordinated hierarchical caching and cache replacement </t>
  </si>
  <si>
    <t>US6338117</t>
  </si>
  <si>
    <t xml:space="preserve">Computer-implemented system and method for offering commercial parking reservations </t>
  </si>
  <si>
    <t>US8751271</t>
  </si>
  <si>
    <t xml:space="preserve">Multifunctional tour guide backpack </t>
  </si>
  <si>
    <t>CN204317841</t>
  </si>
  <si>
    <t xml:space="preserve">Tour guide and settle an account system using memory card and method thereof </t>
  </si>
  <si>
    <t>KR20030094525</t>
  </si>
  <si>
    <t xml:space="preserve">Automatic transaction apparatus and handling method of rejected banknotes in automatic transaction apparatus </t>
  </si>
  <si>
    <t>US6000555</t>
  </si>
  <si>
    <t xml:space="preserve">Methods for managing capacity </t>
  </si>
  <si>
    <t>US7552208</t>
  </si>
  <si>
    <t xml:space="preserve">Internet-based system for identification, measurement and ranking of investment portfolio management, and operation of a fund supermarket, including "best investor" managed funds </t>
  </si>
  <si>
    <t>US2001042037</t>
  </si>
  <si>
    <t xml:space="preserve">Method and apparatus for outputting a message at a game machine </t>
  </si>
  <si>
    <t>US2006148551</t>
  </si>
  <si>
    <t xml:space="preserve">Interactive multimedia interface display </t>
  </si>
  <si>
    <t>US2006259923</t>
  </si>
  <si>
    <t xml:space="preserve">Distributed computing </t>
  </si>
  <si>
    <t>US2006195508</t>
  </si>
  <si>
    <t xml:space="preserve">Human-computer user interaction </t>
  </si>
  <si>
    <t>US2010261526</t>
  </si>
  <si>
    <t xml:space="preserve">Systems and methods for widget rendering and sharing on a personal electronic device </t>
  </si>
  <si>
    <t>US2011060994</t>
  </si>
  <si>
    <t xml:space="preserve">Method and system of detecting cash deposits and attributing value </t>
  </si>
  <si>
    <t>US2006213980</t>
  </si>
  <si>
    <t xml:space="preserve">Apparatus, Systems and Methods for Facilitating Commerce </t>
  </si>
  <si>
    <t>US2009012878</t>
  </si>
  <si>
    <t xml:space="preserve">Method and system of detecting fraud and incremental commitment of value </t>
  </si>
  <si>
    <t>US2006213979</t>
  </si>
  <si>
    <t xml:space="preserve">Intelligent interactive multimedia </t>
  </si>
  <si>
    <t>US2006156330</t>
  </si>
  <si>
    <t xml:space="preserve">Synchronized voice and data system </t>
  </si>
  <si>
    <t>US2009149158</t>
  </si>
  <si>
    <t xml:space="preserve">Systems and methods to assess and optimize energy usage for a facility </t>
  </si>
  <si>
    <t>US2012323382</t>
  </si>
  <si>
    <t xml:space="preserve">Sightseeing line double track frame bridge crane's balanced running gear of multi freedom </t>
  </si>
  <si>
    <t>CN206736722</t>
  </si>
  <si>
    <t xml:space="preserve">Methods and systems for interactive wagering using multiple types of user interfaces </t>
  </si>
  <si>
    <t>US2005208995</t>
  </si>
  <si>
    <t xml:space="preserve">Method of food production and services cost control </t>
  </si>
  <si>
    <t>US2004107141</t>
  </si>
  <si>
    <t xml:space="preserve">Prevent that winding guide of earphone cord from explaining appearance structure </t>
  </si>
  <si>
    <t>CN207321492</t>
  </si>
  <si>
    <t xml:space="preserve">Method, Apparatus and Computer Program Product for Providing Instructions to a Destination that is Revealed Upon Arrival </t>
  </si>
  <si>
    <t>US2009171559</t>
  </si>
  <si>
    <t xml:space="preserve">Pedal actuated bicycle brake with coordinating supporting stand </t>
  </si>
  <si>
    <t>US4030774</t>
  </si>
  <si>
    <t xml:space="preserve">Multi-planar resistance band exercise system </t>
  </si>
  <si>
    <t>US2011251033</t>
  </si>
  <si>
    <t xml:space="preserve">System and method for benefit plan administration </t>
  </si>
  <si>
    <t>US2006080200</t>
  </si>
  <si>
    <t xml:space="preserve">Method, system and computer program product for providing real-time recommendations </t>
  </si>
  <si>
    <t>US2009216547</t>
  </si>
  <si>
    <t xml:space="preserve">High-rate proximity detection with the ability to provide notification </t>
  </si>
  <si>
    <t>US7136658</t>
  </si>
  <si>
    <t>US2012044571</t>
  </si>
  <si>
    <t xml:space="preserve">Methods and systems for multi-participant interactive evolutionary computing </t>
  </si>
  <si>
    <t>US7356518</t>
  </si>
  <si>
    <t xml:space="preserve">Ice skating training apparatus for playing hockey </t>
  </si>
  <si>
    <t>US7014595</t>
  </si>
  <si>
    <t xml:space="preserve">Simplified strip accumulation </t>
  </si>
  <si>
    <t>US3782662</t>
  </si>
  <si>
    <t xml:space="preserve">Method for connecting a human key identification to objects and content or identification, tracking, delivery, advertising, and marketing </t>
  </si>
  <si>
    <t>US2012136793</t>
  </si>
  <si>
    <t xml:space="preserve">Computer-Implemented System And Method For Providing Gun Shot Detection Through A Centralized Parking Services Server </t>
  </si>
  <si>
    <t>US2012127308</t>
  </si>
  <si>
    <t xml:space="preserve">Device, system and method for color display </t>
  </si>
  <si>
    <t>WO02101644</t>
  </si>
  <si>
    <t xml:space="preserve">Monorail </t>
  </si>
  <si>
    <t>US3319581</t>
  </si>
  <si>
    <t xml:space="preserve">Continuous contact internal rotor for engines </t>
  </si>
  <si>
    <t>US2547392</t>
  </si>
  <si>
    <t xml:space="preserve">Steam generator with pre-heating </t>
  </si>
  <si>
    <t>US4357908</t>
  </si>
  <si>
    <t xml:space="preserve">Multicage elevator </t>
  </si>
  <si>
    <t>US1914128</t>
  </si>
  <si>
    <t xml:space="preserve">Electric high-frequency oscillation generator </t>
  </si>
  <si>
    <t>US2521760</t>
  </si>
  <si>
    <t xml:space="preserve">Fuel injector with pressure-balanced control valve </t>
  </si>
  <si>
    <t>DE102006021741</t>
  </si>
  <si>
    <t xml:space="preserve">Touring heel binding having a dynamic sliding range </t>
  </si>
  <si>
    <t>WO2012024809</t>
  </si>
  <si>
    <t xml:space="preserve">Toe unit for alpine touring binding </t>
  </si>
  <si>
    <t>US8439389</t>
  </si>
  <si>
    <t xml:space="preserve">Systems and methods for multi-vehicle resource allocation and routing solutions </t>
  </si>
  <si>
    <t>WO2012167174</t>
  </si>
  <si>
    <t xml:space="preserve">Device for evaluating balancing ability </t>
  </si>
  <si>
    <t>JP2003079599</t>
  </si>
  <si>
    <t xml:space="preserve">Line tracker control </t>
  </si>
  <si>
    <t>US2397933</t>
  </si>
  <si>
    <t xml:space="preserve">Spring sash balance </t>
  </si>
  <si>
    <t>US2644193</t>
  </si>
  <si>
    <t xml:space="preserve">Cushioning element for sports apparel </t>
  </si>
  <si>
    <t>US2014223776</t>
  </si>
  <si>
    <t xml:space="preserve">Sucroglyceride preparation in fluid form, process for obtaining it and its uses </t>
  </si>
  <si>
    <t>EP0091331</t>
  </si>
  <si>
    <t xml:space="preserve">Current collector system for a vehicle, in particular for rtg container stacker cranes </t>
  </si>
  <si>
    <t>WO2010054852</t>
  </si>
  <si>
    <t xml:space="preserve">Photography apparatus, control method, program, and information processing device </t>
  </si>
  <si>
    <t>US2009115855</t>
  </si>
  <si>
    <t xml:space="preserve">Service subscription method, system and server </t>
  </si>
  <si>
    <t>US2010091965</t>
  </si>
  <si>
    <t xml:space="preserve">Universal actor correlator </t>
  </si>
  <si>
    <t>US2014282871</t>
  </si>
  <si>
    <t xml:space="preserve">Repeating exercising device </t>
  </si>
  <si>
    <t>US3090617</t>
  </si>
  <si>
    <t xml:space="preserve">Elevator device </t>
  </si>
  <si>
    <t>JPH07172716</t>
  </si>
  <si>
    <t xml:space="preserve">Cross-country ski binding </t>
  </si>
  <si>
    <t>EP0199098</t>
  </si>
  <si>
    <t xml:space="preserve">Method of lifting a heavy component for sensitive engagement with another </t>
  </si>
  <si>
    <t>US3792787</t>
  </si>
  <si>
    <t xml:space="preserve">Customizable activity training and rehabilitation system </t>
  </si>
  <si>
    <t>US2014188009</t>
  </si>
  <si>
    <t xml:space="preserve">Touch language </t>
  </si>
  <si>
    <t>US2005106536</t>
  </si>
  <si>
    <t>EP1628270</t>
  </si>
  <si>
    <t xml:space="preserve">Elevator system, carrying means for an elevator system, and method for the production of a carrying means </t>
  </si>
  <si>
    <t>WO2008110241</t>
  </si>
  <si>
    <t xml:space="preserve">High-temperature and high-pressure adsorption and desorption device and use method thereof </t>
  </si>
  <si>
    <t>CN104062204</t>
  </si>
  <si>
    <t xml:space="preserve">Fluid pressure device </t>
  </si>
  <si>
    <t>US2313246</t>
  </si>
  <si>
    <t xml:space="preserve">Hybrid ring </t>
  </si>
  <si>
    <t>US2639325</t>
  </si>
  <si>
    <t xml:space="preserve">Electric power station and method of power generation with combination of cycles </t>
  </si>
  <si>
    <t>RU2248453</t>
  </si>
  <si>
    <t xml:space="preserve">Displacement hull amphibious vehicle using a front wheel drive system </t>
  </si>
  <si>
    <t>US2002002939</t>
  </si>
  <si>
    <t xml:space="preserve">Balanced control cam for a driven vacuum variable capacitor </t>
  </si>
  <si>
    <t>US3101622</t>
  </si>
  <si>
    <t xml:space="preserve">Method for selling tour merchandise through communication network </t>
  </si>
  <si>
    <t>KR20020037435</t>
  </si>
  <si>
    <t xml:space="preserve">Automatic immersion apparatus </t>
  </si>
  <si>
    <t>US2157875</t>
  </si>
  <si>
    <t xml:space="preserve">Book-drilling machine </t>
  </si>
  <si>
    <t>US1710744</t>
  </si>
  <si>
    <t xml:space="preserve">Lifting weight balance beam type oil pump </t>
  </si>
  <si>
    <t>CN201003485</t>
  </si>
  <si>
    <t xml:space="preserve">Ocean floating type drilling platform crown-block heave compensator </t>
  </si>
  <si>
    <t>CN101654145</t>
  </si>
  <si>
    <t xml:space="preserve">Method for predicting suburban rail transit passenger flow </t>
  </si>
  <si>
    <t>CN102024206</t>
  </si>
  <si>
    <t xml:space="preserve">Bicyle </t>
  </si>
  <si>
    <t>US4171824</t>
  </si>
  <si>
    <t xml:space="preserve">Profiling control system </t>
  </si>
  <si>
    <t>US2307503</t>
  </si>
  <si>
    <t xml:space="preserve">Method and system for faciliting the administration and management of a large number of vehicles </t>
  </si>
  <si>
    <t>WO9711440</t>
  </si>
  <si>
    <t xml:space="preserve">Spray nozzle </t>
  </si>
  <si>
    <t>US2656218</t>
  </si>
  <si>
    <t xml:space="preserve">Game machine </t>
  </si>
  <si>
    <t>JP2012147918</t>
  </si>
  <si>
    <t xml:space="preserve">Power driven device with centrifugal fluid circulation, such as a motor pump or a motor compressor </t>
  </si>
  <si>
    <t>WO0037804</t>
  </si>
  <si>
    <t xml:space="preserve">Guide system and guide method </t>
  </si>
  <si>
    <t>CN101623196</t>
  </si>
  <si>
    <t xml:space="preserve">Graphic speed recorder for vehicles </t>
  </si>
  <si>
    <t>US2245784</t>
  </si>
  <si>
    <t xml:space="preserve">Chain driven pumping unit </t>
  </si>
  <si>
    <t>CN2799902</t>
  </si>
  <si>
    <t xml:space="preserve">Load balancing optimization method based on CPU (central processing unit) and MIC (many integrated core) framework processor cooperative computing </t>
  </si>
  <si>
    <t>CN103279391</t>
  </si>
  <si>
    <t xml:space="preserve">An automatic handling for industrial work </t>
  </si>
  <si>
    <t>FR2536690</t>
  </si>
  <si>
    <t xml:space="preserve">Hockey stick </t>
  </si>
  <si>
    <t>US6547683</t>
  </si>
  <si>
    <t xml:space="preserve">Hydraulic brake apparatus for heavy vehicles </t>
  </si>
  <si>
    <t>US2018912</t>
  </si>
  <si>
    <t xml:space="preserve">Form block shaping and bevel angle cutting machine </t>
  </si>
  <si>
    <t>US2811085</t>
  </si>
  <si>
    <t xml:space="preserve">Golf club clubhead and golf club head component with markings determined in conjunction with the balance plane with, and without, parallax correction to be used for alignment and visual aid purposes, with tools, markings, methods for locating same together with methods of using same </t>
  </si>
  <si>
    <t>US2004092328</t>
  </si>
  <si>
    <t xml:space="preserve">An apparatus for measuring pressure and/or temperature in a fluid conduit </t>
  </si>
  <si>
    <t>WO2004029571</t>
  </si>
  <si>
    <t xml:space="preserve">Multi function test method and station for golf club shafts </t>
  </si>
  <si>
    <t>US2012073383</t>
  </si>
  <si>
    <t xml:space="preserve">Aeronautical device </t>
  </si>
  <si>
    <t>US1866534</t>
  </si>
  <si>
    <t xml:space="preserve">Apparatus for bringing an unbalanced rotative body into alpha state of balance </t>
  </si>
  <si>
    <t>US1774718</t>
  </si>
  <si>
    <t xml:space="preserve">Monoclonal anti-cxcl13 antibodies </t>
  </si>
  <si>
    <t>CN101636413</t>
  </si>
  <si>
    <t xml:space="preserve">Patent FR2515106A1 </t>
  </si>
  <si>
    <t>FR2515106</t>
  </si>
  <si>
    <t xml:space="preserve">Oil pumping machine </t>
  </si>
  <si>
    <t>CN2198412</t>
  </si>
  <si>
    <t xml:space="preserve">Vertical take-off and landing flight vehicle </t>
  </si>
  <si>
    <t>US2015360775</t>
  </si>
  <si>
    <t xml:space="preserve">Portable notebook type computer support </t>
  </si>
  <si>
    <t>CN201017680</t>
  </si>
  <si>
    <t xml:space="preserve">Clamping vice </t>
  </si>
  <si>
    <t>GB2171035</t>
  </si>
  <si>
    <t xml:space="preserve">Heavy adjusting device of beam -pumping unit walking beam auxiliary balancing and beam -pumping unit </t>
  </si>
  <si>
    <t>CN205858632</t>
  </si>
  <si>
    <t xml:space="preserve">Patent BE476226A </t>
  </si>
  <si>
    <t>BE476226</t>
  </si>
  <si>
    <t xml:space="preserve">Apparatus for checking of guides and methods for balancing an elevator car </t>
  </si>
  <si>
    <t>DE102014220445</t>
  </si>
  <si>
    <t xml:space="preserve">Weight balancing device of drilling rig </t>
  </si>
  <si>
    <t>CN201704004</t>
  </si>
  <si>
    <t xml:space="preserve">Sightseeing line double track is crossed mountain and is kept away mountain frame bridge crane </t>
  </si>
  <si>
    <t>CN206736724</t>
  </si>
  <si>
    <t xml:space="preserve">Device is maked an inspection tour to metal mine pit shaft </t>
  </si>
  <si>
    <t>CN207099186</t>
  </si>
  <si>
    <t xml:space="preserve">Three-way valve with combined system for regulation and hydraulic balancing </t>
  </si>
  <si>
    <t>EP0418222</t>
  </si>
  <si>
    <t xml:space="preserve">X-ray mounting device for use in e.g. diagnosis of e.g. tumor, has x-ray detector and x-ray emitter arranged at movable carrier device, and swivellable arm that is supported at support unit and rotatable around horizontal rotation axis </t>
  </si>
  <si>
    <t>DE102006011236</t>
  </si>
  <si>
    <t xml:space="preserve">High-temperature superconductive magnetic levitation device </t>
  </si>
  <si>
    <t>CN1569511</t>
  </si>
  <si>
    <t xml:space="preserve">Rotary piston engine with a stock free piston engine </t>
  </si>
  <si>
    <t>DE4411383</t>
  </si>
  <si>
    <t xml:space="preserve">Apparatus, method and system for a designing and trading macroeconomic investment views </t>
  </si>
  <si>
    <t>WO2005101996</t>
  </si>
  <si>
    <t xml:space="preserve">Tandem knife strip peeling head </t>
  </si>
  <si>
    <t>US3583457</t>
  </si>
  <si>
    <t xml:space="preserve">Systems and methods for scalable distributed global infrastructure for real-time multimedia communication </t>
  </si>
  <si>
    <t>CN103238317</t>
  </si>
  <si>
    <t xml:space="preserve">Apparatus for detecting a difference in the thickness of materials </t>
  </si>
  <si>
    <t>US1815710</t>
  </si>
  <si>
    <t xml:space="preserve">Method and double-plush loom for making patterned pile fabric </t>
  </si>
  <si>
    <t>EP1375715</t>
  </si>
  <si>
    <t xml:space="preserve">Foldable pedal for passenger car </t>
  </si>
  <si>
    <t>CN2815779</t>
  </si>
  <si>
    <t xml:space="preserve">Valve, particularly balancing valve for central heating plants </t>
  </si>
  <si>
    <t>EP1456568</t>
  </si>
  <si>
    <t xml:space="preserve">Adjusting device for guided tours and adjustable guide device </t>
  </si>
  <si>
    <t>DE102012112326</t>
  </si>
  <si>
    <t xml:space="preserve">Suction pump </t>
  </si>
  <si>
    <t>US1565884</t>
  </si>
  <si>
    <t xml:space="preserve">rotary head returnable, in particular plane Recording head </t>
  </si>
  <si>
    <t>FR2545395</t>
  </si>
  <si>
    <t xml:space="preserve">Tail boom sliding balancer for beam pumping unit </t>
  </si>
  <si>
    <t>CN2443169</t>
  </si>
  <si>
    <t xml:space="preserve">Composite balancing beam type oil pumping machine possessing load loss protection function </t>
  </si>
  <si>
    <t>CN201173104</t>
  </si>
  <si>
    <t xml:space="preserve">Cradle guide for marine vessel lift has side mounted hydraulic stabilising cylinders connected to supports </t>
  </si>
  <si>
    <t>DE102005036491</t>
  </si>
  <si>
    <t xml:space="preserve">Beam -pumping unit </t>
  </si>
  <si>
    <t>CN205382920</t>
  </si>
  <si>
    <t xml:space="preserve">Robot arm balancer device </t>
  </si>
  <si>
    <t>JPH05253885</t>
  </si>
  <si>
    <t xml:space="preserve">Vehicle-mounted tour guide camera </t>
  </si>
  <si>
    <t>CN201633650</t>
  </si>
  <si>
    <t xml:space="preserve">Microbial Engineering For The Production Of Chemical And Pharmaceutical Products From The Isoprenoid Pathway </t>
  </si>
  <si>
    <t>CN102812129</t>
  </si>
  <si>
    <t xml:space="preserve">Intelligent tourism management system </t>
  </si>
  <si>
    <t>CN103679387</t>
  </si>
  <si>
    <t xml:space="preserve">Tail beam balancer for beam pumping unit </t>
  </si>
  <si>
    <t>CN1289010</t>
  </si>
  <si>
    <t xml:space="preserve">Energy-saving chain beam-pumping unit </t>
  </si>
  <si>
    <t>CN201080812</t>
  </si>
  <si>
    <t xml:space="preserve">An installation unit in a heating or cooling system </t>
  </si>
  <si>
    <t>WO2008041897</t>
  </si>
  <si>
    <t xml:space="preserve">Tower type extended-range oil-pumping unit with single arm sliding beam </t>
  </si>
  <si>
    <t>CN87209044</t>
  </si>
  <si>
    <t xml:space="preserve">Machine for grinding an optical surface in a piece of refractive material </t>
  </si>
  <si>
    <t>US2915856</t>
  </si>
  <si>
    <t xml:space="preserve">Adjustable balancing unit of experiment beam -pumping unit walking beam </t>
  </si>
  <si>
    <t>CN204926660</t>
  </si>
  <si>
    <t xml:space="preserve">Location-based enhancements for wireless intrusion detection </t>
  </si>
  <si>
    <t>CN101189858</t>
  </si>
  <si>
    <t xml:space="preserve">Patent BE666743A </t>
  </si>
  <si>
    <t>BE666743</t>
  </si>
  <si>
    <t>WO2015094169</t>
  </si>
  <si>
    <t xml:space="preserve">Patent BE699807A </t>
  </si>
  <si>
    <t>BE699807</t>
  </si>
  <si>
    <t xml:space="preserve">Patent BE640270A </t>
  </si>
  <si>
    <t>BE640270</t>
  </si>
  <si>
    <t xml:space="preserve">Improved refrigerators/freezers incorporating solid-vapor sorption reactors capable of high reaction rates </t>
  </si>
  <si>
    <t>CN1181804</t>
  </si>
  <si>
    <t xml:space="preserve">System and method for providing foreign tourist with shopping service </t>
  </si>
  <si>
    <t>KR101247522</t>
  </si>
  <si>
    <t xml:space="preserve">Variable reactance transformer </t>
  </si>
  <si>
    <t>US2274015</t>
  </si>
  <si>
    <t xml:space="preserve">Patent BE644800A </t>
  </si>
  <si>
    <t>BE644800</t>
  </si>
  <si>
    <t xml:space="preserve">Elastic-support-based caliper with lengthened measuring jaws </t>
  </si>
  <si>
    <t>CN204255210</t>
  </si>
  <si>
    <t xml:space="preserve">Hanging type beam balancing energy-saving oil pump </t>
  </si>
  <si>
    <t>CN201228540</t>
  </si>
  <si>
    <t xml:space="preserve">Pendulum guide rod type pumping unit </t>
  </si>
  <si>
    <t>CN101509364</t>
  </si>
  <si>
    <t xml:space="preserve">Method and device for sightseeing guidance </t>
  </si>
  <si>
    <t>JP2002024460</t>
  </si>
  <si>
    <t xml:space="preserve">Patent BE477496A </t>
  </si>
  <si>
    <t>BE477496</t>
  </si>
  <si>
    <t xml:space="preserve">Patent BE523064A </t>
  </si>
  <si>
    <t>BE523064</t>
  </si>
  <si>
    <t xml:space="preserve">Main shaft device capable of improving dynamic balance </t>
  </si>
  <si>
    <t>CN101628341</t>
  </si>
  <si>
    <t xml:space="preserve">Wood-carving machine </t>
  </si>
  <si>
    <t>US1439215</t>
  </si>
  <si>
    <t xml:space="preserve">Balance control device and method for walking-beam type pumping unit </t>
  </si>
  <si>
    <t>CN104453791</t>
  </si>
  <si>
    <t xml:space="preserve">Device for bracing and balancing the press tool holder and crankcase in an upsetting press </t>
  </si>
  <si>
    <t>EP0484783</t>
  </si>
  <si>
    <t xml:space="preserve">Orbital shaker with balancing </t>
  </si>
  <si>
    <t>DE102014111236</t>
  </si>
  <si>
    <t xml:space="preserve">Mechanism for quantity determination and balancing and filling machine comprising such a mechanism </t>
  </si>
  <si>
    <t>WO8000245</t>
  </si>
  <si>
    <t xml:space="preserve">Cableless balanced long-stroke oil pumping unit </t>
  </si>
  <si>
    <t>CN204041026</t>
  </si>
  <si>
    <t xml:space="preserve">Pressure balance valve </t>
  </si>
  <si>
    <t>CN202812357</t>
  </si>
  <si>
    <t>CA2546118</t>
  </si>
  <si>
    <t xml:space="preserve">Sightseeing bus </t>
  </si>
  <si>
    <t>CN205340170</t>
  </si>
  <si>
    <t xml:space="preserve">Tour information system based on GIS linked to rent a car service and method thereof </t>
  </si>
  <si>
    <t>KR20180035726</t>
  </si>
  <si>
    <t>KR20180087226</t>
  </si>
  <si>
    <t xml:space="preserve">Beam pumper </t>
  </si>
  <si>
    <t>CN105422052</t>
  </si>
  <si>
    <t xml:space="preserve">Exhaust valve and intake system </t>
  </si>
  <si>
    <t>US2003101950</t>
  </si>
  <si>
    <t xml:space="preserve">Oil sucker with adjstable weight center for balance </t>
  </si>
  <si>
    <t>CN2485419</t>
  </si>
  <si>
    <t xml:space="preserve">Torsional vibration damper </t>
  </si>
  <si>
    <t>FR2767888</t>
  </si>
  <si>
    <t xml:space="preserve">Device used for overhaul and maintenance of passenger transport cableway </t>
  </si>
  <si>
    <t>CN201434693</t>
  </si>
  <si>
    <t xml:space="preserve">Patent BE495671A </t>
  </si>
  <si>
    <t>BE495671</t>
  </si>
  <si>
    <t xml:space="preserve">Seat </t>
  </si>
  <si>
    <t>CN203228668</t>
  </si>
  <si>
    <t xml:space="preserve">Semi-submerged ship for sightseening </t>
  </si>
  <si>
    <t>CN2349129</t>
  </si>
  <si>
    <t xml:space="preserve">Data center management method and system based on travel relevant data </t>
  </si>
  <si>
    <t>CN104077652</t>
  </si>
  <si>
    <t xml:space="preserve">Loud speaker </t>
  </si>
  <si>
    <t>US1574514</t>
  </si>
  <si>
    <t xml:space="preserve">Elevator lift car balance device </t>
  </si>
  <si>
    <t>CN204162226</t>
  </si>
  <si>
    <t xml:space="preserve">Patent BE511246A </t>
  </si>
  <si>
    <t>BE511246</t>
  </si>
  <si>
    <t xml:space="preserve">Curved slide beam composite tail beam sliding balance oil pumping unit </t>
  </si>
  <si>
    <t>CN2537812</t>
  </si>
  <si>
    <t xml:space="preserve">Device for placing a balancing weight on the rim flange of a car wheel. </t>
  </si>
  <si>
    <t>ES2331607</t>
  </si>
  <si>
    <t xml:space="preserve">Beam -pumping unit balancing weight position adjustment instrument </t>
  </si>
  <si>
    <t>CN205218976</t>
  </si>
  <si>
    <t xml:space="preserve">Isomers wireless network based on the predicted traffic load balancing adjustable bandwidth </t>
  </si>
  <si>
    <t>CN105376805</t>
  </si>
  <si>
    <t xml:space="preserve">Bidirectional block double-balanced type petroleum pumping unit for multiple wells </t>
  </si>
  <si>
    <t>CN204186353</t>
  </si>
  <si>
    <t xml:space="preserve">Multimedia projection management </t>
  </si>
  <si>
    <t>KR101380932</t>
  </si>
  <si>
    <t xml:space="preserve">Method and system for trip management </t>
  </si>
  <si>
    <t>DE112005002624</t>
  </si>
  <si>
    <t xml:space="preserve">User experience/user interface based on interaction history </t>
  </si>
  <si>
    <t>KR101754639</t>
  </si>
  <si>
    <t xml:space="preserve">Sets of artificial teeth, which readily allow bilaterally balanced occlusion </t>
  </si>
  <si>
    <t>DE112007003671</t>
  </si>
  <si>
    <t xml:space="preserve">Management system based on intelligent tourism and method </t>
  </si>
  <si>
    <t>CN106022562</t>
  </si>
  <si>
    <t xml:space="preserve">Telescopic RMS of the type master-slave and means Balancing </t>
  </si>
  <si>
    <t>FR2519894</t>
  </si>
  <si>
    <t xml:space="preserve">Phase-tuned two-stage balancing lever oil-pumping machine </t>
  </si>
  <si>
    <t>CN1063333</t>
  </si>
  <si>
    <t xml:space="preserve">Patent BE539926A </t>
  </si>
  <si>
    <t>BE539926</t>
  </si>
  <si>
    <t xml:space="preserve">Patent BE392683A </t>
  </si>
  <si>
    <t>BE392683</t>
  </si>
  <si>
    <t xml:space="preserve">Patent BE375833A </t>
  </si>
  <si>
    <t>BE375833</t>
  </si>
  <si>
    <t xml:space="preserve">Patent BE486494A </t>
  </si>
  <si>
    <t>BE486494</t>
  </si>
  <si>
    <t xml:space="preserve">Kinds of load balancing methods heterogeneous wireless network load ahead of the transfer of </t>
  </si>
  <si>
    <t>CN105376804</t>
  </si>
  <si>
    <t xml:space="preserve">Balance adjustment device for beam -pumping unit </t>
  </si>
  <si>
    <t>CN204664291</t>
  </si>
  <si>
    <t xml:space="preserve">Method and device for determining the angular position of the unbalance of a rotating body and to angularly orient the rotary body </t>
  </si>
  <si>
    <t>FR2508165</t>
  </si>
  <si>
    <t xml:space="preserve">Patent BE503142A </t>
  </si>
  <si>
    <t>BE503142</t>
  </si>
  <si>
    <t xml:space="preserve">Machine vibrating tool to ultra-sound frequency </t>
  </si>
  <si>
    <t>BE562824</t>
  </si>
  <si>
    <t xml:space="preserve">Patent BE535748A </t>
  </si>
  <si>
    <t>BE535748</t>
  </si>
  <si>
    <t xml:space="preserve">Slurry gravitometer </t>
  </si>
  <si>
    <t>CN207036604</t>
  </si>
  <si>
    <t xml:space="preserve">tower framework for recreation facilities, ejection-recreation facilities, big swing-recreation facilities and complex recreation facilities </t>
  </si>
  <si>
    <t>KR20010074289</t>
  </si>
  <si>
    <t xml:space="preserve">Swinging dynamic balancing synergistic energy-saving oil pumping machine </t>
  </si>
  <si>
    <t>CN101387192</t>
  </si>
  <si>
    <t xml:space="preserve">Pulley increases balanced micromatic setting of journey beam -pumping unit </t>
  </si>
  <si>
    <t>CN205135963</t>
  </si>
  <si>
    <t xml:space="preserve">Patent BE416934A </t>
  </si>
  <si>
    <t>BE416934</t>
  </si>
  <si>
    <t xml:space="preserve">Blades with functional balance asymmetries for use with ultrasonic surgical instruments. </t>
  </si>
  <si>
    <t>ES2334557</t>
  </si>
  <si>
    <t xml:space="preserve">Sightseeing line track bridge crane boom bridge equipment </t>
  </si>
  <si>
    <t>CN206736723</t>
  </si>
  <si>
    <t xml:space="preserve">A balanced force applying device for swimming </t>
  </si>
  <si>
    <t>CN207153011</t>
  </si>
  <si>
    <t xml:space="preserve">A method and system for electronic route planning and virtual queue handling </t>
  </si>
  <si>
    <t>CN100349190</t>
  </si>
  <si>
    <t xml:space="preserve">Sightseeing elevator </t>
  </si>
  <si>
    <t>CN205838262</t>
  </si>
  <si>
    <t xml:space="preserve">A auxiliary device system for swimming </t>
  </si>
  <si>
    <t>CN207153008</t>
  </si>
  <si>
    <t xml:space="preserve">Polarizing diffusion film, production method therefor, and liquid crystal display device comprising polarizing diffusion film </t>
  </si>
  <si>
    <t>KR20120085920</t>
  </si>
  <si>
    <t>WO2006087703</t>
  </si>
  <si>
    <t xml:space="preserve">A balance pumping unit with a walking beam </t>
  </si>
  <si>
    <t>WO2009009920</t>
  </si>
  <si>
    <t xml:space="preserve">Heel unit </t>
  </si>
  <si>
    <t>EP3120903</t>
  </si>
  <si>
    <t>BE884310</t>
  </si>
  <si>
    <t xml:space="preserve">Patent BE568359A </t>
  </si>
  <si>
    <t>BE568359</t>
  </si>
  <si>
    <t xml:space="preserve">Patent BE553558A </t>
  </si>
  <si>
    <t>BE553558</t>
  </si>
  <si>
    <t xml:space="preserve">Management System for Experience Leisure Village's Development and Operating </t>
  </si>
  <si>
    <t>KR20030044104</t>
  </si>
  <si>
    <t xml:space="preserve">Patent BE653830A </t>
  </si>
  <si>
    <t>BE653830</t>
  </si>
  <si>
    <t xml:space="preserve">Patent BE530342A </t>
  </si>
  <si>
    <t>BE530342</t>
  </si>
  <si>
    <t xml:space="preserve">Patent BE351896A </t>
  </si>
  <si>
    <t>BE351896</t>
  </si>
  <si>
    <t>CN101059071</t>
  </si>
  <si>
    <t xml:space="preserve">Patent BE639926A </t>
  </si>
  <si>
    <t>BE639926</t>
  </si>
  <si>
    <t xml:space="preserve">Autonomous path cruise and intelligent obstacle avoidance method of factory touring unmanned aerial vehicle (UAV) </t>
  </si>
  <si>
    <t>CN108132675</t>
  </si>
  <si>
    <t xml:space="preserve">Method for realizing the intelligent tour-inspection of power tower based on miniature multi-rotor unmanned helicopter </t>
  </si>
  <si>
    <t>CN102510011</t>
  </si>
  <si>
    <t xml:space="preserve">Patrol robot and autonomous travel method of patrol robot </t>
  </si>
  <si>
    <t>JP2008234636</t>
  </si>
  <si>
    <t xml:space="preserve">Method and apparatus for creating personal autonomous avatars </t>
  </si>
  <si>
    <t>US6466213</t>
  </si>
  <si>
    <t xml:space="preserve">High-precision integrated navigation electric power tour inspection robot </t>
  </si>
  <si>
    <t>CN203224632</t>
  </si>
  <si>
    <t xml:space="preserve">Autonomous unmanned aerial vehicle fan blade polling system and method </t>
  </si>
  <si>
    <t>CN105717934</t>
  </si>
  <si>
    <t xml:space="preserve">Autonomous navigation travel system for villages and application method thereof </t>
  </si>
  <si>
    <t>CN106952599</t>
  </si>
  <si>
    <t xml:space="preserve">Virtual tour system and method using unmanned aerial vehicles to achieve </t>
  </si>
  <si>
    <t>CN105745587</t>
  </si>
  <si>
    <t xml:space="preserve">Travel system for autonomous traveling vehicle </t>
  </si>
  <si>
    <t>JP2010061533</t>
  </si>
  <si>
    <t xml:space="preserve">A combination of ground HIL Simulation Platform autonomous navigation system </t>
  </si>
  <si>
    <t>CN104865846</t>
  </si>
  <si>
    <t xml:space="preserve">A pipe inspection robot autonomous robot patrol path method and the method having </t>
  </si>
  <si>
    <t>CN102799178</t>
  </si>
  <si>
    <t xml:space="preserve">Method, distributor vehicle and system for autonomous delivery and/or collection of at least one shipment </t>
  </si>
  <si>
    <t>EP3121775</t>
  </si>
  <si>
    <t xml:space="preserve">Control of functions and expenditure of autonomous vehicles on the basis of a position and attention to passenger </t>
  </si>
  <si>
    <t>DE102017110283</t>
  </si>
  <si>
    <t xml:space="preserve">Automatic driving control method and device for tour bus </t>
  </si>
  <si>
    <t>CN107797555</t>
  </si>
  <si>
    <t xml:space="preserve">System and method for managing a social autonomous taxi service </t>
  </si>
  <si>
    <t>DE102017109243</t>
  </si>
  <si>
    <t xml:space="preserve">Method and device for tour inspection on road </t>
  </si>
  <si>
    <t>CN105270208</t>
  </si>
  <si>
    <t xml:space="preserve">Transitioning a mixed-mode vehicle to autonomous mode </t>
  </si>
  <si>
    <t>US8078349</t>
  </si>
  <si>
    <t xml:space="preserve">Kinds of Chinese tourism domain knowledge map construction method and system </t>
  </si>
  <si>
    <t>CN106777274</t>
  </si>
  <si>
    <t xml:space="preserve">UAV tour inspection system and implementation method for electrical equipment of photovoltaic power station </t>
  </si>
  <si>
    <t>CN105700544</t>
  </si>
  <si>
    <t xml:space="preserve">Based kinds of scenic tour smart phone app applications </t>
  </si>
  <si>
    <t>CN108600501</t>
  </si>
  <si>
    <t xml:space="preserve">Autonomous mobile explaining system platform robot and explaining method </t>
  </si>
  <si>
    <t>CN107553505</t>
  </si>
  <si>
    <t xml:space="preserve">Integrated vehicle control system for autonomous driving intelligent vehicle </t>
  </si>
  <si>
    <t>CN202806746</t>
  </si>
  <si>
    <t xml:space="preserve">Control system for controlling object using pseudo-emotions and pseudo-personality generated in the object </t>
  </si>
  <si>
    <t>US6230111</t>
  </si>
  <si>
    <t xml:space="preserve">Method and apparatus for improving the accuracy of position estimates in a satellite based navigation system </t>
  </si>
  <si>
    <t>US5390124</t>
  </si>
  <si>
    <t xml:space="preserve">Operations and provisioning systems for service level management in an extended-area data communications network </t>
  </si>
  <si>
    <t>US6681232</t>
  </si>
  <si>
    <t xml:space="preserve">Virtual distributed multimedia gaming method and system based on actual regulated casino games </t>
  </si>
  <si>
    <t>US6508709</t>
  </si>
  <si>
    <t xml:space="preserve">Differential system and method for a satellite based navigation </t>
  </si>
  <si>
    <t>US5490073</t>
  </si>
  <si>
    <t xml:space="preserve">Contact center system and method for specifying different service specific behavior and offering range of corresponding customer services </t>
  </si>
  <si>
    <t>US6988126</t>
  </si>
  <si>
    <t xml:space="preserve">Overview subsystem for information page server </t>
  </si>
  <si>
    <t>US6996605</t>
  </si>
  <si>
    <t xml:space="preserve">Graphic data processing system </t>
  </si>
  <si>
    <t>US5945976</t>
  </si>
  <si>
    <t xml:space="preserve">Intelligent road tour inspection control method for multi-rotor-wing unmanned aerial vehicle </t>
  </si>
  <si>
    <t>CN105549603</t>
  </si>
  <si>
    <t xml:space="preserve">System and method for measuring round trip times in a network using a TCP packet </t>
  </si>
  <si>
    <t>US6446121</t>
  </si>
  <si>
    <t xml:space="preserve">Automatic tour inspection system and method for airfield runway </t>
  </si>
  <si>
    <t>CN107563525</t>
  </si>
  <si>
    <t xml:space="preserve">Labyrinth pipeline robot autonomous patrolling algorithm and robot with same </t>
  </si>
  <si>
    <t>CN102681544</t>
  </si>
  <si>
    <t xml:space="preserve">Digital health system for supporting medical services and wellness tourism services </t>
  </si>
  <si>
    <t>KR20170088220</t>
  </si>
  <si>
    <t xml:space="preserve">Method of modeling player position and movement in a virtual reality system </t>
  </si>
  <si>
    <t>US6054991</t>
  </si>
  <si>
    <t xml:space="preserve">System, method, and article of manufacture for delivering information to a user through programmable network bookmarks </t>
  </si>
  <si>
    <t>US6460038</t>
  </si>
  <si>
    <t xml:space="preserve">Interactive man-machine interface for simulating human emotions </t>
  </si>
  <si>
    <t>US5367454</t>
  </si>
  <si>
    <t xml:space="preserve">Conceptual factoring and unification of graphs representing semantic models </t>
  </si>
  <si>
    <t>US6847979</t>
  </si>
  <si>
    <t xml:space="preserve">Interactive vehicle display system </t>
  </si>
  <si>
    <t>US7126583</t>
  </si>
  <si>
    <t xml:space="preserve">Active reservation system </t>
  </si>
  <si>
    <t>US6477503</t>
  </si>
  <si>
    <t xml:space="preserve">Autonomous vehicle travel control systems and methods </t>
  </si>
  <si>
    <t>US7979172</t>
  </si>
  <si>
    <t xml:space="preserve">System, method and article of manufacture for a user interface for a knowledge management tool </t>
  </si>
  <si>
    <t>US6727927</t>
  </si>
  <si>
    <t xml:space="preserve">Wireless location routing applications and architecture therefor </t>
  </si>
  <si>
    <t>US7903029</t>
  </si>
  <si>
    <t xml:space="preserve">User interface for information retrieval system </t>
  </si>
  <si>
    <t>US5768578</t>
  </si>
  <si>
    <t xml:space="preserve">Position dependent messaging system </t>
  </si>
  <si>
    <t>US6683538</t>
  </si>
  <si>
    <t xml:space="preserve">System for generating charts in a knowledge management tool </t>
  </si>
  <si>
    <t>US6900807</t>
  </si>
  <si>
    <t xml:space="preserve">Wireless location gateway and applications therefor </t>
  </si>
  <si>
    <t>US7714778</t>
  </si>
  <si>
    <t xml:space="preserve">Autonomous downhole oilfield tool </t>
  </si>
  <si>
    <t>US6378627</t>
  </si>
  <si>
    <t xml:space="preserve">Dual mode proximity and in-range smart card data transaction system </t>
  </si>
  <si>
    <t>US6202927</t>
  </si>
  <si>
    <t xml:space="preserve">Method and apparatus for predicting the position of a satellite in a satellite based navigation system </t>
  </si>
  <si>
    <t>US5430657</t>
  </si>
  <si>
    <t>US7979173</t>
  </si>
  <si>
    <t>US5430654</t>
  </si>
  <si>
    <t xml:space="preserve">Remote control system </t>
  </si>
  <si>
    <t>US6633800</t>
  </si>
  <si>
    <t xml:space="preserve">Method and apparatus for determining vehicle position using a satellite based navigation system </t>
  </si>
  <si>
    <t>US5359521</t>
  </si>
  <si>
    <t xml:space="preserve">Automated content and collaboration-based system and methods for determining and providing content recommendations </t>
  </si>
  <si>
    <t>US6438579</t>
  </si>
  <si>
    <t xml:space="preserve">System for retrieving multimedia information from the internet using multiple evolving intelligent agents </t>
  </si>
  <si>
    <t>US6304864</t>
  </si>
  <si>
    <t>US8195468</t>
  </si>
  <si>
    <t xml:space="preserve">Knowledge management tool </t>
  </si>
  <si>
    <t>US6721726</t>
  </si>
  <si>
    <t xml:space="preserve">Autonomous individual device "audio guide" </t>
  </si>
  <si>
    <t>RU124095</t>
  </si>
  <si>
    <t xml:space="preserve">Knowledge management tool for providing abstracts of information </t>
  </si>
  <si>
    <t>US6564209</t>
  </si>
  <si>
    <t xml:space="preserve">Communication network organizing method and inspection tour support method </t>
  </si>
  <si>
    <t>JP2008022222</t>
  </si>
  <si>
    <t xml:space="preserve">Materials-handling system using autonomous transfer and transport vehicles </t>
  </si>
  <si>
    <t>US7991505</t>
  </si>
  <si>
    <t xml:space="preserve">System and method for multi-dimensional organization, management, and manipulation of data </t>
  </si>
  <si>
    <t>US7433885</t>
  </si>
  <si>
    <t xml:space="preserve">Autonomous vehicle with driver presence and physiological monitoring </t>
  </si>
  <si>
    <t>US8874301</t>
  </si>
  <si>
    <t>US7591630</t>
  </si>
  <si>
    <t xml:space="preserve">Semi-autonomous route compliance navigation system and method </t>
  </si>
  <si>
    <t>US2015253142</t>
  </si>
  <si>
    <t xml:space="preserve">Automatic tourism interpretation equipment </t>
  </si>
  <si>
    <t>CN204166872</t>
  </si>
  <si>
    <t xml:space="preserve">Unlock and authentication for autonomous vehicles </t>
  </si>
  <si>
    <t>US9194168</t>
  </si>
  <si>
    <t xml:space="preserve">Lane of travel on windshield head-up display </t>
  </si>
  <si>
    <t>US8384532</t>
  </si>
  <si>
    <t xml:space="preserve">Traffic infrastructure indicator on head-up display </t>
  </si>
  <si>
    <t>US8395529</t>
  </si>
  <si>
    <t xml:space="preserve">Autonomic positioning method of mobile manipulator used for repairing leakages of dangerous chemicals container </t>
  </si>
  <si>
    <t>CN1730249</t>
  </si>
  <si>
    <t xml:space="preserve">Location-aware notifications and applications for autonomous vehicles </t>
  </si>
  <si>
    <t>US8880270</t>
  </si>
  <si>
    <t xml:space="preserve">System, method and article of manufacture for a knowledge management tool proposal wizard </t>
  </si>
  <si>
    <t>US7350138</t>
  </si>
  <si>
    <t xml:space="preserve">System and method for network-based personalized education environment </t>
  </si>
  <si>
    <t>US7082418</t>
  </si>
  <si>
    <t xml:space="preserve">Vehicle-to-vehicle communicator on full-windshield head-up display </t>
  </si>
  <si>
    <t>US8269652</t>
  </si>
  <si>
    <t>US8082096</t>
  </si>
  <si>
    <t xml:space="preserve">Method and apparatus for improving the accuracy of position estimates in a satellite based navigation system using velocity data from an inertial reference unit </t>
  </si>
  <si>
    <t>US5606506</t>
  </si>
  <si>
    <t>US6901390</t>
  </si>
  <si>
    <t xml:space="preserve">Autonomous system of tourist kiosks and its method of operation </t>
  </si>
  <si>
    <t>RU2011148171</t>
  </si>
  <si>
    <t xml:space="preserve">Systems and processes for selecting contextual modes for use with autonomous, semi-autonomous, and manual-driving vehicle operations </t>
  </si>
  <si>
    <t>US2017285641</t>
  </si>
  <si>
    <t xml:space="preserve">Autonomous video-on-demand voice interpretation system for specimen exhibition hall </t>
  </si>
  <si>
    <t>CN202939938</t>
  </si>
  <si>
    <t xml:space="preserve">Autonomous terminal for processing data and text in written and oral form </t>
  </si>
  <si>
    <t>EP0089250</t>
  </si>
  <si>
    <t xml:space="preserve">Tourist map with multi-media function </t>
  </si>
  <si>
    <t>CN201946218</t>
  </si>
  <si>
    <t xml:space="preserve">Gyro failure autonomous diagnostic method of inspector in static state </t>
  </si>
  <si>
    <t>CN103759740</t>
  </si>
  <si>
    <t xml:space="preserve">Species of animal models of electric traction tour </t>
  </si>
  <si>
    <t>CN108438064</t>
  </si>
  <si>
    <t xml:space="preserve">Systems and methods for managing a social autonomous taxi service </t>
  </si>
  <si>
    <t>CN107369060</t>
  </si>
  <si>
    <t xml:space="preserve">Method for operating an autonomous vehicle operable </t>
  </si>
  <si>
    <t>DE102016012774</t>
  </si>
  <si>
    <t xml:space="preserve">Autonomous travelling vehicle and utilization system for autonomous travelling vehicle </t>
  </si>
  <si>
    <t>JP2016027456</t>
  </si>
  <si>
    <t xml:space="preserve">Electronic autonomous community network system including endowment </t>
  </si>
  <si>
    <t>JP2001331872</t>
  </si>
  <si>
    <t xml:space="preserve">Method, system and computer software code for trip optimization with train/track database augmentation </t>
  </si>
  <si>
    <t>CN101495929</t>
  </si>
  <si>
    <t xml:space="preserve">Method for modifying an existing vehicle on a retrofit basis to integrate the vehicle into an information exchange system </t>
  </si>
  <si>
    <t>US8260537</t>
  </si>
  <si>
    <t xml:space="preserve">Just in time pickup or receipt of goods or services by a mobile user </t>
  </si>
  <si>
    <t>US7974873</t>
  </si>
  <si>
    <t xml:space="preserve">Autonomous power supply device for e.g. mini refrigerator, has accumulators housed in parallelepiped compartment and placed near ground, when barrel structure of compartment is in use position </t>
  </si>
  <si>
    <t>FR2908927</t>
  </si>
  <si>
    <t xml:space="preserve">Helper entity for communication session </t>
  </si>
  <si>
    <t>US2002091832</t>
  </si>
  <si>
    <t xml:space="preserve">Extended range high sensitivity SPS positioning receiver </t>
  </si>
  <si>
    <t>US7053826</t>
  </si>
  <si>
    <t>US2004193420</t>
  </si>
  <si>
    <t xml:space="preserve">Tourism management system </t>
  </si>
  <si>
    <t>CN102982423</t>
  </si>
  <si>
    <t xml:space="preserve">Inviting assistant entity into a network communication session </t>
  </si>
  <si>
    <t>US2002055973</t>
  </si>
  <si>
    <t xml:space="preserve">Associating parties with communication sessions </t>
  </si>
  <si>
    <t>US2002073150</t>
  </si>
  <si>
    <t xml:space="preserve">Movement of an autonomous entity through an environment </t>
  </si>
  <si>
    <t>US7389210</t>
  </si>
  <si>
    <t xml:space="preserve">Method and apparatus for testing protocols </t>
  </si>
  <si>
    <t>US5659555</t>
  </si>
  <si>
    <t xml:space="preserve">Infotainment display on full-windshield head-up display </t>
  </si>
  <si>
    <t>US8317329</t>
  </si>
  <si>
    <t xml:space="preserve">Night vision on full windshield head-up display </t>
  </si>
  <si>
    <t>US2010289632</t>
  </si>
  <si>
    <t xml:space="preserve">Execution of process by references to directory service </t>
  </si>
  <si>
    <t>US2003172127</t>
  </si>
  <si>
    <t xml:space="preserve">System and method for automating a vehicle rental process </t>
  </si>
  <si>
    <t>US2002186144</t>
  </si>
  <si>
    <t xml:space="preserve">Turn by turn graphical navigation on full windshield head-up display </t>
  </si>
  <si>
    <t>US2010292886</t>
  </si>
  <si>
    <t xml:space="preserve">Recommended following distance on full-windshield head-up display </t>
  </si>
  <si>
    <t>US2010253493</t>
  </si>
  <si>
    <t xml:space="preserve">Conveyance scheduling and logistics system </t>
  </si>
  <si>
    <t>US2004260470</t>
  </si>
  <si>
    <t xml:space="preserve">Positioning System </t>
  </si>
  <si>
    <t>US2009030605</t>
  </si>
  <si>
    <t xml:space="preserve">Trip optimization system and method for a train </t>
  </si>
  <si>
    <t>US2007219680</t>
  </si>
  <si>
    <t xml:space="preserve">Mapping Techniques Using Probe Vehicles </t>
  </si>
  <si>
    <t>US2009140887</t>
  </si>
  <si>
    <t xml:space="preserve">Peripheral salient feature enhancement on full-windshield head-up display </t>
  </si>
  <si>
    <t>US2010253594</t>
  </si>
  <si>
    <t xml:space="preserve">Applications for a wireless location gateway </t>
  </si>
  <si>
    <t>US2004198386</t>
  </si>
  <si>
    <t xml:space="preserve">Method and apparatus for optimizing a train trip using signal information </t>
  </si>
  <si>
    <t>US2007219681</t>
  </si>
  <si>
    <t xml:space="preserve">Dynamic vehicle system information on full windshield head-up display </t>
  </si>
  <si>
    <t>US2010253602</t>
  </si>
  <si>
    <t xml:space="preserve">Daytime pedestrian detection on full-windscreen head-up display </t>
  </si>
  <si>
    <t>US2010253492</t>
  </si>
  <si>
    <t xml:space="preserve">Rear view mirror on full-windshield head-up display </t>
  </si>
  <si>
    <t>US2010253597</t>
  </si>
  <si>
    <t xml:space="preserve">Distortion and perspective correction of vector projection display </t>
  </si>
  <si>
    <t>US2010253489</t>
  </si>
  <si>
    <t xml:space="preserve">Driver drowsy alert on full-windshield head-up display </t>
  </si>
  <si>
    <t>US2010253526</t>
  </si>
  <si>
    <t xml:space="preserve">Enhanced road vision on full windshield head-up display </t>
  </si>
  <si>
    <t>US2010253540</t>
  </si>
  <si>
    <t>US2008024360</t>
  </si>
  <si>
    <t xml:space="preserve">Enhanced vision system full-windshield hud </t>
  </si>
  <si>
    <t>US2010253593</t>
  </si>
  <si>
    <t xml:space="preserve">System for collecting, analyzing, and transmitting information relevant to transportation networks </t>
  </si>
  <si>
    <t>US2013059607</t>
  </si>
  <si>
    <t xml:space="preserve">System and method for comparative analysis of textual documents </t>
  </si>
  <si>
    <t>US2005165600</t>
  </si>
  <si>
    <t xml:space="preserve">Uv laser beamlett on full-windshield head-up display </t>
  </si>
  <si>
    <t>US2010254019</t>
  </si>
  <si>
    <t xml:space="preserve">Run management apparatus, autonomous driving apparatus, the travel management method and practice management program </t>
  </si>
  <si>
    <t>JP2018163471</t>
  </si>
  <si>
    <t xml:space="preserve">Traffic and security monitoring system and method </t>
  </si>
  <si>
    <t>US2009219393</t>
  </si>
  <si>
    <t xml:space="preserve">Scan loop optimization of vector projection display </t>
  </si>
  <si>
    <t>US2010253688</t>
  </si>
  <si>
    <t xml:space="preserve">Rear parking assist on full rear-window head-up display </t>
  </si>
  <si>
    <t>US2010253543</t>
  </si>
  <si>
    <t xml:space="preserve">Open control system architecture for mobile autonomous systems </t>
  </si>
  <si>
    <t>US2007112700</t>
  </si>
  <si>
    <t xml:space="preserve">Virtual controls and displays by laser projection </t>
  </si>
  <si>
    <t>US2010253595</t>
  </si>
  <si>
    <t xml:space="preserve">Digitized intellectual property archive with preferential method of transfer and routing </t>
  </si>
  <si>
    <t>US2004148191</t>
  </si>
  <si>
    <t xml:space="preserve">The autonomous moving body </t>
  </si>
  <si>
    <t>JP5184853</t>
  </si>
  <si>
    <t xml:space="preserve">Software application and logic to modify configuration of an autonomous vehicle </t>
  </si>
  <si>
    <t>US2017126810</t>
  </si>
  <si>
    <t xml:space="preserve">Virtual Reality Environment Responsive to Predictive Route Navigation </t>
  </si>
  <si>
    <t>US2017103571</t>
  </si>
  <si>
    <t xml:space="preserve">Automatic guide system </t>
  </si>
  <si>
    <t>JP5225916</t>
  </si>
  <si>
    <t xml:space="preserve">Vehicular Intersection Management Techniques </t>
  </si>
  <si>
    <t>US2008167821</t>
  </si>
  <si>
    <t xml:space="preserve">Trip Optimization System and Method for a Vehicle </t>
  </si>
  <si>
    <t>US2007233364</t>
  </si>
  <si>
    <t xml:space="preserve">Method and system for ensuring operation of limited-ability autonomous driving vehicles </t>
  </si>
  <si>
    <t>US2011241862</t>
  </si>
  <si>
    <t xml:space="preserve">Method and System for Guiding a Person to a Location </t>
  </si>
  <si>
    <t>US2008215202</t>
  </si>
  <si>
    <t xml:space="preserve">Method and computer-based sytem for non-probabilistic hypothesis generation and verification </t>
  </si>
  <si>
    <t>US2004103108</t>
  </si>
  <si>
    <t xml:space="preserve">Trip optimizer method, system and computer software code for operating a railroad train to minimize wheel and track wear </t>
  </si>
  <si>
    <t>US2010023190</t>
  </si>
  <si>
    <t xml:space="preserve">Full-windshield hud enhancement: pixelated field of view limited architecture </t>
  </si>
  <si>
    <t>US2010253601</t>
  </si>
  <si>
    <t>US2006150361</t>
  </si>
  <si>
    <t xml:space="preserve">Luminance uniformity compensation of vector projection display </t>
  </si>
  <si>
    <t>US2010253599</t>
  </si>
  <si>
    <t xml:space="preserve">Full-windshield head-up display enhancement: anti-reflective glass hard coat </t>
  </si>
  <si>
    <t>US2010253600</t>
  </si>
  <si>
    <t xml:space="preserve">Method and System for Dynamically Publishing, Sharing, Communication and Subscribing </t>
  </si>
  <si>
    <t>US2014067702</t>
  </si>
  <si>
    <t xml:space="preserve">Apparatus and method of adaptive questioning and recommending </t>
  </si>
  <si>
    <t>US2011125783</t>
  </si>
  <si>
    <t xml:space="preserve">System and Method for Muulti-Dimensional Organization, Management, and Manipulation of Remote Data </t>
  </si>
  <si>
    <t>US2009282369</t>
  </si>
  <si>
    <t xml:space="preserve">Method and guidance-unit for guiding battery-operated transportation means to reconditioning stations </t>
  </si>
  <si>
    <t>US2013046457</t>
  </si>
  <si>
    <t>US2007219682</t>
  </si>
  <si>
    <t xml:space="preserve">Method for Obtaining Information about Objects Outside of a Vehicle </t>
  </si>
  <si>
    <t>US2008215231</t>
  </si>
  <si>
    <t xml:space="preserve">Autonomous and heterogeneous network discovery and reuse </t>
  </si>
  <si>
    <t>US2007171881</t>
  </si>
  <si>
    <t xml:space="preserve">Vehicular Environment Scanning Techniques </t>
  </si>
  <si>
    <t>US2008167819</t>
  </si>
  <si>
    <t xml:space="preserve">System and method for using programable autonomous network objects to store and deliver content to globally distributed groups of transient users </t>
  </si>
  <si>
    <t>US2003046338</t>
  </si>
  <si>
    <t xml:space="preserve">Intelligent tour schedule planning system based on wideband network </t>
  </si>
  <si>
    <t>CN101763611</t>
  </si>
  <si>
    <t xml:space="preserve">Drill hole planning </t>
  </si>
  <si>
    <t>US2012024605</t>
  </si>
  <si>
    <t xml:space="preserve">Floating hotel, mounted in the coastal water area </t>
  </si>
  <si>
    <t>RU15708</t>
  </si>
  <si>
    <t xml:space="preserve">Method for optimising the recharging energy and durability of electric batteries </t>
  </si>
  <si>
    <t>EP2767431</t>
  </si>
  <si>
    <t xml:space="preserve">Autonomous wireless field monitor </t>
  </si>
  <si>
    <t>US2015112469</t>
  </si>
  <si>
    <t xml:space="preserve">System and method for appointing tourist guide based on internet </t>
  </si>
  <si>
    <t>CN108011957</t>
  </si>
  <si>
    <t xml:space="preserve">Portable communication terminal equipped with navigation function and navigation method of portable communication terminal </t>
  </si>
  <si>
    <t>US2005222767</t>
  </si>
  <si>
    <t xml:space="preserve">Device for remote and autonomous indicating of the degree of filling of household waste containers </t>
  </si>
  <si>
    <t>EP1598290</t>
  </si>
  <si>
    <t xml:space="preserve">Lane change path planning algorithm for autonomous driving vehicle </t>
  </si>
  <si>
    <t>CN105292116</t>
  </si>
  <si>
    <t xml:space="preserve">Scenic area tour-guide system based on APP of smart phone </t>
  </si>
  <si>
    <t>CN108230972</t>
  </si>
  <si>
    <t xml:space="preserve">System for obtaining information related to pipes, and related method </t>
  </si>
  <si>
    <t>CA2722012</t>
  </si>
  <si>
    <t xml:space="preserve">Pari-mutuel wagering on large entrant pools system and method </t>
  </si>
  <si>
    <t>US2006252520</t>
  </si>
  <si>
    <t xml:space="preserve">Apparatus and Method for Panoramic Video Imaging with Mobile Computing Devices </t>
  </si>
  <si>
    <t>US2012262540</t>
  </si>
  <si>
    <t xml:space="preserve">Data creation apparatus </t>
  </si>
  <si>
    <t>US2004225416</t>
  </si>
  <si>
    <t xml:space="preserve">Online wagering system and method </t>
  </si>
  <si>
    <t>US2006258438</t>
  </si>
  <si>
    <t xml:space="preserve">Control device for power transmission device for vehicle </t>
  </si>
  <si>
    <t>US2011127095</t>
  </si>
  <si>
    <t xml:space="preserve">Independently unmanned aerial vehicle patrols and examines fan blade system </t>
  </si>
  <si>
    <t>CN205620817</t>
  </si>
  <si>
    <t xml:space="preserve">Multi-Species job autonomous UAV rotor means </t>
  </si>
  <si>
    <t>CN207791150</t>
  </si>
  <si>
    <t xml:space="preserve">Inertia/vision integrated navigation method for deep-space detection patrolling device </t>
  </si>
  <si>
    <t>CN103033189</t>
  </si>
  <si>
    <t xml:space="preserve">Method and apparatus for detecting cycle slips in navigation signals received at a receiver from a satellite-based navigation system </t>
  </si>
  <si>
    <t>US6175806</t>
  </si>
  <si>
    <t xml:space="preserve">Agent system and information processing method for same </t>
  </si>
  <si>
    <t>US6477563</t>
  </si>
  <si>
    <t xml:space="preserve">Greenhouse environment detection system and method </t>
  </si>
  <si>
    <t>CN105698856</t>
  </si>
  <si>
    <t xml:space="preserve">A navigation terminal that is used for having in scenic spot route memory and route sharing function </t>
  </si>
  <si>
    <t>CN205957981</t>
  </si>
  <si>
    <t xml:space="preserve">Location based system utilizing geographical information from documents in natural language </t>
  </si>
  <si>
    <t>US2010179754</t>
  </si>
  <si>
    <t xml:space="preserve">Autonomous Remaining Useful Life Estimation </t>
  </si>
  <si>
    <t>US2008004839</t>
  </si>
  <si>
    <t xml:space="preserve">Navigation based on user intentions </t>
  </si>
  <si>
    <t>US2018283889</t>
  </si>
  <si>
    <t xml:space="preserve">Travel guidance that use Navigation </t>
  </si>
  <si>
    <t>KR20100007631</t>
  </si>
  <si>
    <t xml:space="preserve">Observation explanation system </t>
  </si>
  <si>
    <t>JP2017215849</t>
  </si>
  <si>
    <t xml:space="preserve">Method and apparatus for asset tracking and room monitoring in establishments having multiple rooms for temporary occupancy </t>
  </si>
  <si>
    <t>US7170407</t>
  </si>
  <si>
    <t xml:space="preserve">Data store and enhanced features for headset of portable media device </t>
  </si>
  <si>
    <t>US2009182913</t>
  </si>
  <si>
    <t xml:space="preserve">Personal transportation system </t>
  </si>
  <si>
    <t>US7302319</t>
  </si>
  <si>
    <t xml:space="preserve">Object e.g. letter, distribution and/or collection method for use in urban zone, involves associating groups of objects to movable container for their transport from processing center to distribution place through break-bulk point </t>
  </si>
  <si>
    <t>FR2863513</t>
  </si>
  <si>
    <t xml:space="preserve">Mobile terminal and photo management method thereof </t>
  </si>
  <si>
    <t>KR20160111756</t>
  </si>
  <si>
    <t xml:space="preserve">State diagnosis and signal recovery system of underwater autonomous diving vehicle sensor </t>
  </si>
  <si>
    <t>CN105737876</t>
  </si>
  <si>
    <t xml:space="preserve">The drone built in stereo camera sensors for 3D virtual reality video or connected multi function VR device </t>
  </si>
  <si>
    <t>KR20170114458</t>
  </si>
  <si>
    <t xml:space="preserve">Method, apparatus and system for performing a zoom operation </t>
  </si>
  <si>
    <t>US2011267499</t>
  </si>
  <si>
    <t xml:space="preserve">UWB location system to the aid of victims of avalanches. </t>
  </si>
  <si>
    <t>ES2319556</t>
  </si>
  <si>
    <t xml:space="preserve">Technologies for rule-guided autonomous goal achievement </t>
  </si>
  <si>
    <t>US2016189266</t>
  </si>
  <si>
    <t xml:space="preserve">Autonomous hydromotor of mechanical energy </t>
  </si>
  <si>
    <t>EP0006413</t>
  </si>
  <si>
    <t xml:space="preserve">Server device and method for determining travel route </t>
  </si>
  <si>
    <t>JP2016133945</t>
  </si>
  <si>
    <t xml:space="preserve">System and method for view management in three dimensional space </t>
  </si>
  <si>
    <t>US2004233171</t>
  </si>
  <si>
    <t xml:space="preserve">Integrated autonomous fleet management using self-aware vehicles </t>
  </si>
  <si>
    <t>US2010057511</t>
  </si>
  <si>
    <t xml:space="preserve">Pathfinding System </t>
  </si>
  <si>
    <t>US2007276709</t>
  </si>
  <si>
    <t xml:space="preserve">Use-assisting tool for autonomous traveling device, operation management center, operation system, and autonomous traveling device </t>
  </si>
  <si>
    <t>WO2014024254</t>
  </si>
  <si>
    <t xml:space="preserve">Telepresence robot, telepresence system comprising the same and method for controlling the same </t>
  </si>
  <si>
    <t>US2013066468</t>
  </si>
  <si>
    <t xml:space="preserve">Navigation apparatus, route search method, and program </t>
  </si>
  <si>
    <t>US2005192742</t>
  </si>
  <si>
    <t xml:space="preserve">Facilities management system with programmable logic control </t>
  </si>
  <si>
    <t>US7356372</t>
  </si>
  <si>
    <t xml:space="preserve">Polyvalent protein complex </t>
  </si>
  <si>
    <t>US2008171855</t>
  </si>
  <si>
    <t xml:space="preserve">Drone systems for pre-trip inspection and assisted backing </t>
  </si>
  <si>
    <t>US2016129999</t>
  </si>
  <si>
    <t xml:space="preserve">Control system for production facilities </t>
  </si>
  <si>
    <t>US5787002</t>
  </si>
  <si>
    <t xml:space="preserve">GNSS Signal Processing with Regional Augmentation Network </t>
  </si>
  <si>
    <t>US2012293367</t>
  </si>
  <si>
    <t xml:space="preserve">Autonomous water source </t>
  </si>
  <si>
    <t>US2005044862</t>
  </si>
  <si>
    <t xml:space="preserve">Cognitive biometric systems to monitor emotions and stress </t>
  </si>
  <si>
    <t>US2013281798</t>
  </si>
  <si>
    <t xml:space="preserve">Help and/or risk signaling means for the traffic of vehicles and pedestrians using a short range infrared or electromagnetic signaling system </t>
  </si>
  <si>
    <t>EP1229508</t>
  </si>
  <si>
    <t xml:space="preserve">Method and system for anticipatory deployment of autonomously controlled vehicles </t>
  </si>
  <si>
    <t>US2016209220</t>
  </si>
  <si>
    <t xml:space="preserve">Filamentous fungal mutants with improved homologous recombination efficiency </t>
  </si>
  <si>
    <t>WO2005095624</t>
  </si>
  <si>
    <t xml:space="preserve">Software application to request and control an autonomous vehicle service </t>
  </si>
  <si>
    <t>US2017132934</t>
  </si>
  <si>
    <t xml:space="preserve">Special unmanned helicopter system suitable for routing inspection on power grid in mountain area </t>
  </si>
  <si>
    <t>CN103078673</t>
  </si>
  <si>
    <t xml:space="preserve">Personal information security and exchange tool </t>
  </si>
  <si>
    <t>CN1231039</t>
  </si>
  <si>
    <t xml:space="preserve">System and method for autonomous navigation in a ride vehicle </t>
  </si>
  <si>
    <t>US7739006</t>
  </si>
  <si>
    <t xml:space="preserve">Transfer rate control method, transmission power control method, transmission power ratio control method, mobile communication system, mobile station, and radio base station </t>
  </si>
  <si>
    <t>WO2005125259</t>
  </si>
  <si>
    <t xml:space="preserve">Establishing network communication between parties in telephone contact </t>
  </si>
  <si>
    <t>EP1199872</t>
  </si>
  <si>
    <t xml:space="preserve">Distributed handheld security system and method of use </t>
  </si>
  <si>
    <t>US2014075514</t>
  </si>
  <si>
    <t xml:space="preserve">Group Based Location Service in Wireless Local Area Networks </t>
  </si>
  <si>
    <t>US2015098460</t>
  </si>
  <si>
    <t xml:space="preserve">Intelligent grouping transportation - Autonomous dial-a-ride transit system </t>
  </si>
  <si>
    <t>GB2397683</t>
  </si>
  <si>
    <t xml:space="preserve">Determining Pickup and Destination Locations for Autonomous Vehicles </t>
  </si>
  <si>
    <t>US2016370194</t>
  </si>
  <si>
    <t xml:space="preserve">A wireless location gateway and applications therefor </t>
  </si>
  <si>
    <t>WO0195642</t>
  </si>
  <si>
    <t xml:space="preserve">Dynamic Control of Device State Based on Detected Environment </t>
  </si>
  <si>
    <t>US2010042826</t>
  </si>
  <si>
    <t xml:space="preserve">Facilities management system </t>
  </si>
  <si>
    <t>US7136711</t>
  </si>
  <si>
    <t xml:space="preserve">Physical Presence and Advertising </t>
  </si>
  <si>
    <t>US2015026708</t>
  </si>
  <si>
    <t xml:space="preserve">Method and System for Controlling Timing of Vehicle Transmissions </t>
  </si>
  <si>
    <t>US2009043506</t>
  </si>
  <si>
    <t xml:space="preserve">Autonomous vehicles </t>
  </si>
  <si>
    <t>US2015338849</t>
  </si>
  <si>
    <t xml:space="preserve">Autonomous running control system </t>
  </si>
  <si>
    <t>JP2011240816</t>
  </si>
  <si>
    <t xml:space="preserve">A method for route planning and guidance of vehicles </t>
  </si>
  <si>
    <t>DE19611915</t>
  </si>
  <si>
    <t xml:space="preserve">Navigation equipment and navigation method </t>
  </si>
  <si>
    <t>JP2000337911</t>
  </si>
  <si>
    <t xml:space="preserve">Distributed communication of independent autonomous vehicles to provide redundancy and performance </t>
  </si>
  <si>
    <t>US2016021178</t>
  </si>
  <si>
    <t xml:space="preserve">Protection, security and displacement tracking luminous badge system </t>
  </si>
  <si>
    <t>US2010102929</t>
  </si>
  <si>
    <t xml:space="preserve">Autonomous dispenser of publications </t>
  </si>
  <si>
    <t>EP0351335</t>
  </si>
  <si>
    <t xml:space="preserve">Facilities management system with server-independent enclosures </t>
  </si>
  <si>
    <t>US7068164</t>
  </si>
  <si>
    <t xml:space="preserve">Telepresence system and active/passive mode display for use therein </t>
  </si>
  <si>
    <t>US7190392</t>
  </si>
  <si>
    <t xml:space="preserve">Accident response using autonomous vehicle monitoring </t>
  </si>
  <si>
    <t>US9646428</t>
  </si>
  <si>
    <t xml:space="preserve">Mobile GPS aiding data solution </t>
  </si>
  <si>
    <t>US7495609</t>
  </si>
  <si>
    <t>JP2001050760</t>
  </si>
  <si>
    <t xml:space="preserve">A portable device to aid trekking </t>
  </si>
  <si>
    <t>FR2754723</t>
  </si>
  <si>
    <t>JPH09325812</t>
  </si>
  <si>
    <t xml:space="preserve">Facilities management system with local display and user interface </t>
  </si>
  <si>
    <t>US7340314</t>
  </si>
  <si>
    <t xml:space="preserve">OSPF autonomous system with a backbone divided into two sub-areas </t>
  </si>
  <si>
    <t>US2002024934</t>
  </si>
  <si>
    <t xml:space="preserve">Autonomous apparatus permitting the standing-up and moving-on, by way of oscillation, of the permanently or temporarily motorically handicapped </t>
  </si>
  <si>
    <t>EP0237395</t>
  </si>
  <si>
    <t xml:space="preserve">Method for cleaning floor e.g. hard floor in household area, involves holding cleaning tool and/or cleaning agent or cleaning fluid in base station via floor cleaning device for cleaning different regions of floor, after recognizing stain </t>
  </si>
  <si>
    <t>DE102010017211</t>
  </si>
  <si>
    <t xml:space="preserve">Method of determining movement sequence, alignment apparatus, method and apparatus of designing optical system, and medium in which program realizing the designing method </t>
  </si>
  <si>
    <t>US2001053962</t>
  </si>
  <si>
    <t xml:space="preserve">Water surface garbage cleaning ship </t>
  </si>
  <si>
    <t>CN102020004</t>
  </si>
  <si>
    <t xml:space="preserve">Data transfer system for navigation system </t>
  </si>
  <si>
    <t>JPH11257975</t>
  </si>
  <si>
    <t xml:space="preserve">Inspection system based on mobile inspection apparatus of transformer station and inspection method thereof </t>
  </si>
  <si>
    <t>CN102354174</t>
  </si>
  <si>
    <t xml:space="preserve">System for simulating events in a real environment </t>
  </si>
  <si>
    <t>US2009076784</t>
  </si>
  <si>
    <t xml:space="preserve">Autonomous Mobile Blogging </t>
  </si>
  <si>
    <t>US2012150871</t>
  </si>
  <si>
    <t xml:space="preserve">Presenting plurality types of interfaces and functions for conducting various activities </t>
  </si>
  <si>
    <t>US2016162172</t>
  </si>
  <si>
    <t xml:space="preserve">Navigation apparatus </t>
  </si>
  <si>
    <t>JP2004333233</t>
  </si>
  <si>
    <t xml:space="preserve">Interactive autonomous vehicle command controller </t>
  </si>
  <si>
    <t>US2017123422</t>
  </si>
  <si>
    <t xml:space="preserve">Mounting for data communications units </t>
  </si>
  <si>
    <t>US5030129</t>
  </si>
  <si>
    <t xml:space="preserve">Information management system using agent </t>
  </si>
  <si>
    <t>US2003115254</t>
  </si>
  <si>
    <t xml:space="preserve">System and method for regional livehood information service based on location information </t>
  </si>
  <si>
    <t>KR100814386</t>
  </si>
  <si>
    <t xml:space="preserve">Computing solutions to problems using dynamic association between abstract graphs </t>
  </si>
  <si>
    <t>US2009265299</t>
  </si>
  <si>
    <t xml:space="preserve">Expert contents platform service system and method on culture tourist industry by SNS </t>
  </si>
  <si>
    <t>KR20120121452</t>
  </si>
  <si>
    <t xml:space="preserve">System and method for controlling unmanned vehicles </t>
  </si>
  <si>
    <t>US2016116912</t>
  </si>
  <si>
    <t xml:space="preserve">Celestial navigation system for an autonomous vehicle </t>
  </si>
  <si>
    <t>US2013204463</t>
  </si>
  <si>
    <t xml:space="preserve">Method and apparatus for surveillance system peering </t>
  </si>
  <si>
    <t>US8305211</t>
  </si>
  <si>
    <t xml:space="preserve">Automated logistics center </t>
  </si>
  <si>
    <t>EP1480097</t>
  </si>
  <si>
    <t xml:space="preserve">System and method for a search engine content filter </t>
  </si>
  <si>
    <t>US2016048556</t>
  </si>
  <si>
    <t xml:space="preserve">Multi-storey buildings built over road air-spaces </t>
  </si>
  <si>
    <t>US2015033647</t>
  </si>
  <si>
    <t xml:space="preserve">Color mark, moving robot and method for guiding moving robot </t>
  </si>
  <si>
    <t>JPH11272328</t>
  </si>
  <si>
    <t xml:space="preserve">Transmission having a hydraulic coupling member and a locking clutch, especially for automobile vehicles </t>
  </si>
  <si>
    <t>FR2535002</t>
  </si>
  <si>
    <t xml:space="preserve">A method for delivering and / or collection of at least one consignment </t>
  </si>
  <si>
    <t>DE102014106689</t>
  </si>
  <si>
    <t xml:space="preserve">Network service platform for red tourism </t>
  </si>
  <si>
    <t>CN1873680</t>
  </si>
  <si>
    <t xml:space="preserve">Autonomous driving comparison and evaluation </t>
  </si>
  <si>
    <t>US2015175168</t>
  </si>
  <si>
    <t xml:space="preserve">System and method for creating virtual presence </t>
  </si>
  <si>
    <t>US2014012417</t>
  </si>
  <si>
    <t xml:space="preserve">Process of heap leaching </t>
  </si>
  <si>
    <t>US4756887</t>
  </si>
  <si>
    <t xml:space="preserve">Patent BE680511A </t>
  </si>
  <si>
    <t>BE680511</t>
  </si>
  <si>
    <t xml:space="preserve">Method and system for controlling vehicles and drones </t>
  </si>
  <si>
    <t>US2017227368</t>
  </si>
  <si>
    <t xml:space="preserve">Improvements related to or instrument relative to the instrument </t>
  </si>
  <si>
    <t>JP2002533797</t>
  </si>
  <si>
    <t xml:space="preserve">Safe ablation </t>
  </si>
  <si>
    <t>US2011118714</t>
  </si>
  <si>
    <t xml:space="preserve">Visualization of complex data sets and simultaneous synchronization of such data sets </t>
  </si>
  <si>
    <t>US2013290421</t>
  </si>
  <si>
    <t xml:space="preserve">On-vehicle navigation device </t>
  </si>
  <si>
    <t>JP2002071369</t>
  </si>
  <si>
    <t xml:space="preserve">System and method of application development using easier to redesign replaceable components </t>
  </si>
  <si>
    <t>US8578329</t>
  </si>
  <si>
    <t xml:space="preserve">Ambulatory system to communicate visual projections </t>
  </si>
  <si>
    <t>US2015092020</t>
  </si>
  <si>
    <t xml:space="preserve">Artificial intelligence plant growth surroundings regulate and control expert decision-making system </t>
  </si>
  <si>
    <t>CN101162384</t>
  </si>
  <si>
    <t>JPH11304505</t>
  </si>
  <si>
    <t xml:space="preserve">A method of operating a security system of a motor vehicle </t>
  </si>
  <si>
    <t>DE102013016436</t>
  </si>
  <si>
    <t xml:space="preserve">Discount offer system and method for use with for hire vehicles </t>
  </si>
  <si>
    <t>US2013085817</t>
  </si>
  <si>
    <t xml:space="preserve">Management policy evaluation system and recording medium storing management policy evaluation program </t>
  </si>
  <si>
    <t>US2007002762</t>
  </si>
  <si>
    <t xml:space="preserve">Human binding molecules capable of neutralizing influenza virus H5N1 and uses thereof </t>
  </si>
  <si>
    <t>CN101541832</t>
  </si>
  <si>
    <t xml:space="preserve">Autonomous video management system </t>
  </si>
  <si>
    <t>US2014375819</t>
  </si>
  <si>
    <t xml:space="preserve">Unmanned vehicle navigation driving method based on cloud database </t>
  </si>
  <si>
    <t>CN105741595</t>
  </si>
  <si>
    <t xml:space="preserve">Control and navigation system for vehicle </t>
  </si>
  <si>
    <t>EP0899704</t>
  </si>
  <si>
    <t xml:space="preserve">Method and Apparatus for Improved Secure Computing and Communications </t>
  </si>
  <si>
    <t>US2011302397</t>
  </si>
  <si>
    <t xml:space="preserve">Computer security and management system </t>
  </si>
  <si>
    <t>CN1524361</t>
  </si>
  <si>
    <t xml:space="preserve">Virtual integrated diving system for e.g. pedagogical field, has CPU in which images are mixed with representation to simulate submarine diving by providing visual site perception if divers dive at same moment in sites, to Internet users </t>
  </si>
  <si>
    <t>FR2949167</t>
  </si>
  <si>
    <t xml:space="preserve">Towed densimeter system </t>
  </si>
  <si>
    <t>EP0207038</t>
  </si>
  <si>
    <t xml:space="preserve">Change of air-stay healthy recreation system </t>
  </si>
  <si>
    <t>JP4547667</t>
  </si>
  <si>
    <t xml:space="preserve">Vehicle control device mounted on vehicle and method for controlling the vehicle </t>
  </si>
  <si>
    <t>KR101861700</t>
  </si>
  <si>
    <t xml:space="preserve">Selenographic gravity simulation system for ground traveling tests of exploration rover </t>
  </si>
  <si>
    <t>CN102539185</t>
  </si>
  <si>
    <t xml:space="preserve">Autonomous vehicle and autonomous vehicle system having same </t>
  </si>
  <si>
    <t>WO2017014544</t>
  </si>
  <si>
    <t xml:space="preserve">Comprehensive service management system for cultural tourism information </t>
  </si>
  <si>
    <t>CN107833163</t>
  </si>
  <si>
    <t xml:space="preserve">autonomous and automatic device for rapid production of polyurethane foam </t>
  </si>
  <si>
    <t>FR2561571</t>
  </si>
  <si>
    <t xml:space="preserve">Method and system for multimode coverage for an autonomous robot. </t>
  </si>
  <si>
    <t>ES2366689</t>
  </si>
  <si>
    <t>WO2017079222</t>
  </si>
  <si>
    <t xml:space="preserve">Motor vehicle and method for controlling a motor vehicle </t>
  </si>
  <si>
    <t>DE102013016488</t>
  </si>
  <si>
    <t xml:space="preserve">Data processing system and method </t>
  </si>
  <si>
    <t>JP2007052563</t>
  </si>
  <si>
    <t xml:space="preserve">Tourist installation and use therefor </t>
  </si>
  <si>
    <t>CN1712656</t>
  </si>
  <si>
    <t xml:space="preserve">Mix real electronic sand table system </t>
  </si>
  <si>
    <t>CN206657562</t>
  </si>
  <si>
    <t xml:space="preserve">Navigation system with content delivery mechanism and method of operation thereof </t>
  </si>
  <si>
    <t>US2018176332</t>
  </si>
  <si>
    <t xml:space="preserve">Method and system for managing navigation and tracking of, for and by portable and wearable computing and communications devices </t>
  </si>
  <si>
    <t>US2017343360</t>
  </si>
  <si>
    <t xml:space="preserve">Patent BE490266A </t>
  </si>
  <si>
    <t>BE490266</t>
  </si>
  <si>
    <t xml:space="preserve">Dynamic route guidance based on real-time data </t>
  </si>
  <si>
    <t>US2018045529</t>
  </si>
  <si>
    <t xml:space="preserve">Method and device for determining the width of a safety corridor for an aircraft and method and system for securing the automatic low-altitude flight of an aircraft </t>
  </si>
  <si>
    <t>CA2591961</t>
  </si>
  <si>
    <t xml:space="preserve">Remotely controlled biomimetic robotic fish as a scientific and educational tool </t>
  </si>
  <si>
    <t>US2012040324</t>
  </si>
  <si>
    <t xml:space="preserve">Collective transportation systems and processes </t>
  </si>
  <si>
    <t>CN103758378</t>
  </si>
  <si>
    <t xml:space="preserve">Since flight from roaming the grasslands floating type air pavilion </t>
  </si>
  <si>
    <t>CN102837816</t>
  </si>
  <si>
    <t xml:space="preserve">Method and device for monitoring a vehicle which is in an autonomous operating mode and is located in a parking space </t>
  </si>
  <si>
    <t>WO2016128200</t>
  </si>
  <si>
    <t xml:space="preserve">System and method for managing unmanned aerial vehicles </t>
  </si>
  <si>
    <t>CN106103281</t>
  </si>
  <si>
    <t xml:space="preserve">High-voltage overhead transmission line patrol unmanned aerial vehicle borne photoelectric detection device </t>
  </si>
  <si>
    <t>CN106291169</t>
  </si>
  <si>
    <t xml:space="preserve">Intelligent fill level sensor device and system </t>
  </si>
  <si>
    <t>EP2641851</t>
  </si>
  <si>
    <t xml:space="preserve">Path planning for area coverage </t>
  </si>
  <si>
    <t>WO2017092904</t>
  </si>
  <si>
    <t xml:space="preserve">Monitoring system </t>
  </si>
  <si>
    <t>JP2018055362</t>
  </si>
  <si>
    <t xml:space="preserve">Guidance method for tourist, and system and program therefor </t>
  </si>
  <si>
    <t>JP2008310577</t>
  </si>
  <si>
    <t xml:space="preserve">Special robot for inspecting and deicing high-voltage line </t>
  </si>
  <si>
    <t>CN106737872</t>
  </si>
  <si>
    <t xml:space="preserve">On-vehicle information reproduction recording device and its information reproduction recording method </t>
  </si>
  <si>
    <t>JP2005037276</t>
  </si>
  <si>
    <t xml:space="preserve">Monitoring control system and storage recording program for executing the same </t>
  </si>
  <si>
    <t>JPH10257661</t>
  </si>
  <si>
    <t xml:space="preserve">Lighting state monitoring system and lighting state information collection system </t>
  </si>
  <si>
    <t>JP2005123081</t>
  </si>
  <si>
    <t xml:space="preserve">Toll system for centralized fare collection using vehicles in a network of road sections subject to tariffs. </t>
  </si>
  <si>
    <t>ES2239612</t>
  </si>
  <si>
    <t xml:space="preserve">Method and apparatus for developing a flight path </t>
  </si>
  <si>
    <t>US2016299506</t>
  </si>
  <si>
    <t xml:space="preserve">Navigation device </t>
  </si>
  <si>
    <t>JPH11211497</t>
  </si>
  <si>
    <t xml:space="preserve">Control system and method by mobile agent </t>
  </si>
  <si>
    <t>JP2007052562</t>
  </si>
  <si>
    <t xml:space="preserve">A method of operating a vehicle, vehicle </t>
  </si>
  <si>
    <t>DE102014214364</t>
  </si>
  <si>
    <t xml:space="preserve">A method for a driver assistance system of a vehicle </t>
  </si>
  <si>
    <t>DE102013110852</t>
  </si>
  <si>
    <t xml:space="preserve">Self-flying self-floating type grassland roaming overhead pavilion </t>
  </si>
  <si>
    <t>CN202783759</t>
  </si>
  <si>
    <t xml:space="preserve">Method for Marketing and Promotion Using a General Text-To-Speech Voice System as Ancillary Merchandise </t>
  </si>
  <si>
    <t>US2016125470</t>
  </si>
  <si>
    <t xml:space="preserve">body processing machine at fixed workstations distributed around a closed loop conveyor on which the bodies were taken. </t>
  </si>
  <si>
    <t>FR2704845</t>
  </si>
  <si>
    <t xml:space="preserve">Device control program signal demodulation </t>
  </si>
  <si>
    <t>FR2540322</t>
  </si>
  <si>
    <t xml:space="preserve">Method for managing the distribution of products or goods. </t>
  </si>
  <si>
    <t>EP2242011</t>
  </si>
  <si>
    <t xml:space="preserve">Process and apparatus for the wireless, selective and spontaneous connection of at least two devices </t>
  </si>
  <si>
    <t>EP1648143</t>
  </si>
  <si>
    <t xml:space="preserve">Real property information management, retention and transferal system and methods for using same </t>
  </si>
  <si>
    <t>KR101590007</t>
  </si>
  <si>
    <t xml:space="preserve">Registration system for the management of the circulation of goods in vending operations, in particular for retailers </t>
  </si>
  <si>
    <t>EP0710938</t>
  </si>
  <si>
    <t xml:space="preserve">Method and system for creating tourist paths adapted to be used by portable navigation system </t>
  </si>
  <si>
    <t>US2010153009</t>
  </si>
  <si>
    <t xml:space="preserve">Rest point proposal device, and rest point proposal system </t>
  </si>
  <si>
    <t>JP2007333433</t>
  </si>
  <si>
    <t xml:space="preserve">Autonomous flight quadrotor drone road and bridge construction patrol system and method </t>
  </si>
  <si>
    <t>CN104536456</t>
  </si>
  <si>
    <t xml:space="preserve">Device and method for transporting an object Secure </t>
  </si>
  <si>
    <t>FR2804994</t>
  </si>
  <si>
    <t xml:space="preserve">Autonomous vehicle operation have </t>
  </si>
  <si>
    <t>DE102014223242</t>
  </si>
  <si>
    <t xml:space="preserve">Tour inspection robot global path planning method based on topological point classification and system </t>
  </si>
  <si>
    <t>CN104914866</t>
  </si>
  <si>
    <t xml:space="preserve">Chinese medicinal preparation for integral treatment of malignant tumor </t>
  </si>
  <si>
    <t>CN1701813</t>
  </si>
  <si>
    <t>US2012186921</t>
  </si>
  <si>
    <t xml:space="preserve">Wireless lan system for use with clients travelling at high-speed </t>
  </si>
  <si>
    <t>WO2005020602</t>
  </si>
  <si>
    <t xml:space="preserve">Multi -functional power equipment tours unmanned aerial vehicle </t>
  </si>
  <si>
    <t>CN205942444</t>
  </si>
  <si>
    <t xml:space="preserve">Intelligent phoneme-shape code input method and application thereof </t>
  </si>
  <si>
    <t>CN1094607</t>
  </si>
  <si>
    <t xml:space="preserve">Security device with offline credential analysis </t>
  </si>
  <si>
    <t>EP2487652</t>
  </si>
  <si>
    <t xml:space="preserve">Click-to-read device for user management </t>
  </si>
  <si>
    <t>CN202126764</t>
  </si>
  <si>
    <t xml:space="preserve">Distributed association engine </t>
  </si>
  <si>
    <t>US2014207959</t>
  </si>
  <si>
    <t xml:space="preserve">Autonomous navigation and man-machine coordination catching operating system of benthic organism catching robot </t>
  </si>
  <si>
    <t>CN103057678</t>
  </si>
  <si>
    <t xml:space="preserve">Patent BE382158A </t>
  </si>
  <si>
    <t>BE382158</t>
  </si>
  <si>
    <t xml:space="preserve">Selection of well-expressed synthetic genes </t>
  </si>
  <si>
    <t>CN101578367</t>
  </si>
  <si>
    <t xml:space="preserve">Active transposon of fish Tc1-like and application of active transposon </t>
  </si>
  <si>
    <t>CN103589717</t>
  </si>
  <si>
    <t xml:space="preserve">Method for braking a motor vehicle and motor vehicle </t>
  </si>
  <si>
    <t>ES2529717</t>
  </si>
  <si>
    <t xml:space="preserve">Game Controller </t>
  </si>
  <si>
    <t>ES2532835</t>
  </si>
  <si>
    <t xml:space="preserve">Digital health system for diagnosis and management of musculoskeletal disease </t>
  </si>
  <si>
    <t>KR101774752</t>
  </si>
  <si>
    <t xml:space="preserve">System, content editing server, audio recording slave device and content editing interface for distributed live performance scheduled audio recording, cloud-based audio content editing and online content distribution of audio track and associated metadata </t>
  </si>
  <si>
    <t>US10013486</t>
  </si>
  <si>
    <t xml:space="preserve">Method and system for comparing multiple images utilizing navigable array of cameras </t>
  </si>
  <si>
    <t>CN1409925</t>
  </si>
  <si>
    <t>JP5505035</t>
  </si>
  <si>
    <t xml:space="preserve">Method and apparatus for providing security to devices </t>
  </si>
  <si>
    <t>KR101647567</t>
  </si>
  <si>
    <t xml:space="preserve">Control of displacement of mobile objects between two set points, usable in railways or assembly lines </t>
  </si>
  <si>
    <t>FR2765374</t>
  </si>
  <si>
    <t xml:space="preserve">SystÃ¨me et procÃ©dÃ© de navigation pour la marche d'un vÃ©hicule autonome </t>
  </si>
  <si>
    <t>EP0278853</t>
  </si>
  <si>
    <t xml:space="preserve">Dispositif comportant un mouvement horaire et un module chronographe </t>
  </si>
  <si>
    <t>EP1333345</t>
  </si>
  <si>
    <t xml:space="preserve">Aspirateur mobile autonome et son procÃ©dÃ© de contrÃ´le </t>
  </si>
  <si>
    <t>EP1003088</t>
  </si>
  <si>
    <t xml:space="preserve">RÃ©cepteur de radionavigation, en particulier du type GPS </t>
  </si>
  <si>
    <t>EP0913702</t>
  </si>
  <si>
    <t xml:space="preserve">System and method for fraud monitoring, detection, and tiered user authentication </t>
  </si>
  <si>
    <t>US7908645</t>
  </si>
  <si>
    <t>US4638445</t>
  </si>
  <si>
    <t xml:space="preserve">Element management system with dynamic database updates based on parsed snooping </t>
  </si>
  <si>
    <t>US7185075</t>
  </si>
  <si>
    <t xml:space="preserve">Natural products information system </t>
  </si>
  <si>
    <t>US5978804</t>
  </si>
  <si>
    <t xml:space="preserve">Light emitting diode based products </t>
  </si>
  <si>
    <t>US6965205</t>
  </si>
  <si>
    <t xml:space="preserve">Method for interpreting and executing user preferences of audiovisual information </t>
  </si>
  <si>
    <t>US7055168</t>
  </si>
  <si>
    <t xml:space="preserve">Apparatus and method for unilateral topology discovery in network management </t>
  </si>
  <si>
    <t>US6426947</t>
  </si>
  <si>
    <t xml:space="preserve">Secure data interchange </t>
  </si>
  <si>
    <t>US7630986</t>
  </si>
  <si>
    <t xml:space="preserve">Methods and apparatus for downloading lighting programs </t>
  </si>
  <si>
    <t>US7550935</t>
  </si>
  <si>
    <t>US7161313</t>
  </si>
  <si>
    <t xml:space="preserve">Communique subscriber handoff between a narrowcast cellular communication network and a point-to-point cellular communication network </t>
  </si>
  <si>
    <t>US6681115</t>
  </si>
  <si>
    <t>US6847614</t>
  </si>
  <si>
    <t xml:space="preserve">Communique system with noncontiguous communique coverage areas in cellular communication networks </t>
  </si>
  <si>
    <t>US6687498</t>
  </si>
  <si>
    <t xml:space="preserve">Augmented reality tour guide method and system, device, server and computer readable storage medium </t>
  </si>
  <si>
    <t>CN108198099</t>
  </si>
  <si>
    <t xml:space="preserve">Production of potable water and freshwater needs for human, animal and plants from hot and humid air </t>
  </si>
  <si>
    <t>US6574979</t>
  </si>
  <si>
    <t xml:space="preserve">Element management system with adaptive interfacing selected by last previous full-qualified managed level </t>
  </si>
  <si>
    <t>US7113934</t>
  </si>
  <si>
    <t xml:space="preserve">Dynamic ride vehicle </t>
  </si>
  <si>
    <t>US5623878</t>
  </si>
  <si>
    <t xml:space="preserve">Information guidance system </t>
  </si>
  <si>
    <t>US6473704</t>
  </si>
  <si>
    <t xml:space="preserve">Autonomous wearable computing device and method of artistic expression using same </t>
  </si>
  <si>
    <t>US5486112</t>
  </si>
  <si>
    <t>CN100501719</t>
  </si>
  <si>
    <t xml:space="preserve">Cloud computing technology-based smart travel guide system </t>
  </si>
  <si>
    <t>CN106709828</t>
  </si>
  <si>
    <t xml:space="preserve">Element management system with automatic remote backup of network elements' local storage </t>
  </si>
  <si>
    <t>US7363359</t>
  </si>
  <si>
    <t xml:space="preserve">Element management system with data-driven interfacing driven by instantiation of meta-model </t>
  </si>
  <si>
    <t>US7366989</t>
  </si>
  <si>
    <t xml:space="preserve">Fly back booster </t>
  </si>
  <si>
    <t>US6450452</t>
  </si>
  <si>
    <t xml:space="preserve">Audiovisual management system </t>
  </si>
  <si>
    <t>US2002059584</t>
  </si>
  <si>
    <t xml:space="preserve">Method and system for customized, contextual, dynamic and unified communication, zero click advertisement and prospective customers search engine </t>
  </si>
  <si>
    <t>US2011208822</t>
  </si>
  <si>
    <t>US2005244858</t>
  </si>
  <si>
    <t xml:space="preserve">System and method for comprehensive remote patient monitoring and management </t>
  </si>
  <si>
    <t>US2007033072</t>
  </si>
  <si>
    <t>US2003061610</t>
  </si>
  <si>
    <t xml:space="preserve">Audiovisual information management system </t>
  </si>
  <si>
    <t>US2004255150</t>
  </si>
  <si>
    <t>US2003206710</t>
  </si>
  <si>
    <t xml:space="preserve">Printed matter with multimedia function </t>
  </si>
  <si>
    <t>CN102152688</t>
  </si>
  <si>
    <t xml:space="preserve">Vehicle personal assistant </t>
  </si>
  <si>
    <t>US2014136187</t>
  </si>
  <si>
    <t xml:space="preserve">Navigation apparatus and intersection guidance method </t>
  </si>
  <si>
    <t>US2005209776</t>
  </si>
  <si>
    <t xml:space="preserve">Inertial Measurement Unit for Aircraft </t>
  </si>
  <si>
    <t>US2008154495</t>
  </si>
  <si>
    <t>US8028314</t>
  </si>
  <si>
    <t xml:space="preserve">Computer-Implemented System And Method For Hands-Free Tagging And Reserving Of Parking Spaces </t>
  </si>
  <si>
    <t>US2012092191</t>
  </si>
  <si>
    <t xml:space="preserve">Systems and methods for on-demand transportation </t>
  </si>
  <si>
    <t>US2016364823</t>
  </si>
  <si>
    <t xml:space="preserve">Ballot integrity systems </t>
  </si>
  <si>
    <t>US2007095909</t>
  </si>
  <si>
    <t xml:space="preserve">System, device, and method of adaptive teaching and learning </t>
  </si>
  <si>
    <t>US2014335497</t>
  </si>
  <si>
    <t xml:space="preserve">Portable system for identifying interested site </t>
  </si>
  <si>
    <t>JP2002245079</t>
  </si>
  <si>
    <t>WO03026358</t>
  </si>
  <si>
    <t xml:space="preserve">Method, apparatus and system for social networking </t>
  </si>
  <si>
    <t>US2011125850</t>
  </si>
  <si>
    <t xml:space="preserve">Electric motor with modular stator ring and improved heat dissipation </t>
  </si>
  <si>
    <t>US2004160141</t>
  </si>
  <si>
    <t xml:space="preserve">PROCESS FOR PRODUCING ANTIBODY COMPOSITION BY USING RNA INHIBITING THE FUNCTION OF Î±1,6-FUCOSYLTRANSFERASE </t>
  </si>
  <si>
    <t>WO2005035778</t>
  </si>
  <si>
    <t xml:space="preserve">Inducible dna binding proteins and genome perturbation tools and applications thereof </t>
  </si>
  <si>
    <t>WO2014018423</t>
  </si>
  <si>
    <t xml:space="preserve">Rna silencing agents for use in therapy and nanotransporters for efficient delivery of same </t>
  </si>
  <si>
    <t>WO2007089607</t>
  </si>
  <si>
    <t xml:space="preserve">Information processing apparatus and method and program </t>
  </si>
  <si>
    <t>US2008263595</t>
  </si>
  <si>
    <t xml:space="preserve">Monitoring, Trend Estimation, and User Recommendations </t>
  </si>
  <si>
    <t>US2014359647</t>
  </si>
  <si>
    <t xml:space="preserve">Portable autonomous multi-sensory intervention device </t>
  </si>
  <si>
    <t>US2009105558</t>
  </si>
  <si>
    <t xml:space="preserve">Path guidance method for autonomous mobile device </t>
  </si>
  <si>
    <t>US2008009984</t>
  </si>
  <si>
    <t xml:space="preserve">Means for enhancing the productivity of video telecommunication systems </t>
  </si>
  <si>
    <t>US5443076</t>
  </si>
  <si>
    <t xml:space="preserve">Novel method of inducing the differentiation of embryonic stem cells into ectodermal cells and use thereof </t>
  </si>
  <si>
    <t>WO0188100</t>
  </si>
  <si>
    <t xml:space="preserve">Capturing broadcast sources to create recordings and rich navigations on mobile media devices </t>
  </si>
  <si>
    <t>US2007239856</t>
  </si>
  <si>
    <t xml:space="preserve">Multimedia purchasing apparatus, purchasing and supplying method </t>
  </si>
  <si>
    <t>US2007050262</t>
  </si>
  <si>
    <t xml:space="preserve">Set top terminal for displaying television program menus </t>
  </si>
  <si>
    <t>US7673319</t>
  </si>
  <si>
    <t xml:space="preserve">Externally concealable, modular high-rise emergency evacuation apparatus with pre-qualified egress </t>
  </si>
  <si>
    <t>US6598703</t>
  </si>
  <si>
    <t xml:space="preserve">Information terminal, system and method for weather forecast information service, and car navigation system with weather information </t>
  </si>
  <si>
    <t>JP2002148061</t>
  </si>
  <si>
    <t xml:space="preserve">Display method for partking lot </t>
  </si>
  <si>
    <t>JPH1089989</t>
  </si>
  <si>
    <t xml:space="preserve">Element management system with adaptive interface based on autodiscovery from element identifier </t>
  </si>
  <si>
    <t>US2003202645</t>
  </si>
  <si>
    <t xml:space="preserve">Akt-3 nucleic acids, polypeptides, and uses thereof </t>
  </si>
  <si>
    <t>WO0056866</t>
  </si>
  <si>
    <t>JP2005062043</t>
  </si>
  <si>
    <t xml:space="preserve">GPS/GSM based blind guide vehicle </t>
  </si>
  <si>
    <t>CN202453733</t>
  </si>
  <si>
    <t xml:space="preserve">Multiple target point path planning method and device </t>
  </si>
  <si>
    <t>CN101493329</t>
  </si>
  <si>
    <t xml:space="preserve">A method for a driver assistance system for autonomous longitudinal and / or lateral control of a vehicle </t>
  </si>
  <si>
    <t>DE102012101686</t>
  </si>
  <si>
    <t xml:space="preserve">Automatic driving vehicle and program for automatic driving vehicle </t>
  </si>
  <si>
    <t>WO2015166811</t>
  </si>
  <si>
    <t>US9085303</t>
  </si>
  <si>
    <t xml:space="preserve">Navigation device, route searching method, and program </t>
  </si>
  <si>
    <t>JP2005227049</t>
  </si>
  <si>
    <t xml:space="preserve">Course guiding device </t>
  </si>
  <si>
    <t>JP2004340689</t>
  </si>
  <si>
    <t xml:space="preserve">Construction method of unfolding preliminary leading rope with remotely pilotless helicopter </t>
  </si>
  <si>
    <t>CN101789569</t>
  </si>
  <si>
    <t xml:space="preserve">Interactive system for processing and retrieving data relating to a particular destination via a communication device </t>
  </si>
  <si>
    <t>US2004133339</t>
  </si>
  <si>
    <t xml:space="preserve">Operation guiding device for bus stop and its system </t>
  </si>
  <si>
    <t>JP2001023089</t>
  </si>
  <si>
    <t xml:space="preserve">Autonomously electromagnetic transport carrier of food portions </t>
  </si>
  <si>
    <t>WO2015162182</t>
  </si>
  <si>
    <t xml:space="preserve">Fuzzy control method for generating group animation </t>
  </si>
  <si>
    <t>CN101344969</t>
  </si>
  <si>
    <t xml:space="preserve">Interactive type autonomous heath management system and method </t>
  </si>
  <si>
    <t>CN103646366</t>
  </si>
  <si>
    <t xml:space="preserve">Intelligent navigation vehicle and control method thereof </t>
  </si>
  <si>
    <t>CN101813943</t>
  </si>
  <si>
    <t xml:space="preserve">Reception guide robot </t>
  </si>
  <si>
    <t>JP2004114178</t>
  </si>
  <si>
    <t xml:space="preserve">Method and system for realizing tour guide and navigation </t>
  </si>
  <si>
    <t>CN101619983</t>
  </si>
  <si>
    <t xml:space="preserve">Customized Accessible Tourism Service Methods for Foreign Tourist </t>
  </si>
  <si>
    <t>KR20160104784</t>
  </si>
  <si>
    <t xml:space="preserve">Antibody Purification </t>
  </si>
  <si>
    <t>CN101454025</t>
  </si>
  <si>
    <t xml:space="preserve">Hot air balloon lift system - uses transparent cylindrical tower with semi-spherical support structure and directed air inlets </t>
  </si>
  <si>
    <t>FR2697227</t>
  </si>
  <si>
    <t xml:space="preserve">Voice navigation system and method </t>
  </si>
  <si>
    <t>JP2000074687</t>
  </si>
  <si>
    <t xml:space="preserve">System and method for mapping electrophysiology information onto complex geometry </t>
  </si>
  <si>
    <t>CN101443792</t>
  </si>
  <si>
    <t xml:space="preserve">Interactive portable personal acoustic system for guided tours </t>
  </si>
  <si>
    <t>FR2661032</t>
  </si>
  <si>
    <t xml:space="preserve">A crispr-cas system for a filamentous fungal host cell </t>
  </si>
  <si>
    <t>WO2016110453</t>
  </si>
  <si>
    <t xml:space="preserve">Information method and device for mobile subscribers </t>
  </si>
  <si>
    <t>WO9826396</t>
  </si>
  <si>
    <t xml:space="preserve">Security safety system by banner advertisement and fee system bus stop sign </t>
  </si>
  <si>
    <t>JP2010102279</t>
  </si>
  <si>
    <t xml:space="preserve">Multimedia guide interpretation machine </t>
  </si>
  <si>
    <t>CN201570226</t>
  </si>
  <si>
    <t xml:space="preserve">Navigation device for patrolling/monitoring </t>
  </si>
  <si>
    <t>JP2004279172</t>
  </si>
  <si>
    <t xml:space="preserve">Multimedia, multiservice and connectable mobile assembly for diagnosis, prescriptions, medical checkups and nursing care </t>
  </si>
  <si>
    <t>WO2008025901</t>
  </si>
  <si>
    <t xml:space="preserve">A crispr-cas system for a lipolytic yeast host cell </t>
  </si>
  <si>
    <t>WO2016110511</t>
  </si>
  <si>
    <t xml:space="preserve">Broadcast system for tourist sites </t>
  </si>
  <si>
    <t>EP0886383</t>
  </si>
  <si>
    <t xml:space="preserve">Electric mountain climbing touring chair </t>
  </si>
  <si>
    <t>CN204368143</t>
  </si>
  <si>
    <t xml:space="preserve">Rabies virus vector systems and compositions and methods thereof </t>
  </si>
  <si>
    <t>CN101287838</t>
  </si>
  <si>
    <t xml:space="preserve">Service providing system and navigation device </t>
  </si>
  <si>
    <t>JP2002048558</t>
  </si>
  <si>
    <t xml:space="preserve">Laser device for forming high speed optical link, has guiding structure with portion that delivers light generated by transmitting structure that is in III-V or in II-VI technology, where guiding structure is in silicon technology </t>
  </si>
  <si>
    <t>FR2909491</t>
  </si>
  <si>
    <t xml:space="preserve">The group system and method used ubiquitous sensor networks </t>
  </si>
  <si>
    <t>KR20070091756</t>
  </si>
  <si>
    <t xml:space="preserve">Multiple-position heel piece with easy engagement/release for Ski-touring bindings </t>
  </si>
  <si>
    <t>US2011049821</t>
  </si>
  <si>
    <t xml:space="preserve">Navigation equipment and method, and recording medium stored with software for navigation </t>
  </si>
  <si>
    <t>JP2000337914</t>
  </si>
  <si>
    <t xml:space="preserve">The system of tour guidance utilizing the internet network </t>
  </si>
  <si>
    <t>KR20000050182</t>
  </si>
  <si>
    <t xml:space="preserve">System and method for providing of parking information </t>
  </si>
  <si>
    <t>KR100811176</t>
  </si>
  <si>
    <t>WO2006015473</t>
  </si>
  <si>
    <t xml:space="preserve">Artificial plant minichromosomes </t>
  </si>
  <si>
    <t>CN101490267</t>
  </si>
  <si>
    <t xml:space="preserve">Guide information providing device for use of mobile </t>
  </si>
  <si>
    <t>JP2002117487</t>
  </si>
  <si>
    <t xml:space="preserve">Computer-implemented method and system to manage user profiles regarding user preferences towards a content </t>
  </si>
  <si>
    <t>US2014316934</t>
  </si>
  <si>
    <t xml:space="preserve">Location and event based information exchange and control system </t>
  </si>
  <si>
    <t>US2015094096</t>
  </si>
  <si>
    <t xml:space="preserve">System for tracking location of portable communication terminal and providing travel information for foreign tourists </t>
  </si>
  <si>
    <t>KR20020074591</t>
  </si>
  <si>
    <t xml:space="preserve">Depending on the unit in the adaptive obstacle-free blind cleaner </t>
  </si>
  <si>
    <t>CN201595779</t>
  </si>
  <si>
    <t xml:space="preserve">Rolling apparatus for roller skate users </t>
  </si>
  <si>
    <t>US2006170169</t>
  </si>
  <si>
    <t xml:space="preserve">Genes encoding proteolytic enzymes from aspargilli </t>
  </si>
  <si>
    <t>CN100582226</t>
  </si>
  <si>
    <t xml:space="preserve">Method and apparatus for autonomous synchronous computing </t>
  </si>
  <si>
    <t>US8812421</t>
  </si>
  <si>
    <t xml:space="preserve">Navigation apparatus and method for calculating Tour </t>
  </si>
  <si>
    <t>DE10015314</t>
  </si>
  <si>
    <t xml:space="preserve">Autonomously displaceable feed displacement vehicle </t>
  </si>
  <si>
    <t>US2014034750</t>
  </si>
  <si>
    <t xml:space="preserve">Vehicular display apparatus </t>
  </si>
  <si>
    <t>DE202015103992</t>
  </si>
  <si>
    <t xml:space="preserve">interactive information system by radio frequency. </t>
  </si>
  <si>
    <t>ES2249140</t>
  </si>
  <si>
    <t xml:space="preserve">Navigation device and route guide method </t>
  </si>
  <si>
    <t>JP2008134158</t>
  </si>
  <si>
    <t xml:space="preserve">Tour guiding system and method </t>
  </si>
  <si>
    <t>CN107835384</t>
  </si>
  <si>
    <t xml:space="preserve">Sight spot information push method satisfying user consultation </t>
  </si>
  <si>
    <t>CN105069716</t>
  </si>
  <si>
    <t xml:space="preserve">Portable tourism terminal based on cloud calculates </t>
  </si>
  <si>
    <t>CN205124003</t>
  </si>
  <si>
    <t xml:space="preserve">System and method for item delivery on a specified date </t>
  </si>
  <si>
    <t>US2014172734</t>
  </si>
  <si>
    <t xml:space="preserve">Compositions and methods for regulating angiogenesis and cholesterol and treating dyslipidemia, atherosclerosis, cancer and inflammatory conditions </t>
  </si>
  <si>
    <t>US2016115211</t>
  </si>
  <si>
    <t xml:space="preserve">Autonomic training device </t>
  </si>
  <si>
    <t>JPH08215310</t>
  </si>
  <si>
    <t xml:space="preserve">Engstellenassistenzsystem and assistance process in a motor vehicle </t>
  </si>
  <si>
    <t>DE102016221905</t>
  </si>
  <si>
    <t xml:space="preserve">System and Method for Automatic Collection of Food Waste </t>
  </si>
  <si>
    <t>KR101678785</t>
  </si>
  <si>
    <t xml:space="preserve">navigation device </t>
  </si>
  <si>
    <t>DE112007003067</t>
  </si>
  <si>
    <t xml:space="preserve">Center device </t>
  </si>
  <si>
    <t>JP4200617</t>
  </si>
  <si>
    <t xml:space="preserve">Navigation system, the route search server, a route search method and navigation terminal device </t>
  </si>
  <si>
    <t>JP4829362</t>
  </si>
  <si>
    <t>JP4614364</t>
  </si>
  <si>
    <t xml:space="preserve">Mobile complex for demonstration presented in electronic (digital) form 3d-models of museum exhibits </t>
  </si>
  <si>
    <t>RU136911</t>
  </si>
  <si>
    <t xml:space="preserve">Roll call system </t>
  </si>
  <si>
    <t>JP5225304</t>
  </si>
  <si>
    <t xml:space="preserve">Automatic orientation device for walkers and the blind </t>
  </si>
  <si>
    <t>EP0304419</t>
  </si>
  <si>
    <t xml:space="preserve">Method and system for carrying out location communication on visitor based on APP </t>
  </si>
  <si>
    <t>CN105407457</t>
  </si>
  <si>
    <t xml:space="preserve">Dual-use intelligent navigation system based on multimode synergic effect </t>
  </si>
  <si>
    <t>CN107238384</t>
  </si>
  <si>
    <t xml:space="preserve">Server for self-governing organization network system, has remittance unit for raising contribution money from enterprise which is remitted to self-governing organization, based on rank assigned to organization by user </t>
  </si>
  <si>
    <t>FR2827100</t>
  </si>
  <si>
    <t xml:space="preserve">Radio visitor service sight seeing guide system and its use method </t>
  </si>
  <si>
    <t>CN100338962</t>
  </si>
  <si>
    <t xml:space="preserve">Autonomous travel device </t>
  </si>
  <si>
    <t>WO2016125728</t>
  </si>
  <si>
    <t xml:space="preserve">System And Method For Providing Conditional Autonomous Messaging To Parking Enforcement Officers With The Aid Of A Digital Computer </t>
  </si>
  <si>
    <t>US2018060789</t>
  </si>
  <si>
    <t xml:space="preserve">Multi-purpose automatic lifting step system </t>
  </si>
  <si>
    <t>JP2004131289</t>
  </si>
  <si>
    <t xml:space="preserve">Autonomous travelling device </t>
  </si>
  <si>
    <t>JP2016145032</t>
  </si>
  <si>
    <t xml:space="preserve">Inspecting unmanned aerial vehicle for forest farm </t>
  </si>
  <si>
    <t>CN107364578</t>
  </si>
  <si>
    <t xml:space="preserve">Digital health method based on biomedical engineering for diagnosis and management of musculoskeletal disease </t>
  </si>
  <si>
    <t>KR20170088214</t>
  </si>
  <si>
    <t xml:space="preserve">The autonomous moving body and facilities in the management and operation system </t>
  </si>
  <si>
    <t>JPWO2017030188</t>
  </si>
  <si>
    <t xml:space="preserve">Autonomous electrically heated wet radiator has electric element at base and hollow vertical fins to emit heat from liquid whose flow is directed by a plate using internal vane surfaces as guide </t>
  </si>
  <si>
    <t>FR2786854</t>
  </si>
  <si>
    <t xml:space="preserve">Delivery vehicle and method for delivering consignments at different locations on a delivery route </t>
  </si>
  <si>
    <t>CN107472852</t>
  </si>
  <si>
    <t xml:space="preserve">autonomous system to record the solar irradiance </t>
  </si>
  <si>
    <t>ES2656737</t>
  </si>
  <si>
    <t xml:space="preserve">Method for Operating a Navigation System of a Motor Vehicle, and Motor Vehicle </t>
  </si>
  <si>
    <t>US2017176206</t>
  </si>
  <si>
    <t xml:space="preserve">Digital health system based on biomedical engineering for diagnosis and management of musculoskeletal disease </t>
  </si>
  <si>
    <t>KR20170085405</t>
  </si>
  <si>
    <t xml:space="preserve">Libration point backbone network </t>
  </si>
  <si>
    <t>CN107820260</t>
  </si>
  <si>
    <t xml:space="preserve">System and method enabling location, identification, authentication and ranging with social networking features </t>
  </si>
  <si>
    <t>US2018144167</t>
  </si>
  <si>
    <t xml:space="preserve">UAV control system and method for controlling the UAV </t>
  </si>
  <si>
    <t>CN108572661</t>
  </si>
  <si>
    <t xml:space="preserve">self-guided vehicle </t>
  </si>
  <si>
    <t>ES1182661</t>
  </si>
  <si>
    <t xml:space="preserve">System and method for underwater observation </t>
  </si>
  <si>
    <t>ES2647830</t>
  </si>
  <si>
    <t xml:space="preserve">Drive device to at least one rotating tool for a round </t>
  </si>
  <si>
    <t>FR2613964</t>
  </si>
  <si>
    <t>WO2016105836</t>
  </si>
  <si>
    <t xml:space="preserve">Big data integrated parallel storage scheduling method orienting smart tourism and big data integrated parallel storage scheduling system thereof </t>
  </si>
  <si>
    <t>CN107360218</t>
  </si>
  <si>
    <t xml:space="preserve">Broadcast system, device for receiving broadcast, and navigation terminal </t>
  </si>
  <si>
    <t>KR20010021468</t>
  </si>
  <si>
    <t xml:space="preserve">"Care facility, location and management of items in a warehouse." </t>
  </si>
  <si>
    <t>ES2349612</t>
  </si>
  <si>
    <t xml:space="preserve">Academic Affairs Management System and Method Based on Talent and Career </t>
  </si>
  <si>
    <t>KR20150053345</t>
  </si>
  <si>
    <t xml:space="preserve">Water area automatic routing inspection system and method based on unmanned aerial vehicle </t>
  </si>
  <si>
    <t>CN106774427</t>
  </si>
  <si>
    <t xml:space="preserve">One-stroke internal combustion engine and applications </t>
  </si>
  <si>
    <t>WO9203640</t>
  </si>
  <si>
    <t>ES2633945</t>
  </si>
  <si>
    <t xml:space="preserve">Self-supporting device, self-support method and program </t>
  </si>
  <si>
    <t>DE112015000783</t>
  </si>
  <si>
    <t xml:space="preserve">Navigation device phone book memory. </t>
  </si>
  <si>
    <t>ES2346460</t>
  </si>
  <si>
    <t xml:space="preserve">Patent BE505039A </t>
  </si>
  <si>
    <t>BE505039</t>
  </si>
  <si>
    <t xml:space="preserve">Beta-amyloid-analogue-cell epitop vaccine </t>
  </si>
  <si>
    <t>CN100562338</t>
  </si>
  <si>
    <t xml:space="preserve">A navigable telepresence method and system utilizing an array of cameras </t>
  </si>
  <si>
    <t>CN1298607</t>
  </si>
  <si>
    <t xml:space="preserve">Intelligent flight control method and system for fine patrol inspection of UAV </t>
  </si>
  <si>
    <t>CN107450587</t>
  </si>
  <si>
    <t>DE112012006128</t>
  </si>
  <si>
    <t xml:space="preserve">Replicative HBV (Hepatitis B Virus) vector carrying foreign gene and recombinant HBV generated after transfection and corresponding preparation method and application </t>
  </si>
  <si>
    <t>CN103173492</t>
  </si>
  <si>
    <t xml:space="preserve">Self-guiding integration construct (sgic) </t>
  </si>
  <si>
    <t>WO2018127611</t>
  </si>
  <si>
    <t xml:space="preserve">System and method for inspecting a route during movement of a vehicle system over the route </t>
  </si>
  <si>
    <t>CN104302530</t>
  </si>
  <si>
    <t xml:space="preserve">Antibody-producing cells of the composition </t>
  </si>
  <si>
    <t>CN102311986</t>
  </si>
  <si>
    <t xml:space="preserve">Control method of organization by hellen needle depth method (h.n.d.m) </t>
  </si>
  <si>
    <t>JP2014121188</t>
  </si>
  <si>
    <t xml:space="preserve">Doigt robotique modulaire pour la prehension et la manipulation dextre </t>
  </si>
  <si>
    <t>FR3027246</t>
  </si>
  <si>
    <t>CN107082109</t>
  </si>
  <si>
    <t xml:space="preserve">Autonomous navigation system for a mobile robot or manipulator </t>
  </si>
  <si>
    <t>US5758298</t>
  </si>
  <si>
    <t xml:space="preserve">Apparatus and method for autonomous vehicle navigation using absolute data </t>
  </si>
  <si>
    <t>US5956250</t>
  </si>
  <si>
    <t xml:space="preserve">Satellite communication system </t>
  </si>
  <si>
    <t>US6157621</t>
  </si>
  <si>
    <t xml:space="preserve">Method and system for providing multiple entry points to a vehicle navigation route </t>
  </si>
  <si>
    <t>US6427119</t>
  </si>
  <si>
    <t xml:space="preserve">Weather monitoring techniques </t>
  </si>
  <si>
    <t>US8060308</t>
  </si>
  <si>
    <t xml:space="preserve">Information terminal device and method for route guidance </t>
  </si>
  <si>
    <t>US6336073</t>
  </si>
  <si>
    <t xml:space="preserve">Integrated vehicle positioning and navigation system, apparatus and method </t>
  </si>
  <si>
    <t>US5610815</t>
  </si>
  <si>
    <t xml:space="preserve">Vehicle information system </t>
  </si>
  <si>
    <t>US6628233</t>
  </si>
  <si>
    <t xml:space="preserve">Control and systems for autonomously driven vehicles </t>
  </si>
  <si>
    <t>US8126642</t>
  </si>
  <si>
    <t xml:space="preserve">Driver information system </t>
  </si>
  <si>
    <t>US6812888</t>
  </si>
  <si>
    <t xml:space="preserve">Navigation information system </t>
  </si>
  <si>
    <t>US6169515</t>
  </si>
  <si>
    <t xml:space="preserve">System and method for providing a natural language voice user interface in an integrated voice navigation services environment </t>
  </si>
  <si>
    <t>US8140335</t>
  </si>
  <si>
    <t xml:space="preserve">Computer peripheral floor cleaning system and navigation method </t>
  </si>
  <si>
    <t>US5995884</t>
  </si>
  <si>
    <t xml:space="preserve">Autonomous vehicle arrangement and method for controlling an autonomous vehicle </t>
  </si>
  <si>
    <t>US6151539</t>
  </si>
  <si>
    <t xml:space="preserve">Multi-tasked navigation system and method for an autonomous land based vehicle </t>
  </si>
  <si>
    <t>US5548516</t>
  </si>
  <si>
    <t xml:space="preserve">Method and system for determining vehicle position </t>
  </si>
  <si>
    <t>US5452211</t>
  </si>
  <si>
    <t xml:space="preserve">Wireless telecommunications system that provides navigational assistance to travelers </t>
  </si>
  <si>
    <t>US6199010</t>
  </si>
  <si>
    <t xml:space="preserve">Portable multi-tracking method and system </t>
  </si>
  <si>
    <t>US7143130</t>
  </si>
  <si>
    <t xml:space="preserve">Route sharing navigation terminal between scenic spot based on cloud platform </t>
  </si>
  <si>
    <t>CN205957979</t>
  </si>
  <si>
    <t xml:space="preserve">Vehicle routing and guidance system </t>
  </si>
  <si>
    <t>US6334089</t>
  </si>
  <si>
    <t xml:space="preserve">Method and system for providing multiple beginning maneuvers for navigation of a vehicle </t>
  </si>
  <si>
    <t>US6701251</t>
  </si>
  <si>
    <t xml:space="preserve">Based on the autonomous navigation method and a mobile robot navigation feature point matching </t>
  </si>
  <si>
    <t>CN108519615</t>
  </si>
  <si>
    <t xml:space="preserve">Node map system and method for vehicle </t>
  </si>
  <si>
    <t>US4821192</t>
  </si>
  <si>
    <t xml:space="preserve">Autonomous personal service robot </t>
  </si>
  <si>
    <t>US7228203</t>
  </si>
  <si>
    <t xml:space="preserve">User interface for displaying internal state of autonomous driving system </t>
  </si>
  <si>
    <t>US8346426</t>
  </si>
  <si>
    <t xml:space="preserve">Intersection collision avoidance techniques </t>
  </si>
  <si>
    <t>US8000897</t>
  </si>
  <si>
    <t xml:space="preserve">Global navigation satellite system </t>
  </si>
  <si>
    <t>US7768449</t>
  </si>
  <si>
    <t>US7899621</t>
  </si>
  <si>
    <t xml:space="preserve">Vehicle to infrastructure information conveyance system and method </t>
  </si>
  <si>
    <t>US7791503</t>
  </si>
  <si>
    <t xml:space="preserve">Private, auditable vehicle positioning system and on-board unit for same </t>
  </si>
  <si>
    <t>US8140265</t>
  </si>
  <si>
    <t xml:space="preserve">Vehicle position determining system and method </t>
  </si>
  <si>
    <t>US7610146</t>
  </si>
  <si>
    <t xml:space="preserve">4D GIS virtual reality for controlling, monitoring and prediction of manned/unmanned system </t>
  </si>
  <si>
    <t>US2009073034</t>
  </si>
  <si>
    <t xml:space="preserve">Navigation method and navigation system for means of locomotion </t>
  </si>
  <si>
    <t>US6456933</t>
  </si>
  <si>
    <t xml:space="preserve">Combined imaging and distance monitoring for vehicular applications </t>
  </si>
  <si>
    <t>US7796081</t>
  </si>
  <si>
    <t xml:space="preserve">Intra-vehicle information conveyance system and method </t>
  </si>
  <si>
    <t>US8965677</t>
  </si>
  <si>
    <t>US6249780</t>
  </si>
  <si>
    <t xml:space="preserve">Inattentive vehicular operator detection method and arrangement </t>
  </si>
  <si>
    <t>US8068979</t>
  </si>
  <si>
    <t xml:space="preserve">User interface for displaying object-based indications in an autonomous driving system </t>
  </si>
  <si>
    <t>US8676431</t>
  </si>
  <si>
    <t xml:space="preserve">Vehicle-traffic control device communication techniques </t>
  </si>
  <si>
    <t>US7983836</t>
  </si>
  <si>
    <t xml:space="preserve">Autonomous inspector mobile platform </t>
  </si>
  <si>
    <t>US8024066</t>
  </si>
  <si>
    <t xml:space="preserve">Convoy of towed ocean going cargo vessels and method for shipping across an ocean </t>
  </si>
  <si>
    <t>US6354235</t>
  </si>
  <si>
    <t xml:space="preserve">Autonomous neighborhood vehicle commerce network and community </t>
  </si>
  <si>
    <t>US2014136414</t>
  </si>
  <si>
    <t xml:space="preserve">Method and system for selecting media </t>
  </si>
  <si>
    <t>US2007089057</t>
  </si>
  <si>
    <t xml:space="preserve">Vehicular Anticipatory Sensor System </t>
  </si>
  <si>
    <t>US2008147253</t>
  </si>
  <si>
    <t xml:space="preserve">Road physical condition monitoring techniques </t>
  </si>
  <si>
    <t>US2010280751</t>
  </si>
  <si>
    <t xml:space="preserve">Using Autonomous Vehicles in a Taxi Service </t>
  </si>
  <si>
    <t>US2015339928</t>
  </si>
  <si>
    <t xml:space="preserve">Vehicle Speed Control Method and Arrangement </t>
  </si>
  <si>
    <t>US2008154629</t>
  </si>
  <si>
    <t xml:space="preserve">Vehicular Map Database Management Techniques </t>
  </si>
  <si>
    <t>US2008162036</t>
  </si>
  <si>
    <t xml:space="preserve">Positional information use apparatus </t>
  </si>
  <si>
    <t>US2008010009</t>
  </si>
  <si>
    <t xml:space="preserve">Media device and user interface for selecting media </t>
  </si>
  <si>
    <t>US2007088727</t>
  </si>
  <si>
    <t xml:space="preserve">Autonomous Space Flight System and Planetary Lander for Executing a Discrete Landing Sequence to Remove Unknown Navigation Error, Perform Hazard Avoidance and Relocate the Lander and Method </t>
  </si>
  <si>
    <t>US2008023587</t>
  </si>
  <si>
    <t xml:space="preserve">Selecting a Navigation Solution Used in Determining the Position of a Device in a Wireless Communication System </t>
  </si>
  <si>
    <t>US2007216540</t>
  </si>
  <si>
    <t xml:space="preserve">Navigation unit and base station </t>
  </si>
  <si>
    <t>US2008234930</t>
  </si>
  <si>
    <t xml:space="preserve">Parking Autonomous Vehicles </t>
  </si>
  <si>
    <t>US2015346727</t>
  </si>
  <si>
    <t xml:space="preserve">Vehicle Airbag System and Method </t>
  </si>
  <si>
    <t>US2012209505</t>
  </si>
  <si>
    <t xml:space="preserve">Based on the kind of integrated navigation line inspection robot and its method of transmission line inspection </t>
  </si>
  <si>
    <t>CN108508909</t>
  </si>
  <si>
    <t>JPH0883398</t>
  </si>
  <si>
    <t>US2005215269</t>
  </si>
  <si>
    <t xml:space="preserve">Method and apparatus for processing navigation data in position determination </t>
  </si>
  <si>
    <t>US2004160365</t>
  </si>
  <si>
    <t xml:space="preserve">In-Vehicle Signage Techniques </t>
  </si>
  <si>
    <t>US2008106436</t>
  </si>
  <si>
    <t xml:space="preserve">Pedestrian navigation system and method </t>
  </si>
  <si>
    <t>US2010004860</t>
  </si>
  <si>
    <t xml:space="preserve">Client-centric information extraction system for an information network </t>
  </si>
  <si>
    <t>US2005165789</t>
  </si>
  <si>
    <t xml:space="preserve">Automatic speech recognition system and method for aircraft </t>
  </si>
  <si>
    <t>US2010030400</t>
  </si>
  <si>
    <t>US7415326</t>
  </si>
  <si>
    <t>US2012010968</t>
  </si>
  <si>
    <t xml:space="preserve">Piggybacking Unmanned Aerial Vehicle </t>
  </si>
  <si>
    <t>US2016196756</t>
  </si>
  <si>
    <t xml:space="preserve">Gradient information calculating system, vehicle running control system, navigation system, and gradient information calculating method </t>
  </si>
  <si>
    <t>US2010324752</t>
  </si>
  <si>
    <t>US2002152018</t>
  </si>
  <si>
    <t xml:space="preserve">System And Method For Monetized Electronic Mobile Commerce </t>
  </si>
  <si>
    <t>US2011112866</t>
  </si>
  <si>
    <t xml:space="preserve">Active maple seed flyer </t>
  </si>
  <si>
    <t>US7766274</t>
  </si>
  <si>
    <t xml:space="preserve">Route-matching method for use with vehicle navigation systems </t>
  </si>
  <si>
    <t>US2008046174</t>
  </si>
  <si>
    <t>WO9909374</t>
  </si>
  <si>
    <t xml:space="preserve">Navigation system for electric vehicle </t>
  </si>
  <si>
    <t>JP2006112932</t>
  </si>
  <si>
    <t>US2008088506</t>
  </si>
  <si>
    <t xml:space="preserve">Systems and methods for providing navigation guidance in pseudo-navigation/automatic direction indicator modes </t>
  </si>
  <si>
    <t>US2006116816</t>
  </si>
  <si>
    <t xml:space="preserve">General purpose submarine having high speed surface capability </t>
  </si>
  <si>
    <t>US7856938</t>
  </si>
  <si>
    <t xml:space="preserve">Navigation device and pathfinding method </t>
  </si>
  <si>
    <t>JP2003185453</t>
  </si>
  <si>
    <t xml:space="preserve">On-vehicle navigation system </t>
  </si>
  <si>
    <t>JP2003294464</t>
  </si>
  <si>
    <t>WO0022593</t>
  </si>
  <si>
    <t xml:space="preserve">Method and system for acquiring additional information of map information </t>
  </si>
  <si>
    <t>US2007052552</t>
  </si>
  <si>
    <t xml:space="preserve">Sharing Autonomous Vehicles </t>
  </si>
  <si>
    <t>US2015338852</t>
  </si>
  <si>
    <t xml:space="preserve">Navigation device and method for determining orientation of vehicle </t>
  </si>
  <si>
    <t>US2006247854</t>
  </si>
  <si>
    <t xml:space="preserve">Navigation system for electric automobile </t>
  </si>
  <si>
    <t>JPH08240435</t>
  </si>
  <si>
    <t xml:space="preserve">Data acquisition system </t>
  </si>
  <si>
    <t>JP2004096973</t>
  </si>
  <si>
    <t xml:space="preserve">Navigation system interface for vehicle </t>
  </si>
  <si>
    <t>US2003212485</t>
  </si>
  <si>
    <t xml:space="preserve">Car navigation device and method and software for car navigation </t>
  </si>
  <si>
    <t>JP2002286489</t>
  </si>
  <si>
    <t xml:space="preserve">Vehicle speed control method and arrangement </t>
  </si>
  <si>
    <t>US2015197248</t>
  </si>
  <si>
    <t xml:space="preserve">Clinical workflows utilizing autonomous and semiautonomous telemedicine devices </t>
  </si>
  <si>
    <t>US2015081338</t>
  </si>
  <si>
    <t>JP2002181555</t>
  </si>
  <si>
    <t xml:space="preserve">Navigation device and describing method of cross point indication map </t>
  </si>
  <si>
    <t>CN101140166</t>
  </si>
  <si>
    <t>JP2006214980</t>
  </si>
  <si>
    <t xml:space="preserve">Navigation system, method, and program </t>
  </si>
  <si>
    <t>JP2005127994</t>
  </si>
  <si>
    <t xml:space="preserve">Method and device for reproducing music and musical data base system and musical data base for them </t>
  </si>
  <si>
    <t>JPH08248953</t>
  </si>
  <si>
    <t>WO9109375</t>
  </si>
  <si>
    <t xml:space="preserve">Navigation system, method and program thereof, and method and program for creating database for searching </t>
  </si>
  <si>
    <t>JP2005106741</t>
  </si>
  <si>
    <t xml:space="preserve">Method for realizing vehicle network navigation based on GPS and GPRS </t>
  </si>
  <si>
    <t>CN1512138</t>
  </si>
  <si>
    <t xml:space="preserve">Combined navigation method of integrated sonar micro navigation autonomous underwater robot </t>
  </si>
  <si>
    <t>CN101900558</t>
  </si>
  <si>
    <t xml:space="preserve">Autonomous cargo delivery system </t>
  </si>
  <si>
    <t>US2015323932</t>
  </si>
  <si>
    <t xml:space="preserve">Map moving apparatus </t>
  </si>
  <si>
    <t>US2007083325</t>
  </si>
  <si>
    <t xml:space="preserve">Navigator </t>
  </si>
  <si>
    <t>JPH1183516</t>
  </si>
  <si>
    <t>JP2006184030</t>
  </si>
  <si>
    <t xml:space="preserve">Facility retrieval device, navigation device, facility retrieval method, and facility retrieval program </t>
  </si>
  <si>
    <t>JP2003232641</t>
  </si>
  <si>
    <t xml:space="preserve">Refueling information providing system and refueling information providing method </t>
  </si>
  <si>
    <t>JP2002251432</t>
  </si>
  <si>
    <t>JP2000035337</t>
  </si>
  <si>
    <t xml:space="preserve">Integrated generator device for producing energy from zero-emission renewable alternative sources respecting and preserving the environment </t>
  </si>
  <si>
    <t>US2011204644</t>
  </si>
  <si>
    <t xml:space="preserve">Performing Services on Autonomous Vehicles </t>
  </si>
  <si>
    <t>US2015348335</t>
  </si>
  <si>
    <t xml:space="preserve">Unmanned driving vehicle cognitive competence testing system and method </t>
  </si>
  <si>
    <t>CN103335853</t>
  </si>
  <si>
    <t xml:space="preserve">Navigation apparatus and optical disc </t>
  </si>
  <si>
    <t>JP2009103504</t>
  </si>
  <si>
    <t xml:space="preserve">Unmanned helicopter for patrolling power transmission lines </t>
  </si>
  <si>
    <t>CN202071987</t>
  </si>
  <si>
    <t xml:space="preserve">Variable bus stops across a bus route in a regional transportation network </t>
  </si>
  <si>
    <t>US2015369621</t>
  </si>
  <si>
    <t xml:space="preserve">Method of searching and displaying peripheral facility of navigation apparatus </t>
  </si>
  <si>
    <t>JP2003148974</t>
  </si>
  <si>
    <t xml:space="preserve">Method and apparatus for creating an information summary </t>
  </si>
  <si>
    <t>WO0054177</t>
  </si>
  <si>
    <t>JP2003121182</t>
  </si>
  <si>
    <t xml:space="preserve">A method and apparatus for controlling a playback device for information ortsabhaengige </t>
  </si>
  <si>
    <t>DE3925057</t>
  </si>
  <si>
    <t xml:space="preserve">Method for displaying menu in navigation device </t>
  </si>
  <si>
    <t>JPH07271824</t>
  </si>
  <si>
    <t xml:space="preserve">Portable information terminal equipment-connected navigator </t>
  </si>
  <si>
    <t>JP2000146617</t>
  </si>
  <si>
    <t xml:space="preserve">Automated Parking Payment </t>
  </si>
  <si>
    <t>US2015149263</t>
  </si>
  <si>
    <t xml:space="preserve">On-vehicle equipment control system and on-vehicle equipment control device </t>
  </si>
  <si>
    <t>JPH11115651</t>
  </si>
  <si>
    <t xml:space="preserve">Navigation processing method </t>
  </si>
  <si>
    <t>JPH08271273</t>
  </si>
  <si>
    <t xml:space="preserve">A system, method and article of manufacture for advanced mobile health care processing </t>
  </si>
  <si>
    <t>WO0054205</t>
  </si>
  <si>
    <t>JP2001056232</t>
  </si>
  <si>
    <t>JP2002133575</t>
  </si>
  <si>
    <t xml:space="preserve">Method and system for access to health care information </t>
  </si>
  <si>
    <t>WO0054206</t>
  </si>
  <si>
    <t xml:space="preserve">Navigation system with location correcting function and recording medium </t>
  </si>
  <si>
    <t>JP2002340589</t>
  </si>
  <si>
    <t>JPH11271071</t>
  </si>
  <si>
    <t xml:space="preserve">Method and Apparatus for Ensuring the Operation and Integrity of a Three-Dimensional Integrated Logistical System </t>
  </si>
  <si>
    <t>US2016086494</t>
  </si>
  <si>
    <t xml:space="preserve">Position information presentation device, position information presentation system, position information presentation method, program, and recording medium </t>
  </si>
  <si>
    <t>WO2012070595</t>
  </si>
  <si>
    <t xml:space="preserve">The image display apparatus </t>
  </si>
  <si>
    <t>CN1412525</t>
  </si>
  <si>
    <t xml:space="preserve">Navigation apparatus and navigation system </t>
  </si>
  <si>
    <t>JP2003121173</t>
  </si>
  <si>
    <t xml:space="preserve">Information data utilizing system for digital broadcast, digital broadcast receiver used therefor, and information data acquiring method </t>
  </si>
  <si>
    <t>JP2003218718</t>
  </si>
  <si>
    <t xml:space="preserve">Guest greeting robot </t>
  </si>
  <si>
    <t>CN105058393</t>
  </si>
  <si>
    <t xml:space="preserve">Car navigation equipment </t>
  </si>
  <si>
    <t>JPH09257499</t>
  </si>
  <si>
    <t xml:space="preserve">Navigation system and history information display method </t>
  </si>
  <si>
    <t>JP2005156290</t>
  </si>
  <si>
    <t xml:space="preserve">Low-power photonic telemetry system and method for spacecraft monitoring </t>
  </si>
  <si>
    <t>US2005240341</t>
  </si>
  <si>
    <t xml:space="preserve">Collecting method of drive information and navigation apparatus </t>
  </si>
  <si>
    <t>JP2005229226</t>
  </si>
  <si>
    <t xml:space="preserve">Method and system for generating a list of maneuvers for navigation of a vehicle </t>
  </si>
  <si>
    <t>US2002152024</t>
  </si>
  <si>
    <t xml:space="preserve">Autonomous personal mobility systems </t>
  </si>
  <si>
    <t>US2018101179</t>
  </si>
  <si>
    <t xml:space="preserve">Vehicle radar perception and localization </t>
  </si>
  <si>
    <t>DE102016117123</t>
  </si>
  <si>
    <t xml:space="preserve">Method for on-line setting of vehicle-mounted navigation destination by utilizing mobile phone </t>
  </si>
  <si>
    <t>CN103391373</t>
  </si>
  <si>
    <t xml:space="preserve">Method and device for navigation </t>
  </si>
  <si>
    <t>JP2000074677</t>
  </si>
  <si>
    <t xml:space="preserve">On-vehicle navigator </t>
  </si>
  <si>
    <t>JPH05216404</t>
  </si>
  <si>
    <t xml:space="preserve">Device for personal navigation and orientation </t>
  </si>
  <si>
    <t>RU134633</t>
  </si>
  <si>
    <t xml:space="preserve">Navigation device, method, and program </t>
  </si>
  <si>
    <t>JP2006275520</t>
  </si>
  <si>
    <t xml:space="preserve">Lunar soil and lunar appearance simulation system for ground walking test of lunar surface rover and construction method of lunar soil and lunar appearance simulation system </t>
  </si>
  <si>
    <t>CN102589910</t>
  </si>
  <si>
    <t xml:space="preserve">Automatic vehicle route planning, especially for parcel delivery companies, in which a vehicle has to pickup or drop off objects at destinations, with data input using e.g. barcode reader and an optimum route planned </t>
  </si>
  <si>
    <t>DE10031834</t>
  </si>
  <si>
    <t xml:space="preserve">Monitoring GPS ephemeris data </t>
  </si>
  <si>
    <t>GB2295063</t>
  </si>
  <si>
    <t xml:space="preserve">Game program and game apparatus </t>
  </si>
  <si>
    <t>JP2005040434</t>
  </si>
  <si>
    <t xml:space="preserve">System and method for pedestrian navigation based on multiple sensors </t>
  </si>
  <si>
    <t>CN105241454</t>
  </si>
  <si>
    <t xml:space="preserve">Electronics assembly e.g. navigation receiver, for use with e.g. walkman, has output interface for head or earphones, where signals generated by assembly are delivered alone or with output signals to users in specified composition </t>
  </si>
  <si>
    <t>DE102006012609</t>
  </si>
  <si>
    <t>JP2012057957</t>
  </si>
  <si>
    <t xml:space="preserve">Controlling autonomous-vehicle functions and output based on occupant position and attention </t>
  </si>
  <si>
    <t>US2017329329</t>
  </si>
  <si>
    <t xml:space="preserve">Method for operation of a navigation device </t>
  </si>
  <si>
    <t>WO2009062458</t>
  </si>
  <si>
    <t xml:space="preserve">Communication method, navigation system and automobile </t>
  </si>
  <si>
    <t>JPH10185596</t>
  </si>
  <si>
    <t xml:space="preserve">Navigation system and method for route information </t>
  </si>
  <si>
    <t>JP2007085939</t>
  </si>
  <si>
    <t xml:space="preserve">Integrated navigation method based on star sensor calibration </t>
  </si>
  <si>
    <t>CN100476360</t>
  </si>
  <si>
    <t xml:space="preserve">Portable navigation device with wireless interface </t>
  </si>
  <si>
    <t>CN101517362</t>
  </si>
  <si>
    <t>JP2000337904</t>
  </si>
  <si>
    <t xml:space="preserve">Navigation apparatus and guidance route search method </t>
  </si>
  <si>
    <t>JP2010096581</t>
  </si>
  <si>
    <t xml:space="preserve">Display Apparatus and Vehicle Having The Same </t>
  </si>
  <si>
    <t>KR20170002087</t>
  </si>
  <si>
    <t>JP2008209370</t>
  </si>
  <si>
    <t xml:space="preserve">In-vehicle navigation device and route guiding method </t>
  </si>
  <si>
    <t>JP2005077187</t>
  </si>
  <si>
    <t xml:space="preserve">Navigation device, method and program </t>
  </si>
  <si>
    <t>JP4330065</t>
  </si>
  <si>
    <t xml:space="preserve">Recording medium for recording a navigation device and method, and software for navigation </t>
  </si>
  <si>
    <t>JP4144682</t>
  </si>
  <si>
    <t>DE112007003210</t>
  </si>
  <si>
    <t>JP4119776</t>
  </si>
  <si>
    <t xml:space="preserve">Replacing a first robot with a second robot during performance of a task by the first robot </t>
  </si>
  <si>
    <t>US9821455</t>
  </si>
  <si>
    <t xml:space="preserve">On-vehicle navigation apparatus </t>
  </si>
  <si>
    <t>JP2000097717</t>
  </si>
  <si>
    <t xml:space="preserve">Integrated navigation system of robot is tourd to intelligence </t>
  </si>
  <si>
    <t>CN206095257</t>
  </si>
  <si>
    <t xml:space="preserve">Real-time monitoring method for power transmission and transformation system based on unmanned aerial vehicle </t>
  </si>
  <si>
    <t>CN106657882</t>
  </si>
  <si>
    <t xml:space="preserve">Power transmission and transformation system polling method based on unmanned aerial vehicle </t>
  </si>
  <si>
    <t>CN106504362</t>
  </si>
  <si>
    <t xml:space="preserve">The multi-pulse neural network controller controlling a mobile robot navigation </t>
  </si>
  <si>
    <t>CN103984342</t>
  </si>
  <si>
    <t xml:space="preserve">Vehicle navigation apparatus. </t>
  </si>
  <si>
    <t>ES2264820</t>
  </si>
  <si>
    <t xml:space="preserve">High voltage transmission lines patrols and examines deicing special robots </t>
  </si>
  <si>
    <t>CN206501137</t>
  </si>
  <si>
    <t xml:space="preserve">System, method and article of manufacture for detecting emotion in voice signals through analysis of a plurality of voice signal parameters </t>
  </si>
  <si>
    <t>US6151571</t>
  </si>
  <si>
    <t xml:space="preserve">Managing information in an integrated development architecture framework </t>
  </si>
  <si>
    <t>US6662357</t>
  </si>
  <si>
    <t xml:space="preserve">Building techniques in a development architecture framework </t>
  </si>
  <si>
    <t>US6405364</t>
  </si>
  <si>
    <t xml:space="preserve">Payload-release device and operation thereof </t>
  </si>
  <si>
    <t>US9302770</t>
  </si>
  <si>
    <t xml:space="preserve">Development architecture framework </t>
  </si>
  <si>
    <t>US7139999</t>
  </si>
  <si>
    <t xml:space="preserve">System, method and article of manufacture for configuration management in a development architecture framework </t>
  </si>
  <si>
    <t>US6256773</t>
  </si>
  <si>
    <t xml:space="preserve">System, method and article of manufacture for managing an environment of a development architecture framework </t>
  </si>
  <si>
    <t>US6370573</t>
  </si>
  <si>
    <t xml:space="preserve">System, method and article of manufacture for security management in a development architecture framework </t>
  </si>
  <si>
    <t>US6324647</t>
  </si>
  <si>
    <t xml:space="preserve">Realtime, location-based cell phone enhancements, uses, and applications </t>
  </si>
  <si>
    <t>US8880047</t>
  </si>
  <si>
    <t xml:space="preserve">System and method for construction, delivery and display of iTV content </t>
  </si>
  <si>
    <t>US8042132</t>
  </si>
  <si>
    <t xml:space="preserve">Adaptive recommendations systems </t>
  </si>
  <si>
    <t>US7526458</t>
  </si>
  <si>
    <t xml:space="preserve">Adaptive social computing methods </t>
  </si>
  <si>
    <t>US7606772</t>
  </si>
  <si>
    <t xml:space="preserve">Adaptive social and process network systems </t>
  </si>
  <si>
    <t>US7526459</t>
  </si>
  <si>
    <t xml:space="preserve">Method and apparatus for determining expertise based upon observed usage patterns </t>
  </si>
  <si>
    <t>US7546295</t>
  </si>
  <si>
    <t xml:space="preserve">Method for navigating an object </t>
  </si>
  <si>
    <t>US6505117</t>
  </si>
  <si>
    <t xml:space="preserve">Adaptive self-modifying and recombinant systems </t>
  </si>
  <si>
    <t>US7539652</t>
  </si>
  <si>
    <t xml:space="preserve">Tour guide robot and moving area calibration method </t>
  </si>
  <si>
    <t>CN106406312</t>
  </si>
  <si>
    <t xml:space="preserve">Process control </t>
  </si>
  <si>
    <t>US6446055</t>
  </si>
  <si>
    <t xml:space="preserve">System and method for providing advertisements in an integrated voice navigation services environment </t>
  </si>
  <si>
    <t>US8452598</t>
  </si>
  <si>
    <t xml:space="preserve">Method and apparatus for identifying, extracting, capturing, and leveraging expertise and knowledge </t>
  </si>
  <si>
    <t>US7698270</t>
  </si>
  <si>
    <t xml:space="preserve">Method and apparatus for optical odometry </t>
  </si>
  <si>
    <t>US2004221790</t>
  </si>
  <si>
    <t xml:space="preserve">System and method for authorization of access to a resource </t>
  </si>
  <si>
    <t>US2002194483</t>
  </si>
  <si>
    <t xml:space="preserve">Proactive user interface </t>
  </si>
  <si>
    <t>US2005054381</t>
  </si>
  <si>
    <t xml:space="preserve">System, method, and article of manufacture for synchronization in an automated scripting framework </t>
  </si>
  <si>
    <t>US2005193269</t>
  </si>
  <si>
    <t xml:space="preserve">System and method for conducting a secure response communication session </t>
  </si>
  <si>
    <t>US2002199001</t>
  </si>
  <si>
    <t xml:space="preserve">System and method for secure unidirectional messaging </t>
  </si>
  <si>
    <t>US2002199096</t>
  </si>
  <si>
    <t xml:space="preserve">System and method for conducting a secure interactive communication session </t>
  </si>
  <si>
    <t>US2002194501</t>
  </si>
  <si>
    <t xml:space="preserve">Document management system with enhanced intelligent document recognition capabilities </t>
  </si>
  <si>
    <t>US2005289182</t>
  </si>
  <si>
    <t xml:space="preserve">Secure certificate and system and method for issuing and using same </t>
  </si>
  <si>
    <t>US2002165912</t>
  </si>
  <si>
    <t xml:space="preserve">System method and article of manufacture for a voice messaging expert system that organizes voice messages based on detected emotions </t>
  </si>
  <si>
    <t>US2002002460</t>
  </si>
  <si>
    <t>US2004226051</t>
  </si>
  <si>
    <t xml:space="preserve">System and method for a telephonic emotion detection that provides operator feedback </t>
  </si>
  <si>
    <t>US2002002464</t>
  </si>
  <si>
    <t xml:space="preserve">Over the horizon communications network and method </t>
  </si>
  <si>
    <t>US2003164794</t>
  </si>
  <si>
    <t xml:space="preserve">System and method for knowledge retrieval, management, delivery and presentation </t>
  </si>
  <si>
    <t>US2010070448</t>
  </si>
  <si>
    <t xml:space="preserve">System, method and article of manufacture for a voice analysis system that detects nervousness for preventing fraud </t>
  </si>
  <si>
    <t>US2002010587</t>
  </si>
  <si>
    <t xml:space="preserve">System, method, and article of manufacture for detecting emotion in voice signals by utilizing statistics for voice signal parameters </t>
  </si>
  <si>
    <t>US2003033145</t>
  </si>
  <si>
    <t xml:space="preserve">Service providing system </t>
  </si>
  <si>
    <t>US2002174360</t>
  </si>
  <si>
    <t xml:space="preserve">A voice recognition system for navigating on the internet </t>
  </si>
  <si>
    <t>US2003023444</t>
  </si>
  <si>
    <t xml:space="preserve">Swivel search system </t>
  </si>
  <si>
    <t>US2008288461</t>
  </si>
  <si>
    <t>US2014006951</t>
  </si>
  <si>
    <t xml:space="preserve">69voice authentication system and method for regulating border crossing </t>
  </si>
  <si>
    <t>US2001056349</t>
  </si>
  <si>
    <t xml:space="preserve">System and method for data capture, storage, and retrieval </t>
  </si>
  <si>
    <t>US2011238676</t>
  </si>
  <si>
    <t xml:space="preserve">Developing, implementing, transforming and governing a business model of an enterprise </t>
  </si>
  <si>
    <t>US2009192867</t>
  </si>
  <si>
    <t xml:space="preserve">Common security protocol structure and mechanism and system and method for using </t>
  </si>
  <si>
    <t>US2002196935</t>
  </si>
  <si>
    <t xml:space="preserve">System and method capable of navigating and/or mapping any multi-dimensional space </t>
  </si>
  <si>
    <t>US2011043515</t>
  </si>
  <si>
    <t xml:space="preserve">Adaptive Virtual Intelligent Agent </t>
  </si>
  <si>
    <t>US2015142704</t>
  </si>
  <si>
    <t xml:space="preserve">Voice navigation-based interactive service system and method thereof </t>
  </si>
  <si>
    <t>CN105592148</t>
  </si>
  <si>
    <t xml:space="preserve">Devices for use by deaf and/or blind people </t>
  </si>
  <si>
    <t>US2010109918</t>
  </si>
  <si>
    <t xml:space="preserve">System, method and computer program product for automatic navigation utilizing a supply chain management interface </t>
  </si>
  <si>
    <t>US2003078860</t>
  </si>
  <si>
    <t xml:space="preserve">Procedure for route planning and guiding vehicles. </t>
  </si>
  <si>
    <t>ES2279541</t>
  </si>
  <si>
    <t xml:space="preserve">Bystander interaction during delivery from aerial vehicle </t>
  </si>
  <si>
    <t>US9321531</t>
  </si>
  <si>
    <t xml:space="preserve">System and method for providing infrastructure to enable indoor navigation and special local base services applications indoor malls inside stores shopping centers resort cruise ships and buildings utilize RF beacons, wifi or bluetooth </t>
  </si>
  <si>
    <t>US2015018011</t>
  </si>
  <si>
    <t xml:space="preserve">Garage sales in a geo-spatial social network </t>
  </si>
  <si>
    <t>US2014143061</t>
  </si>
  <si>
    <t xml:space="preserve">Navigation device and computer program </t>
  </si>
  <si>
    <t>JP2004069609</t>
  </si>
  <si>
    <t xml:space="preserve">Adaptive recombinant systems </t>
  </si>
  <si>
    <t>WO2005054982</t>
  </si>
  <si>
    <t xml:space="preserve">Multifunctional electronic glasses </t>
  </si>
  <si>
    <t>CN101819334</t>
  </si>
  <si>
    <t xml:space="preserve">Information indicator </t>
  </si>
  <si>
    <t>JP2003021522</t>
  </si>
  <si>
    <t xml:space="preserve">On-vehicle navigation device, and system and method for providing map data for vehicle </t>
  </si>
  <si>
    <t>JP2000121371</t>
  </si>
  <si>
    <t xml:space="preserve">Augmenting individual and collective human thinking and knowledge navigation and creation </t>
  </si>
  <si>
    <t>WO2008076438</t>
  </si>
  <si>
    <t xml:space="preserve">Image perspective-based micro unmanned aerial vehicle indoor autonomous navigation method </t>
  </si>
  <si>
    <t>CN103925920</t>
  </si>
  <si>
    <t>US2003121040</t>
  </si>
  <si>
    <t xml:space="preserve">Context aware relevance engine with client-driven narrative </t>
  </si>
  <si>
    <t>US2016029155</t>
  </si>
  <si>
    <t>USRE44968</t>
  </si>
  <si>
    <t xml:space="preserve">Pulsar navigation method with single detector </t>
  </si>
  <si>
    <t>CN103017774</t>
  </si>
  <si>
    <t xml:space="preserve">Quasi dynamic route optimization method of vehicle-mounted guiding system for evading delaying risk </t>
  </si>
  <si>
    <t>CN1737502</t>
  </si>
  <si>
    <t xml:space="preserve">Virtual Internet cross-media system </t>
  </si>
  <si>
    <t>CN101127621</t>
  </si>
  <si>
    <t xml:space="preserve">Camera device and method for obtaining information </t>
  </si>
  <si>
    <t>JPH1172348</t>
  </si>
  <si>
    <t xml:space="preserve">Website navigation system and method </t>
  </si>
  <si>
    <t>CN101876978</t>
  </si>
  <si>
    <t>JP2004093422</t>
  </si>
  <si>
    <t>USRE44966</t>
  </si>
  <si>
    <t>USRE44967</t>
  </si>
  <si>
    <t xml:space="preserve">System for guiding vehicles </t>
  </si>
  <si>
    <t>EP1398684</t>
  </si>
  <si>
    <t>CN201834181</t>
  </si>
  <si>
    <t>JP2001304900</t>
  </si>
  <si>
    <t xml:space="preserve">Voice destination navigation realizing method of vehicle mounted GPS </t>
  </si>
  <si>
    <t>CN101158584</t>
  </si>
  <si>
    <t xml:space="preserve">On-vehicle electronic device and navigation method </t>
  </si>
  <si>
    <t>JP2004355055</t>
  </si>
  <si>
    <t xml:space="preserve">Guide route searching method for navigator </t>
  </si>
  <si>
    <t>JP2003121186</t>
  </si>
  <si>
    <t xml:space="preserve">Vehicle navigation system </t>
  </si>
  <si>
    <t>JP4245817</t>
  </si>
  <si>
    <t xml:space="preserve">Route relative information provision system and on-vehicle information communication device </t>
  </si>
  <si>
    <t>JPH10319840</t>
  </si>
  <si>
    <t xml:space="preserve">Marine photo-bioreactor for production of phototropic organisms in tropical or sub-tropical waters </t>
  </si>
  <si>
    <t>DE10322111</t>
  </si>
  <si>
    <t xml:space="preserve">Path guiding device for vehicle </t>
  </si>
  <si>
    <t>JPH1030935</t>
  </si>
  <si>
    <t xml:space="preserve">Portable communication unit with navigation means </t>
  </si>
  <si>
    <t>WO2005024346</t>
  </si>
  <si>
    <t xml:space="preserve">Mapping techniques using probe vehicles </t>
  </si>
  <si>
    <t>US9103671</t>
  </si>
  <si>
    <t>US2007156331</t>
  </si>
  <si>
    <t>JPH1026538</t>
  </si>
  <si>
    <t xml:space="preserve">Navigation server, cellular telephone set, navigation device and navigation method </t>
  </si>
  <si>
    <t>JP2006031398</t>
  </si>
  <si>
    <t xml:space="preserve">Navigation device, map matching method, and map matching program </t>
  </si>
  <si>
    <t>WO2008075438</t>
  </si>
  <si>
    <t xml:space="preserve">Destination estimating system, navigation system, and destination estimating method </t>
  </si>
  <si>
    <t>JP2005156350</t>
  </si>
  <si>
    <t xml:space="preserve">Motor vehicle with a device for influencing the driver's gaze direction </t>
  </si>
  <si>
    <t>DE102010041961</t>
  </si>
  <si>
    <t xml:space="preserve">Route guiding method for on-vehicle navigation device </t>
  </si>
  <si>
    <t>JP2002090167</t>
  </si>
  <si>
    <t>US2016364812</t>
  </si>
  <si>
    <t>US2016364678</t>
  </si>
  <si>
    <t xml:space="preserve">System and method for managing of intelligent parking lot using cart system </t>
  </si>
  <si>
    <t>KR101339183</t>
  </si>
  <si>
    <t xml:space="preserve">Network centric sensor policy manager for ipv4/ipv6 capable wired and wireless networks </t>
  </si>
  <si>
    <t>WO2009079036</t>
  </si>
  <si>
    <t xml:space="preserve">Information terminal device </t>
  </si>
  <si>
    <t>JP2004030469</t>
  </si>
  <si>
    <t xml:space="preserve">Assistance robot for visually impaired </t>
  </si>
  <si>
    <t>KR100857578</t>
  </si>
  <si>
    <t xml:space="preserve">Navigation system, navigation device, and moving device </t>
  </si>
  <si>
    <t>JP2006105731</t>
  </si>
  <si>
    <t xml:space="preserve">Guided movement platforms </t>
  </si>
  <si>
    <t>US9062986</t>
  </si>
  <si>
    <t xml:space="preserve">Cloud computing based portable tourism terminal and service method therefor </t>
  </si>
  <si>
    <t>CN105357627</t>
  </si>
  <si>
    <t>JP2000337903</t>
  </si>
  <si>
    <t xml:space="preserve">Automatic guided vehicle based on map matching and guide method of automatic guided vehicle </t>
  </si>
  <si>
    <t>CN104596533</t>
  </si>
  <si>
    <t xml:space="preserve">Portable intelligent navigation system </t>
  </si>
  <si>
    <t>CN201886731</t>
  </si>
  <si>
    <t>JP2005062044</t>
  </si>
  <si>
    <t xml:space="preserve">Navigator and recording medium for navigation </t>
  </si>
  <si>
    <t>JP2000292184</t>
  </si>
  <si>
    <t xml:space="preserve">Information terminal device and route guiding method </t>
  </si>
  <si>
    <t>JP2001041759</t>
  </si>
  <si>
    <t>US2016364679</t>
  </si>
  <si>
    <t xml:space="preserve">Coordinate mutual converting module </t>
  </si>
  <si>
    <t>EP1640941</t>
  </si>
  <si>
    <t xml:space="preserve">Pedestrian navigation system, route searching server, and potable terminal device </t>
  </si>
  <si>
    <t>JP2007024700</t>
  </si>
  <si>
    <t>JP2002117488</t>
  </si>
  <si>
    <t>JP2001317951</t>
  </si>
  <si>
    <t>KR20110074629</t>
  </si>
  <si>
    <t xml:space="preserve">Navigation system, control method therefor, and program for control </t>
  </si>
  <si>
    <t>JP2007085884</t>
  </si>
  <si>
    <t xml:space="preserve">Navigation apparatus and method of setting search condition </t>
  </si>
  <si>
    <t>JP2007127519</t>
  </si>
  <si>
    <t xml:space="preserve">Navigation device with control surface on touch screen. </t>
  </si>
  <si>
    <t>ES2347060</t>
  </si>
  <si>
    <t>CN102467848</t>
  </si>
  <si>
    <t xml:space="preserve">Scenic spot navigation instrument </t>
  </si>
  <si>
    <t>CN102467859</t>
  </si>
  <si>
    <t xml:space="preserve">Navigation system for vehicle </t>
  </si>
  <si>
    <t>JP2002062151</t>
  </si>
  <si>
    <t xml:space="preserve">Car navigation system having a function of multimedia and method for controlling of the same </t>
  </si>
  <si>
    <t>KR20020060140</t>
  </si>
  <si>
    <t xml:space="preserve">Navigation device and navigation method </t>
  </si>
  <si>
    <t>JP2006031397</t>
  </si>
  <si>
    <t xml:space="preserve">Navigation device, its method, and program </t>
  </si>
  <si>
    <t>JP2006275736</t>
  </si>
  <si>
    <t xml:space="preserve">Unmanned transport apparatus and its method </t>
  </si>
  <si>
    <t>KR20100102815</t>
  </si>
  <si>
    <t xml:space="preserve">Method of assembling a panoramic image, method of providing a virtual 3d projection of a panoramic image and camera therefor </t>
  </si>
  <si>
    <t>KR101458645</t>
  </si>
  <si>
    <t xml:space="preserve">Method for providing Panorama image using Navigation Information </t>
  </si>
  <si>
    <t>KR20020096751</t>
  </si>
  <si>
    <t xml:space="preserve">Procedures to assist in leaving a parking space </t>
  </si>
  <si>
    <t>DE102009046163</t>
  </si>
  <si>
    <t xml:space="preserve">Smart car navigation </t>
  </si>
  <si>
    <t>CN201607231</t>
  </si>
  <si>
    <t xml:space="preserve">Facilities searching method of on-vehicle navigator </t>
  </si>
  <si>
    <t>JPH10288533</t>
  </si>
  <si>
    <t>JP4172636</t>
  </si>
  <si>
    <t xml:space="preserve">A method of operating a trained for at least partially automatic vehicle guiding driver assistance system motor vehicle and </t>
  </si>
  <si>
    <t>DE102014000432</t>
  </si>
  <si>
    <t xml:space="preserve">Navigation apparatus and navigation method </t>
  </si>
  <si>
    <t>JP2017102014</t>
  </si>
  <si>
    <t xml:space="preserve">Vehicle-mounted navigation device </t>
  </si>
  <si>
    <t>JP2006177819</t>
  </si>
  <si>
    <t xml:space="preserve">Path generation device and path generation method </t>
  </si>
  <si>
    <t>JP5106152</t>
  </si>
  <si>
    <t xml:space="preserve">Medium recording navigation device and navigation program </t>
  </si>
  <si>
    <t>JP4320498</t>
  </si>
  <si>
    <t xml:space="preserve">Driver assistance apparatus and control method for the same </t>
  </si>
  <si>
    <t>KR101822896</t>
  </si>
  <si>
    <t>KR101741433</t>
  </si>
  <si>
    <t>JP2012007917</t>
  </si>
  <si>
    <t xml:space="preserve">Voice explanation system used for training workshop </t>
  </si>
  <si>
    <t>CN203192243</t>
  </si>
  <si>
    <t xml:space="preserve">Rotational moulding ship sightseeing platform </t>
  </si>
  <si>
    <t>CN205440796</t>
  </si>
  <si>
    <t xml:space="preserve">For vertical / short takeoff and landing method and apparatus </t>
  </si>
  <si>
    <t>CN104220332</t>
  </si>
  <si>
    <t xml:space="preserve">Method and device for making secure low altitude automatic flight of an aircraft </t>
  </si>
  <si>
    <t>CA2615681</t>
  </si>
  <si>
    <t xml:space="preserve">Browse kinds scenic path planning method based on time and space constraints, device </t>
  </si>
  <si>
    <t>CN105043379</t>
  </si>
  <si>
    <t xml:space="preserve">Systems and methods to control an autonomous mobile robot </t>
  </si>
  <si>
    <t>CN107518830</t>
  </si>
  <si>
    <t xml:space="preserve">Method and arrangement for communicating between vehicles </t>
  </si>
  <si>
    <t>US6720920</t>
  </si>
  <si>
    <t>US6405132</t>
  </si>
  <si>
    <t xml:space="preserve">Method and system for controlling a vehicle </t>
  </si>
  <si>
    <t>US6768944</t>
  </si>
  <si>
    <t xml:space="preserve">Robotic golf caddy apparatus and method </t>
  </si>
  <si>
    <t>US5711388</t>
  </si>
  <si>
    <t xml:space="preserve">Movie advertising playback techniques </t>
  </si>
  <si>
    <t>US8141111</t>
  </si>
  <si>
    <t xml:space="preserve">Systems and methods for analyzing semantic documents over a network </t>
  </si>
  <si>
    <t>US2007208719</t>
  </si>
  <si>
    <t xml:space="preserve">Movie advertising placement optimization based on behavior and content analysis </t>
  </si>
  <si>
    <t>US2007055986</t>
  </si>
  <si>
    <t xml:space="preserve">Content tracking for movie segment bookmarks </t>
  </si>
  <si>
    <t>US2007154190</t>
  </si>
  <si>
    <t xml:space="preserve">Mental Model Elicitation Device (MMED) Methods and Apparatus </t>
  </si>
  <si>
    <t>US2012330869</t>
  </si>
  <si>
    <t xml:space="preserve">Highlight management for fantasy gaming </t>
  </si>
  <si>
    <t>US2009082110</t>
  </si>
  <si>
    <t xml:space="preserve">Methods and systems for neural and cognitive processing </t>
  </si>
  <si>
    <t>US2015339570</t>
  </si>
  <si>
    <t xml:space="preserve">Measuring object's three dimensional surface scanning method, involves executing scanning movement of laser light beam by beam deflecting unit, and utilizing laser light beam for measuring and displaying data of scanning points </t>
  </si>
  <si>
    <t>DE102008039838</t>
  </si>
  <si>
    <t xml:space="preserve">Method and system for an emergency location information service (e-lis) from unmanned aerial vehicles (uav) </t>
  </si>
  <si>
    <t>US2015140954</t>
  </si>
  <si>
    <t xml:space="preserve">Wearable walking guidance device and method for the blind </t>
  </si>
  <si>
    <t>KR100405636</t>
  </si>
  <si>
    <t xml:space="preserve">Physiological biosensor system and method for controlling a vehicle or powered equipment </t>
  </si>
  <si>
    <t>US2014152792</t>
  </si>
  <si>
    <t xml:space="preserve">Auxiliary system for determining position of fork-lift truck in parking space, has unit for coupling and/or fixing position of vehicle, where determined position is corrected by relative positioning of vehicle relative to object </t>
  </si>
  <si>
    <t>DE102007021693</t>
  </si>
  <si>
    <t>US2015309264</t>
  </si>
  <si>
    <t xml:space="preserve">Information processing device, and program </t>
  </si>
  <si>
    <t>WO2007043679</t>
  </si>
  <si>
    <t xml:space="preserve">Emotion data supplying apparatus, psychology analyzer, and method for psychological analysis of telephone user </t>
  </si>
  <si>
    <t>JP2006061632</t>
  </si>
  <si>
    <t xml:space="preserve">Advanced user interface </t>
  </si>
  <si>
    <t>US2015128049</t>
  </si>
  <si>
    <t xml:space="preserve">Robot remote control system </t>
  </si>
  <si>
    <t>JP2005313303</t>
  </si>
  <si>
    <t xml:space="preserve">Autonomous multi-platform robot system </t>
  </si>
  <si>
    <t>CN1399734</t>
  </si>
  <si>
    <t xml:space="preserve">Sound game machine and cellular phone </t>
  </si>
  <si>
    <t>JP2006109966</t>
  </si>
  <si>
    <t xml:space="preserve">System and method for quantitatively evaluating unmanned vehicles </t>
  </si>
  <si>
    <t>CN103234763</t>
  </si>
  <si>
    <t xml:space="preserve">Framework for the evolution of electronic neural assemblies toward directed goals </t>
  </si>
  <si>
    <t>US2011161268</t>
  </si>
  <si>
    <t xml:space="preserve">Cryptic information and behavior generation for competitive environments </t>
  </si>
  <si>
    <t>US7587764</t>
  </si>
  <si>
    <t>WO0146895</t>
  </si>
  <si>
    <t xml:space="preserve">Systems and methods for switching between autonomous and manual operation of a vehicle </t>
  </si>
  <si>
    <t>DE112006002892</t>
  </si>
  <si>
    <t xml:space="preserve">Information classifying device, information classifying method, information classifying program, information classifying system </t>
  </si>
  <si>
    <t>WO2006087854</t>
  </si>
  <si>
    <t xml:space="preserve">Systems and methods for managing recruiting and player allocations within sporting competitions </t>
  </si>
  <si>
    <t>US2008220877</t>
  </si>
  <si>
    <t xml:space="preserve">METHOD AND SYSTEM FOR AN EMERGENCY LOCATION INFORMATION SERVICE (E-LIS) FOR INTERNET OF THINGS (IoT) DEVICES </t>
  </si>
  <si>
    <t>US2017238129</t>
  </si>
  <si>
    <t xml:space="preserve">Method for determining action of robot and robot </t>
  </si>
  <si>
    <t>KR20020026165</t>
  </si>
  <si>
    <t xml:space="preserve">Operation control device </t>
  </si>
  <si>
    <t>JP2003157489</t>
  </si>
  <si>
    <t xml:space="preserve">Smart sport device </t>
  </si>
  <si>
    <t>US9610476</t>
  </si>
  <si>
    <t xml:space="preserve">Generic frontal and side doorway detection with line tracking and vanishing point based verification </t>
  </si>
  <si>
    <t>US10068336</t>
  </si>
  <si>
    <t xml:space="preserve">Shopping Assistant Robot for the Visually Impaired </t>
  </si>
  <si>
    <t>KR101497096</t>
  </si>
  <si>
    <t xml:space="preserve">Self moving method of service robot </t>
  </si>
  <si>
    <t>KR20160000162</t>
  </si>
  <si>
    <t xml:space="preserve">autonomo for damage assessment especially of vehicles and damage assessment procedure Robot. </t>
  </si>
  <si>
    <t>ES2293847</t>
  </si>
  <si>
    <t xml:space="preserve">Airport robot and airport robot system </t>
  </si>
  <si>
    <t>KR20180037855</t>
  </si>
  <si>
    <t xml:space="preserve">Mikroaviatsionnaya robotic system </t>
  </si>
  <si>
    <t>RU6183</t>
  </si>
  <si>
    <t xml:space="preserve">Vision north finding method based on correction of angle of robot </t>
  </si>
  <si>
    <t>CN105844614</t>
  </si>
  <si>
    <t xml:space="preserve">Child-directed learning system integrating cellular communication, education, entertainment, alert and monitoring systems </t>
  </si>
  <si>
    <t>CN103748623</t>
  </si>
  <si>
    <t xml:space="preserve">Robot autonomous charging docking system and method </t>
  </si>
  <si>
    <t>CN104626204</t>
  </si>
  <si>
    <t xml:space="preserve">Carpet drift estimation using differential sensors or visual measurements </t>
  </si>
  <si>
    <t>US9223312</t>
  </si>
  <si>
    <t xml:space="preserve">Method and system for fast precise path planning </t>
  </si>
  <si>
    <t>US2011093191</t>
  </si>
  <si>
    <t xml:space="preserve">Network architecture for synchronized display </t>
  </si>
  <si>
    <t>US2017064498</t>
  </si>
  <si>
    <t xml:space="preserve">Autonomous food and beverage dispensing machine </t>
  </si>
  <si>
    <t>JP2010517875</t>
  </si>
  <si>
    <t xml:space="preserve">Driver training </t>
  </si>
  <si>
    <t>US2017039871</t>
  </si>
  <si>
    <t xml:space="preserve">Method and system for analyzing or resolving ambiguities in image recognition for gesture, emotion, or expression recognition for a human </t>
  </si>
  <si>
    <t>US9063930</t>
  </si>
  <si>
    <t xml:space="preserve">Fluid extrusion space structure system </t>
  </si>
  <si>
    <t>US2013287984</t>
  </si>
  <si>
    <t xml:space="preserve">Intelligent, flexible and automated warehousing system </t>
  </si>
  <si>
    <t>CN204256507</t>
  </si>
  <si>
    <t xml:space="preserve">Autonomous movement device </t>
  </si>
  <si>
    <t>KR101271114</t>
  </si>
  <si>
    <t xml:space="preserve">In-vehicle device, data creating device and data creation program </t>
  </si>
  <si>
    <t>JP2004053251</t>
  </si>
  <si>
    <t xml:space="preserve">Methods using mediation software for rapid health care support over a secured wireless network; methods of composition; and computer program products therefor </t>
  </si>
  <si>
    <t>US9928379</t>
  </si>
  <si>
    <t xml:space="preserve">Device and method for providing information and data recording medium </t>
  </si>
  <si>
    <t>JP2002108934</t>
  </si>
  <si>
    <t xml:space="preserve">Implementation of multi-camera tracking applications using rich color transition curve target sequences </t>
  </si>
  <si>
    <t>US9536322</t>
  </si>
  <si>
    <t xml:space="preserve">Robotic cleaning device </t>
  </si>
  <si>
    <t>US2016298970</t>
  </si>
  <si>
    <t xml:space="preserve">System and method for enhancing recorded radio or television programs with information on world wide web </t>
  </si>
  <si>
    <t>CN1537386</t>
  </si>
  <si>
    <t xml:space="preserve">Method and apparatus for combining three-dimensional position and two-dimensional intensity mapping for localization </t>
  </si>
  <si>
    <t>CN102460074</t>
  </si>
  <si>
    <t xml:space="preserve">Real-time human-machine collaboration using big data driven augmented reality technologies </t>
  </si>
  <si>
    <t>US2016378861</t>
  </si>
  <si>
    <t xml:space="preserve">Method of docking an autonomous robot </t>
  </si>
  <si>
    <t>KR101086092</t>
  </si>
  <si>
    <t xml:space="preserve">Autonomous topological mapping method of medium-large size space using upward single camera </t>
  </si>
  <si>
    <t>KR20130046741</t>
  </si>
  <si>
    <t>JP2004050975</t>
  </si>
  <si>
    <t xml:space="preserve">Autonomously traveling robot and navigation method thereof </t>
  </si>
  <si>
    <t>KR101771643</t>
  </si>
  <si>
    <t xml:space="preserve">Self localization system of robot using landmark </t>
  </si>
  <si>
    <t>KR101234271</t>
  </si>
  <si>
    <t>KR101719404</t>
  </si>
  <si>
    <t xml:space="preserve">robotized system for service in greenhouses. </t>
  </si>
  <si>
    <t>ES2208091</t>
  </si>
  <si>
    <t xml:space="preserve">Third life maintenance mode and longevity quantification traction information exchanging method and implementation thereof </t>
  </si>
  <si>
    <t>CN103793593</t>
  </si>
  <si>
    <t xml:space="preserve">Underwater searching device using camera </t>
  </si>
  <si>
    <t>KR101253767</t>
  </si>
  <si>
    <t xml:space="preserve">Method for detecting invisible obstacle of robot </t>
  </si>
  <si>
    <t>KR100906991</t>
  </si>
  <si>
    <t xml:space="preserve">Method for leading charging of a robot cleaner </t>
  </si>
  <si>
    <t>KR970000583</t>
  </si>
  <si>
    <t xml:space="preserve">Autonomous positioning and navigation device, positioning and navigation method and autonomous positioning and navigation system </t>
  </si>
  <si>
    <t>WO2017097170</t>
  </si>
  <si>
    <t>DE112011104645</t>
  </si>
  <si>
    <t>JP2005517105</t>
  </si>
  <si>
    <t xml:space="preserve">On-vehicle device, data creation apparatus and data creation program </t>
  </si>
  <si>
    <t>JP2004054300</t>
  </si>
  <si>
    <t xml:space="preserve">Guidance robot for airport and method thereof </t>
  </si>
  <si>
    <t>KR20180039439</t>
  </si>
  <si>
    <t xml:space="preserve">Method for controlling robot to move across floors </t>
  </si>
  <si>
    <t>CN108002154</t>
  </si>
  <si>
    <t xml:space="preserve">System and Method for Locating, Identifying and Counting Items </t>
  </si>
  <si>
    <t>US2017286901</t>
  </si>
  <si>
    <t xml:space="preserve">Method for automated control of robotic means via radio link </t>
  </si>
  <si>
    <t>RU2550536</t>
  </si>
  <si>
    <t xml:space="preserve">Variable Positioning of Distributed Body Sensors with Single or Dual Wireless Earpiece System and Method </t>
  </si>
  <si>
    <t>US2018014102</t>
  </si>
  <si>
    <t xml:space="preserve">Systems and methods for virtual agents to help customers and businesses </t>
  </si>
  <si>
    <t>US2017148073</t>
  </si>
  <si>
    <t xml:space="preserve">Construction System for Creating a Customizable Play Surface Composed of Printed Adhesive Tape and Other Accessories for Autonomously Controlled Mobile Agents </t>
  </si>
  <si>
    <t>US2016310858</t>
  </si>
  <si>
    <t xml:space="preserve">Visual-assist robots </t>
  </si>
  <si>
    <t>US2016171303</t>
  </si>
  <si>
    <t xml:space="preserve">Needs-matching navigator system </t>
  </si>
  <si>
    <t>US2017019496</t>
  </si>
  <si>
    <t xml:space="preserve">System and method for producing made-to-order designs on the surface of an extraterrestrial body </t>
  </si>
  <si>
    <t>US2012072054</t>
  </si>
  <si>
    <t xml:space="preserve">Multiple Camera System for Inventory Tracking </t>
  </si>
  <si>
    <t>US2018005176</t>
  </si>
  <si>
    <t xml:space="preserve">Conveyor Inspection With Unmanned Vehicle Carying Sensor Structure </t>
  </si>
  <si>
    <t>US2016152416</t>
  </si>
  <si>
    <t xml:space="preserve">Systems and methods for augmented reality </t>
  </si>
  <si>
    <t>US2018239144</t>
  </si>
  <si>
    <t xml:space="preserve">Autonomous detection system and method of rescue robot in disaster area for complex environment </t>
  </si>
  <si>
    <t>CN107544504</t>
  </si>
  <si>
    <t xml:space="preserve">Intelligent article delivery robot device and control method </t>
  </si>
  <si>
    <t>CN106708047</t>
  </si>
  <si>
    <t xml:space="preserve">Electrical lead cable winding-in and paying-out method for mobile operating device - has electric motor used for rotation of cable drum in paying-out direction, with spring bias for rotation of cable drum in winding-in direction </t>
  </si>
  <si>
    <t>DE10008291</t>
  </si>
  <si>
    <t xml:space="preserve">Discrete type wearable computer </t>
  </si>
  <si>
    <t>US10048724</t>
  </si>
  <si>
    <t xml:space="preserve">Robotic vehicle with tracks and flippers </t>
  </si>
  <si>
    <t>EP2112963</t>
  </si>
  <si>
    <t xml:space="preserve">Unmanned surface vehicle navigation and control teleoperation platform </t>
  </si>
  <si>
    <t>CN106094606</t>
  </si>
  <si>
    <t xml:space="preserve">System and method for providing substantially stable control of a surgical tool </t>
  </si>
  <si>
    <t>US9921712</t>
  </si>
  <si>
    <t xml:space="preserve">Robot monitoring and automatic mobile system operation method based on distributed intelligent monitoring controlling nodes </t>
  </si>
  <si>
    <t>CN103389699</t>
  </si>
  <si>
    <t xml:space="preserve">Bionic robot fish three-dimensional tracking method based on embedded visual guidance </t>
  </si>
  <si>
    <t>CN104881045</t>
  </si>
  <si>
    <t xml:space="preserve">Methods for repurposing temporal-spatial information collected by service robots </t>
  </si>
  <si>
    <t>EP2249999</t>
  </si>
  <si>
    <t xml:space="preserve">System and method for controlling vehicle using neural network </t>
  </si>
  <si>
    <t>US9989964</t>
  </si>
  <si>
    <t>WO2018066836</t>
  </si>
  <si>
    <t xml:space="preserve">Robot system is patrolled and examined to crawler -type garden </t>
  </si>
  <si>
    <t>CN205176581</t>
  </si>
  <si>
    <t xml:space="preserve">System and method for dangerous circumstances detection and sharing </t>
  </si>
  <si>
    <t>JP6235243</t>
  </si>
  <si>
    <t xml:space="preserve">Navigation method and navigation control apparatus using visual virtual fence for mobile robot </t>
  </si>
  <si>
    <t>KR101777019</t>
  </si>
  <si>
    <t xml:space="preserve">Method and system for self-learning and self-improving a semiconductor manufacturing tool </t>
  </si>
  <si>
    <t>KR101755746</t>
  </si>
  <si>
    <t xml:space="preserve">Charging device for robot cleaner </t>
  </si>
  <si>
    <t>KR101759275</t>
  </si>
  <si>
    <t xml:space="preserve">Facial image detection method and facial image detection system </t>
  </si>
  <si>
    <t>DE102005001026</t>
  </si>
  <si>
    <t xml:space="preserve">How to supply energy for PRT vehicles using ropes </t>
  </si>
  <si>
    <t>KR101704144</t>
  </si>
  <si>
    <t xml:space="preserve">Method of feeding chickens </t>
  </si>
  <si>
    <t>JP5963068</t>
  </si>
  <si>
    <t xml:space="preserve">Dust measurement apparatus and robot cleaner included the apparatus </t>
  </si>
  <si>
    <t>KR101697557</t>
  </si>
  <si>
    <t xml:space="preserve">A probabilistic approach to planning biped locomotion with prescibed motions </t>
  </si>
  <si>
    <t>KR100408428</t>
  </si>
  <si>
    <t xml:space="preserve">Robot delivery system and control method of robot moving using the same </t>
  </si>
  <si>
    <t>KR101855861</t>
  </si>
  <si>
    <t xml:space="preserve">Traveling body device </t>
  </si>
  <si>
    <t>KR101771869</t>
  </si>
  <si>
    <t xml:space="preserve">Vehicle device and data creation device </t>
  </si>
  <si>
    <t>JP4449446</t>
  </si>
  <si>
    <t xml:space="preserve">Environmental measurement robot </t>
  </si>
  <si>
    <t>JP6292526</t>
  </si>
  <si>
    <t xml:space="preserve">Automatic parking system for autonomous vehicle and method for controlling thereof </t>
  </si>
  <si>
    <t>KR101711797</t>
  </si>
  <si>
    <t xml:space="preserve">Electric cleaner </t>
  </si>
  <si>
    <t>KR101855055</t>
  </si>
  <si>
    <t xml:space="preserve">Charging stating for robot cleaner </t>
  </si>
  <si>
    <t>KR101897730</t>
  </si>
  <si>
    <t>KR101783890</t>
  </si>
  <si>
    <t>JP5560333</t>
  </si>
  <si>
    <t xml:space="preserve">System and method of navigating the travel of an autonomous vechicle </t>
  </si>
  <si>
    <t>KR920010578</t>
  </si>
  <si>
    <t xml:space="preserve">Energy provides station </t>
  </si>
  <si>
    <t>JP6390022</t>
  </si>
  <si>
    <t xml:space="preserve">Device for determination and marking of a territory with chemical and radioactive influence </t>
  </si>
  <si>
    <t>RU2661295</t>
  </si>
  <si>
    <t xml:space="preserve">Replenishment and order fulfillment system </t>
  </si>
  <si>
    <t>KR101720704</t>
  </si>
  <si>
    <t xml:space="preserve">Intelligent vehicle navigation system and method based on perception and autonomous calculation positioning navigation </t>
  </si>
  <si>
    <t>CN106325270</t>
  </si>
  <si>
    <t xml:space="preserve">Methods and apparatus for autonomous robotic control </t>
  </si>
  <si>
    <t>KR20170036657</t>
  </si>
  <si>
    <t>KR20180103528</t>
  </si>
  <si>
    <t xml:space="preserve">Modular hotel carrying robot system </t>
  </si>
  <si>
    <t>CN107421544</t>
  </si>
  <si>
    <t xml:space="preserve">Market shopping guide robot </t>
  </si>
  <si>
    <t>CN106314494</t>
  </si>
  <si>
    <t xml:space="preserve">Computer system in which a received signal-reaction of the computer system of artificial intelligence of a cyborg or an android, an association of the computer system of artificial intelligence of a cyborg or an android, a thought of the computer system of artificial intelligence of a cyborg or an android are substantiated and the working method of this computer system of artificial intelligence of a cyborg or an android </t>
  </si>
  <si>
    <t>US2010228695</t>
  </si>
  <si>
    <t xml:space="preserve">Airport robot and operation method therefor </t>
  </si>
  <si>
    <t>WO2018066816</t>
  </si>
  <si>
    <t xml:space="preserve">A System and Method for positioning of autonomous navigational Smart Robot </t>
  </si>
  <si>
    <t>KR20160084519</t>
  </si>
  <si>
    <t xml:space="preserve">Robot for airport and method thereof </t>
  </si>
  <si>
    <t>KR20180039378</t>
  </si>
  <si>
    <t>WO2005084155</t>
  </si>
  <si>
    <t xml:space="preserve">Relocating method and apparatus of indoor robot </t>
  </si>
  <si>
    <t>CN106092104</t>
  </si>
  <si>
    <t xml:space="preserve">The autonomous mobile robot to the provision of beverages: </t>
  </si>
  <si>
    <t>DE102017124290</t>
  </si>
  <si>
    <t xml:space="preserve">Airport robot and computer readable recording medium of performing operating method of thereof </t>
  </si>
  <si>
    <t>KR20180038671</t>
  </si>
  <si>
    <t xml:space="preserve">Kinds of service robots manned mall </t>
  </si>
  <si>
    <t>CN108608436</t>
  </si>
  <si>
    <t xml:space="preserve">Kind of robot-based Pipe Gallery inspection systems and interactive system </t>
  </si>
  <si>
    <t>CN108356818</t>
  </si>
  <si>
    <t xml:space="preserve">Movement control method for teaching position of robot </t>
  </si>
  <si>
    <t>WO9806015</t>
  </si>
  <si>
    <t xml:space="preserve">An electronic device for navigation guide and method for controlling the electronic device thereof </t>
  </si>
  <si>
    <t>KR20180072525</t>
  </si>
  <si>
    <t xml:space="preserve">Autonomous charging system and operating method thereof </t>
  </si>
  <si>
    <t>CN106899057</t>
  </si>
  <si>
    <t xml:space="preserve">One kind of unmanned underwater robot onboard mixing system </t>
  </si>
  <si>
    <t>CN105329418</t>
  </si>
  <si>
    <t xml:space="preserve">Ros kinds of service robots and interactive navigation based on voice </t>
  </si>
  <si>
    <t>CN108592936</t>
  </si>
  <si>
    <t xml:space="preserve">Two-core and six-axis caterpillar type natural gas pipeline robot control system </t>
  </si>
  <si>
    <t>CN105922263</t>
  </si>
  <si>
    <t xml:space="preserve">Robotic golf caddy </t>
  </si>
  <si>
    <t>KR20180093893</t>
  </si>
  <si>
    <t xml:space="preserve">Three-core six-shaft crawler type high speed natural gas pipeline robot control system </t>
  </si>
  <si>
    <t>CN106078735</t>
  </si>
  <si>
    <t xml:space="preserve">Autonomous vehicle safety systems and methods </t>
  </si>
  <si>
    <t>CN107949504</t>
  </si>
  <si>
    <t xml:space="preserve">autonomous flight system with laser. </t>
  </si>
  <si>
    <t>ES2335632</t>
  </si>
  <si>
    <t xml:space="preserve">Wireless transmission triple-core eight-axis crawler-type high-speed natural gas pipeline robot control system </t>
  </si>
  <si>
    <t>CN106094617</t>
  </si>
  <si>
    <t xml:space="preserve">Control system of wireless transmission two-core four-shaft crawler-type natural gas pipeline robot </t>
  </si>
  <si>
    <t>CN106078734</t>
  </si>
  <si>
    <t xml:space="preserve">Wireless transmission two-core six-axis crawler type natural gas pipeline robot control system </t>
  </si>
  <si>
    <t>CN105856235</t>
  </si>
  <si>
    <t xml:space="preserve">Charging apparatus for electric vehicle and charging control method for electric vehicle </t>
  </si>
  <si>
    <t>WO2018079970</t>
  </si>
  <si>
    <t xml:space="preserve">Distributed security system using position tracking </t>
  </si>
  <si>
    <t>WO2018102280</t>
  </si>
  <si>
    <t xml:space="preserve">Wireless transmission three-kernel four-shaft crawler type high-speed natural gas pipeline robot control system </t>
  </si>
  <si>
    <t>CN105856237</t>
  </si>
  <si>
    <t xml:space="preserve">Mobile sensor platform </t>
  </si>
  <si>
    <t>KR20180040092</t>
  </si>
  <si>
    <t xml:space="preserve">Device and method for estimating information about a lane </t>
  </si>
  <si>
    <t>KR20180074568</t>
  </si>
  <si>
    <t xml:space="preserve">Game Robot </t>
  </si>
  <si>
    <t>KR20180051593</t>
  </si>
  <si>
    <t xml:space="preserve">Method for estimating lane information, and electronic device </t>
  </si>
  <si>
    <t>WO2018117538</t>
  </si>
  <si>
    <t xml:space="preserve">The warehouse automation systems and how to use the motor-driven cart </t>
  </si>
  <si>
    <t>KR20180091042</t>
  </si>
  <si>
    <t xml:space="preserve">Apparatus and method for autonomous recovery of motor control in neuromotor Injury </t>
  </si>
  <si>
    <t>CN104363955</t>
  </si>
  <si>
    <t xml:space="preserve">Service providing method and device, mobile service apparatus, and storage medium </t>
  </si>
  <si>
    <t>WO2018121283</t>
  </si>
  <si>
    <t xml:space="preserve">Service Station for Mobile Robots </t>
  </si>
  <si>
    <t>DE102017109882</t>
  </si>
  <si>
    <t xml:space="preserve">Improved walking robot </t>
  </si>
  <si>
    <t>WO2014174487</t>
  </si>
  <si>
    <t xml:space="preserve">Robotic manipulation methods and systems for executing a domain-specific application in an instrumented environment with containers and electronic minimanipulation libraries </t>
  </si>
  <si>
    <t>US2017348854</t>
  </si>
  <si>
    <t xml:space="preserve">Surgical manipulator capable of controlling a surgical instrument in multiple modes </t>
  </si>
  <si>
    <t>KR20150127129</t>
  </si>
  <si>
    <t>KR20180038885</t>
  </si>
  <si>
    <t xml:space="preserve">Method and apparatus to automate and vibrated robotizar the trunks of trees planted in grid, for the demolition of fruit at harvest. </t>
  </si>
  <si>
    <t>ES2547264</t>
  </si>
  <si>
    <t xml:space="preserve">And a robotic walking assist walking assistance method </t>
  </si>
  <si>
    <t>CN108618940</t>
  </si>
  <si>
    <t xml:space="preserve">Systems and methods for uav battery power backup </t>
  </si>
  <si>
    <t>CN105981258</t>
  </si>
  <si>
    <t xml:space="preserve">From main charge system </t>
  </si>
  <si>
    <t>CN206697954</t>
  </si>
  <si>
    <t xml:space="preserve">Independently receive and dispatch goods robot </t>
  </si>
  <si>
    <t>CN206960959</t>
  </si>
  <si>
    <t xml:space="preserve">Mobile and modular robot platform with several means of locomotion for making advanced movements in three dimensions </t>
  </si>
  <si>
    <t>CA2412815</t>
  </si>
  <si>
    <t>CN105593842</t>
  </si>
  <si>
    <t>KR20180039379</t>
  </si>
  <si>
    <t xml:space="preserve">Future Work Experience Theme Park Tailored Service System </t>
  </si>
  <si>
    <t>KR20170006233</t>
  </si>
  <si>
    <t xml:space="preserve">Cleaning robot and controlling method thereof </t>
  </si>
  <si>
    <t>KR20170047850</t>
  </si>
  <si>
    <t xml:space="preserve">Robot is tourd to agricultural with navigation obstacle avoidance function </t>
  </si>
  <si>
    <t>CN207139809</t>
  </si>
  <si>
    <t xml:space="preserve">Interactive telepresence system </t>
  </si>
  <si>
    <t>WO2017134611</t>
  </si>
  <si>
    <t xml:space="preserve">An assembly and method for feeding and milking animals. </t>
  </si>
  <si>
    <t>ES2323061</t>
  </si>
  <si>
    <t>KR20180080657</t>
  </si>
  <si>
    <t xml:space="preserve">Wireless-transmission three-nuclear six-axis crawler-type high speed natural gas pipeline robot control system </t>
  </si>
  <si>
    <t>CN105911916</t>
  </si>
  <si>
    <t xml:space="preserve">Assistance system navigation blind or visually impaired </t>
  </si>
  <si>
    <t>ES2447641</t>
  </si>
  <si>
    <t xml:space="preserve">Mother daughter tube carrier for aliquoters </t>
  </si>
  <si>
    <t>US2017045545</t>
  </si>
  <si>
    <t xml:space="preserve">It robot parking lot </t>
  </si>
  <si>
    <t>JP2002309794</t>
  </si>
  <si>
    <t xml:space="preserve">A system and method for controlling a surgical tool during voluntary movement of surgical tools </t>
  </si>
  <si>
    <t>KR20170136515</t>
  </si>
  <si>
    <t>JP2018020139</t>
  </si>
  <si>
    <t xml:space="preserve">Robotics driven radiological scanning systems and methods </t>
  </si>
  <si>
    <t>WO2017172641</t>
  </si>
  <si>
    <t xml:space="preserve">Content validation and coding for search engine optimization </t>
  </si>
  <si>
    <t>WO2018106974</t>
  </si>
  <si>
    <t xml:space="preserve">Method for controlling of robot purifier using a life pattern </t>
  </si>
  <si>
    <t>KR20180080403</t>
  </si>
  <si>
    <t xml:space="preserve">Method and Apparatus for Voice Recognition </t>
  </si>
  <si>
    <t>KR20180069660</t>
  </si>
  <si>
    <t>WO2016011159</t>
  </si>
  <si>
    <t xml:space="preserve">Placement of the pin in an active robot TKA </t>
  </si>
  <si>
    <t>KR20180075563</t>
  </si>
  <si>
    <t xml:space="preserve">Autonomous biologically based learning tool </t>
  </si>
  <si>
    <t>CN103295065</t>
  </si>
  <si>
    <t xml:space="preserve">Systems and methods for robotic surgery </t>
  </si>
  <si>
    <t>KR20150039801</t>
  </si>
  <si>
    <t xml:space="preserve">Escalation to a human operator </t>
  </si>
  <si>
    <t>CN107493400</t>
  </si>
  <si>
    <t>WO2017200353</t>
  </si>
  <si>
    <t xml:space="preserve">Mobile robot and method for controlling the same </t>
  </si>
  <si>
    <t>KR20170107341</t>
  </si>
  <si>
    <t xml:space="preserve">Amphibious unmanned ship </t>
  </si>
  <si>
    <t>CN207291544</t>
  </si>
  <si>
    <t xml:space="preserve">submarine and mobile generator renewable energy </t>
  </si>
  <si>
    <t>ES2364391</t>
  </si>
  <si>
    <t xml:space="preserve">Robot cleaner system including charging station </t>
  </si>
  <si>
    <t>WO2018124546</t>
  </si>
  <si>
    <t xml:space="preserve">Indoor path planning and navigation method of mobile device </t>
  </si>
  <si>
    <t>CN106292697</t>
  </si>
  <si>
    <t xml:space="preserve">Bionic intelligent robot for toddler education </t>
  </si>
  <si>
    <t>CN106695839</t>
  </si>
  <si>
    <t xml:space="preserve">robotico floor cleaning device. </t>
  </si>
  <si>
    <t>ES2197105</t>
  </si>
  <si>
    <t xml:space="preserve">Assistant robot for airport and operation method thereof </t>
  </si>
  <si>
    <t>WO2018070664</t>
  </si>
  <si>
    <t xml:space="preserve">Method for controlling of robot purifier using heat sensing </t>
  </si>
  <si>
    <t>KR20180080405</t>
  </si>
  <si>
    <t xml:space="preserve">Mobile Robot And Method Thereof </t>
  </si>
  <si>
    <t>KR20170061373</t>
  </si>
  <si>
    <t xml:space="preserve">Information processing device, information processing method, and program </t>
  </si>
  <si>
    <t>WO2017099037</t>
  </si>
  <si>
    <t>WO2018183812</t>
  </si>
  <si>
    <t xml:space="preserve">Vehicle-mounted device, automobile, information providing system, vehicle-mounted device program, and automobile program </t>
  </si>
  <si>
    <t>WO2018020604</t>
  </si>
  <si>
    <t xml:space="preserve">Three-core two-axis crawler-type high-speed natural gas pipeline robot control system </t>
  </si>
  <si>
    <t>CN105856234</t>
  </si>
  <si>
    <t xml:space="preserve">System and method for analyzing motor skills as well as skills enhancement and tips </t>
  </si>
  <si>
    <t>CN108463271</t>
  </si>
  <si>
    <t xml:space="preserve">Unmanned aerial vehicle tunnel inspection system based on BIM technology </t>
  </si>
  <si>
    <t>CN106441286</t>
  </si>
  <si>
    <t xml:space="preserve">System and method for modifying the biological mechanism of vestibular </t>
  </si>
  <si>
    <t>JP2007518469</t>
  </si>
  <si>
    <t xml:space="preserve">Communication system and method based on virtual reality. </t>
  </si>
  <si>
    <t>ES2231035</t>
  </si>
  <si>
    <t xml:space="preserve">Concept for localizing a position on a path. </t>
  </si>
  <si>
    <t>ES2348855</t>
  </si>
  <si>
    <t xml:space="preserve">Three-core four-shaft crawler type high speed natural gas pipeline robot control system </t>
  </si>
  <si>
    <t>CN105881537</t>
  </si>
  <si>
    <t xml:space="preserve">Three-core four-axis crawler rapid natural gas pipeline robot control system </t>
  </si>
  <si>
    <t>CN105922259</t>
  </si>
  <si>
    <t xml:space="preserve">Laser scanner with real-time, online ego-motion estimation </t>
  </si>
  <si>
    <t>WO2018140701</t>
  </si>
  <si>
    <t xml:space="preserve">An improved beacon location for a standalone device. </t>
  </si>
  <si>
    <t>FR2720838</t>
  </si>
  <si>
    <t xml:space="preserve">Three-core two-shaft crawler type rapid natural gas pipeline robot control system </t>
  </si>
  <si>
    <t>CN105953026</t>
  </si>
  <si>
    <t>WO2017173141</t>
  </si>
  <si>
    <t xml:space="preserve">Two-core two-axis crawler rapid natural gas pipeline robot control system </t>
  </si>
  <si>
    <t>CN105922260</t>
  </si>
  <si>
    <t xml:space="preserve">Construction System for Creating Autonomous Control System Stimuli and a Complete Deterministic Operational Environment for Mobile Agents Using Printed Adhesive Tape and Other Accessories </t>
  </si>
  <si>
    <t>US2018104609</t>
  </si>
  <si>
    <t xml:space="preserve">Assist Robot System </t>
  </si>
  <si>
    <t>KR20180083342</t>
  </si>
  <si>
    <t>KR20170043001</t>
  </si>
  <si>
    <t xml:space="preserve">Three-core six-shaft crawler type rapid natural gas pipeline robot control system </t>
  </si>
  <si>
    <t>CN105881538</t>
  </si>
  <si>
    <t xml:space="preserve">Indicator for a robotic machine. </t>
  </si>
  <si>
    <t>ES2208329</t>
  </si>
  <si>
    <t xml:space="preserve">autonomous robot </t>
  </si>
  <si>
    <t>DE60118317</t>
  </si>
  <si>
    <t xml:space="preserve">Breach intercepting stop lever device and breach plugging method </t>
  </si>
  <si>
    <t>CN108221853</t>
  </si>
  <si>
    <t xml:space="preserve">Three-core eight-axle tracked high-speed natural gas pipeline robot control system </t>
  </si>
  <si>
    <t>CN105856239</t>
  </si>
  <si>
    <t xml:space="preserve">Inspection robot navigation system and method based on RTK Beidou and laser radar </t>
  </si>
  <si>
    <t>CN107817509</t>
  </si>
  <si>
    <t xml:space="preserve">Dual-core eight-axis wireless transmission crawler type natural gas pipeline robot control system </t>
  </si>
  <si>
    <t>CN105881539</t>
  </si>
  <si>
    <t>CN100483388</t>
  </si>
  <si>
    <t xml:space="preserve">Dual-core eight-axis crawler-type natural gas pipeline robot control system </t>
  </si>
  <si>
    <t>CN106051378</t>
  </si>
  <si>
    <t xml:space="preserve">Electronic apparatus and operating method thereof </t>
  </si>
  <si>
    <t>US2017351900</t>
  </si>
  <si>
    <t xml:space="preserve">Merchandise purchase support system, cart, merchandise purchase support robot and control program </t>
  </si>
  <si>
    <t>JP2009059288</t>
  </si>
  <si>
    <t xml:space="preserve">Driving in convoy </t>
  </si>
  <si>
    <t>ES2673851</t>
  </si>
  <si>
    <t xml:space="preserve">Voice and connection platform </t>
  </si>
  <si>
    <t>KR20170070094</t>
  </si>
  <si>
    <t xml:space="preserve">Communicaiton management and communicating between a mobile communication device and anotehr device </t>
  </si>
  <si>
    <t>US2017302778</t>
  </si>
  <si>
    <t xml:space="preserve">System of legged robots </t>
  </si>
  <si>
    <t>FR2512410</t>
  </si>
  <si>
    <t xml:space="preserve">Self-contained ground maintenance respectful with the environment. </t>
  </si>
  <si>
    <t>ES2258227</t>
  </si>
  <si>
    <t xml:space="preserve">A method for data fusion of a data set corresponding computing unit, and which vehicle is equipped with a corresponding processing unit and computer program </t>
  </si>
  <si>
    <t>DE102017108130</t>
  </si>
  <si>
    <t xml:space="preserve">Active safety systems for implementing the autonomous vehicle system </t>
  </si>
  <si>
    <t>CN108292356</t>
  </si>
  <si>
    <t xml:space="preserve">Wireless transmission four-core and eight-axis crawler belt type rapid natural gas pipeline robot control system </t>
  </si>
  <si>
    <t>CN105922264</t>
  </si>
  <si>
    <t xml:space="preserve">System of a robot cleaning device </t>
  </si>
  <si>
    <t>KR20180048705</t>
  </si>
  <si>
    <t xml:space="preserve">Electronic device and screen control method for processing user input by using same </t>
  </si>
  <si>
    <t>WO2018182270</t>
  </si>
  <si>
    <t xml:space="preserve">Stable tracking control method for four-rotor unmanned plane based on instruction filtering backstepping method </t>
  </si>
  <si>
    <t>CN108121354</t>
  </si>
  <si>
    <t xml:space="preserve">Soil cultivation device with a plurality of driven working elements </t>
  </si>
  <si>
    <t>DE102017106419</t>
  </si>
  <si>
    <t xml:space="preserve">Uav panoramic imaging </t>
  </si>
  <si>
    <t>CN106029501</t>
  </si>
  <si>
    <t xml:space="preserve">Robotic device and systems for image-gruided and robot-assisted surgery </t>
  </si>
  <si>
    <t>KR20150058250</t>
  </si>
  <si>
    <t xml:space="preserve">Adaptive, interactive, and cognitive reasoner of an autonomous robotic system </t>
  </si>
  <si>
    <t>WO2018187712</t>
  </si>
  <si>
    <t xml:space="preserve">Intelligent robot front desk application system and method </t>
  </si>
  <si>
    <t>CN107598934</t>
  </si>
  <si>
    <t xml:space="preserve">Intelligence express delivery robot </t>
  </si>
  <si>
    <t>CN207344608</t>
  </si>
  <si>
    <t xml:space="preserve">Reverse drive robot based searching method, and a computer-readable storage medium </t>
  </si>
  <si>
    <t>CN108255181</t>
  </si>
  <si>
    <t>JP2018120524</t>
  </si>
  <si>
    <t xml:space="preserve">Wheelchair and method for correcting the guidance of a wheelchair </t>
  </si>
  <si>
    <t>WO2009141461</t>
  </si>
  <si>
    <t xml:space="preserve">Assembly and method for feeding and milking animals. </t>
  </si>
  <si>
    <t>ES2324036</t>
  </si>
  <si>
    <t xml:space="preserve">Robot for guidance </t>
  </si>
  <si>
    <t>JP2016024766</t>
  </si>
  <si>
    <t xml:space="preserve">Apparatus and Method for a vehicle platform </t>
  </si>
  <si>
    <t>KR20180004030</t>
  </si>
  <si>
    <t xml:space="preserve">Cloud intelligent blind guiding robot </t>
  </si>
  <si>
    <t>CN105232297</t>
  </si>
  <si>
    <t xml:space="preserve">Electronic device, method for determining utterance intention of user thereof, and non-transitory computer-readable recording medium </t>
  </si>
  <si>
    <t>WO2018117608</t>
  </si>
  <si>
    <t xml:space="preserve">Robot navigation using rfid shortest path and its driving method </t>
  </si>
  <si>
    <t>KR20130122231</t>
  </si>
  <si>
    <t xml:space="preserve">Electronic apparatus, method for determining user utterance intention of thereof, and non-transitory computer readable recording medium </t>
  </si>
  <si>
    <t>KR20180071931</t>
  </si>
  <si>
    <t xml:space="preserve">Control system for elevator guidance robot </t>
  </si>
  <si>
    <t>JP2008162758</t>
  </si>
  <si>
    <t xml:space="preserve">Device and method for providing response message to voice input of user </t>
  </si>
  <si>
    <t>WO2018093110</t>
  </si>
  <si>
    <t xml:space="preserve">Cognitive cell with coded chemicals for generating outputs from environmental inputs and method of using same </t>
  </si>
  <si>
    <t>WO2018009770</t>
  </si>
  <si>
    <t xml:space="preserve">Four-core six-axis wireless-transmission track type rapid natural gas pipeline robot control system </t>
  </si>
  <si>
    <t>CN105856238</t>
  </si>
  <si>
    <t xml:space="preserve">Visible light communication system for transmitting data between visual tracking systems and tracking markers </t>
  </si>
  <si>
    <t>KR20170087878</t>
  </si>
  <si>
    <t xml:space="preserve">Vaccum cleaner. </t>
  </si>
  <si>
    <t>ES2205917</t>
  </si>
  <si>
    <t xml:space="preserve">Apparatus and system for providing a secondary power source for electric vehicles </t>
  </si>
  <si>
    <t>KR20170102255</t>
  </si>
  <si>
    <t xml:space="preserve">Method for processing language information and electronic device therefor </t>
  </si>
  <si>
    <t>WO2018169276</t>
  </si>
  <si>
    <t xml:space="preserve">method for guiding a user of a motor vehicle, corresponding system and motor vehicle </t>
  </si>
  <si>
    <t>FR3011923</t>
  </si>
  <si>
    <t xml:space="preserve">Mobile robot and method thereof </t>
  </si>
  <si>
    <t>KR20170061355</t>
  </si>
  <si>
    <t xml:space="preserve">Apparatus for localization of mobile robot and method thereof </t>
  </si>
  <si>
    <t>KR20170034069</t>
  </si>
  <si>
    <t>KR20180080874</t>
  </si>
  <si>
    <t xml:space="preserve">Electronic apparatus, method for providing guide ui of thereof, and non-transitory computer readable recording medium </t>
  </si>
  <si>
    <t>KR20180068850</t>
  </si>
  <si>
    <t xml:space="preserve">System for establishing virtual constraint boundaries </t>
  </si>
  <si>
    <t>KR20150127031</t>
  </si>
  <si>
    <t xml:space="preserve">Using visual and distance sensor data to achieve fast and reliable contact time estimation system and method for autonomous navigation of </t>
  </si>
  <si>
    <t>CN108475058</t>
  </si>
  <si>
    <t xml:space="preserve">Control system, operation determining apparatus, device, control method, and control program </t>
  </si>
  <si>
    <t>WO2017057601</t>
  </si>
  <si>
    <t xml:space="preserve">Wireless transmission four-kernel four-shaft crawler type rapid natural gas pipeline robot control system </t>
  </si>
  <si>
    <t>CN105856236</t>
  </si>
  <si>
    <t xml:space="preserve">Coverage robot mobility </t>
  </si>
  <si>
    <t>KR20080072961</t>
  </si>
  <si>
    <t xml:space="preserve">Remote controlled or self guided traveling object's i.e. vehicle, navigation determining method, involves searching viable trajectories which prohibit obstacle, while reaching target, and selecting and following effective trajectory </t>
  </si>
  <si>
    <t>FR2912234</t>
  </si>
  <si>
    <t xml:space="preserve">Peace retained reclamation construction machinery processing unit which is equipped with </t>
  </si>
  <si>
    <t>KR20140005836</t>
  </si>
  <si>
    <t xml:space="preserve">Home appliance for performing information registration, and Method for performing information registration of home appliance </t>
  </si>
  <si>
    <t>KR20180083787</t>
  </si>
  <si>
    <t xml:space="preserve">Household electrical appliance for registering information and method for registering information relating to household electrical appliance </t>
  </si>
  <si>
    <t>WO2018131920</t>
  </si>
  <si>
    <t>CA2328887</t>
  </si>
  <si>
    <t xml:space="preserve">High-precision time of flight measurement system </t>
  </si>
  <si>
    <t>KR20180044257</t>
  </si>
  <si>
    <t xml:space="preserve">A detector for optical detection of at least one object </t>
  </si>
  <si>
    <t>KR20170139626</t>
  </si>
  <si>
    <t xml:space="preserve">Electronic device and method of executing function of electronic device </t>
  </si>
  <si>
    <t>WO2018182202</t>
  </si>
  <si>
    <t xml:space="preserve">Method and system for use of navigation history in a voice command platform </t>
  </si>
  <si>
    <t>US7050976</t>
  </si>
  <si>
    <t xml:space="preserve">System and method for building and delivering mobile widgets </t>
  </si>
  <si>
    <t>US8595186</t>
  </si>
  <si>
    <t xml:space="preserve">Advanced information gathering for targeted activities </t>
  </si>
  <si>
    <t>US6845370</t>
  </si>
  <si>
    <t xml:space="preserve">System, method and article of manufacture for creating a filtered information summary based on multiple profiles of each single user </t>
  </si>
  <si>
    <t>US6202062</t>
  </si>
  <si>
    <t xml:space="preserve">Voice interactive web-based agent system responsive to a user location for prioritizing and formatting information </t>
  </si>
  <si>
    <t>US6446076</t>
  </si>
  <si>
    <t xml:space="preserve">System, method and article of manufacture for advanced mobile bargain shopping </t>
  </si>
  <si>
    <t>US6134548</t>
  </si>
  <si>
    <t xml:space="preserve">System, method and article of manufacture for a tuned user application experience </t>
  </si>
  <si>
    <t>US6195651</t>
  </si>
  <si>
    <t xml:space="preserve">Sharing a centralized profile </t>
  </si>
  <si>
    <t>US7076504</t>
  </si>
  <si>
    <t xml:space="preserve">Synchronization in an automated scripting framework </t>
  </si>
  <si>
    <t>US7437614</t>
  </si>
  <si>
    <t>US7133862</t>
  </si>
  <si>
    <t xml:space="preserve">Providing an integrated service assurance environment for a network </t>
  </si>
  <si>
    <t>US6571285</t>
  </si>
  <si>
    <t xml:space="preserve">System method and article of manufacture for dynamically user-generated internet search directory based on prioritized server-sided user bookmarks </t>
  </si>
  <si>
    <t>US6546393</t>
  </si>
  <si>
    <t xml:space="preserve">System, method and computer program product for contract consistency in a supply chain management framework </t>
  </si>
  <si>
    <t>US7039606</t>
  </si>
  <si>
    <t xml:space="preserve">Method and system for enhanced response to voice commands in a voice command platform </t>
  </si>
  <si>
    <t>US6985865</t>
  </si>
  <si>
    <t xml:space="preserve">System, method and computer program product for error checking in a supply chain management framework </t>
  </si>
  <si>
    <t>US7072843</t>
  </si>
  <si>
    <t xml:space="preserve">Controlling data collection, manipulation and storage on a network with service assurance capabilities </t>
  </si>
  <si>
    <t>US6985901</t>
  </si>
  <si>
    <t xml:space="preserve">Mobile communication and computing system and method </t>
  </si>
  <si>
    <t>US6401085</t>
  </si>
  <si>
    <t xml:space="preserve">System, method and article of manufacture for a mobile communication network utilizing a distributed communication network </t>
  </si>
  <si>
    <t>US6199099</t>
  </si>
  <si>
    <t xml:space="preserve">Transaction dispatcher for a passenger entertainment system, method and article of manufacture </t>
  </si>
  <si>
    <t>US6813777</t>
  </si>
  <si>
    <t xml:space="preserve">System, method and article of manufacture for remote unlocking of local content located on a client device </t>
  </si>
  <si>
    <t>US6529949</t>
  </si>
  <si>
    <t xml:space="preserve">System, method and computer program product for order confirmation in a supply chain management framework </t>
  </si>
  <si>
    <t>US6954736</t>
  </si>
  <si>
    <t xml:space="preserve">Method and arrangement for mapping a road </t>
  </si>
  <si>
    <t>US6526352</t>
  </si>
  <si>
    <t xml:space="preserve">System, method and article of manufacture for a user programmable diary interface link </t>
  </si>
  <si>
    <t>US6892196</t>
  </si>
  <si>
    <t xml:space="preserve">System method and article of manufacture for detecting emotion in voice signals by utilizing statistics for voice signal parameters </t>
  </si>
  <si>
    <t>US6275806</t>
  </si>
  <si>
    <t xml:space="preserve">On demand voice mail recording system </t>
  </si>
  <si>
    <t>US7769364</t>
  </si>
  <si>
    <t xml:space="preserve">System and method for an application provider framework </t>
  </si>
  <si>
    <t>US6904449</t>
  </si>
  <si>
    <t xml:space="preserve">Adaptive agent-oriented software architecture </t>
  </si>
  <si>
    <t>US6144989</t>
  </si>
  <si>
    <t xml:space="preserve">Visual and interactive wrapper generation, automated information extraction from Web pages, and translation into XML </t>
  </si>
  <si>
    <t>US7581170</t>
  </si>
  <si>
    <t xml:space="preserve">Method and system for consolidated message notification in a voice command platform </t>
  </si>
  <si>
    <t>US7436939</t>
  </si>
  <si>
    <t xml:space="preserve">Method and system for dynamic control over modes of operation of voice-processing in a voice command platform </t>
  </si>
  <si>
    <t>US7117159</t>
  </si>
  <si>
    <t xml:space="preserve">Method and system for bookmarking navigation points in a voice command title platform </t>
  </si>
  <si>
    <t>US7313525</t>
  </si>
  <si>
    <t xml:space="preserve">Voice recognition system for navigating on the internet </t>
  </si>
  <si>
    <t>US7590538</t>
  </si>
  <si>
    <t xml:space="preserve">Method and system for providing intelligent network content delivery </t>
  </si>
  <si>
    <t>US2003149581</t>
  </si>
  <si>
    <t xml:space="preserve">A personalized product report </t>
  </si>
  <si>
    <t>US2002035501</t>
  </si>
  <si>
    <t xml:space="preserve">Affinity Propagation in Adaptive Network-Based Systems </t>
  </si>
  <si>
    <t>US2007203872</t>
  </si>
  <si>
    <t xml:space="preserve">System, method and computer program product for benchmarking in a supply chain management framework </t>
  </si>
  <si>
    <t>US2003018513</t>
  </si>
  <si>
    <t xml:space="preserve">System, method and computer program product for distributor/supplier selection in a supply chain management framework </t>
  </si>
  <si>
    <t>US2003069774</t>
  </si>
  <si>
    <t>US2005027851</t>
  </si>
  <si>
    <t xml:space="preserve">Device, system, and method of adaptive teaching and learning </t>
  </si>
  <si>
    <t>US2009035733</t>
  </si>
  <si>
    <t xml:space="preserve">Apparatus and methods of providing and receiving venue level transmissions and services </t>
  </si>
  <si>
    <t>US2010080163</t>
  </si>
  <si>
    <t xml:space="preserve">System and method for communicating a secure unidirectional response message </t>
  </si>
  <si>
    <t>US2002178360</t>
  </si>
  <si>
    <t xml:space="preserve">System, Method and Structure for generating and using a compressed digital certificate </t>
  </si>
  <si>
    <t>US2003041110</t>
  </si>
  <si>
    <t xml:space="preserve">System, method and article of manufacture for an internet based distribution architecture </t>
  </si>
  <si>
    <t>US2003120557</t>
  </si>
  <si>
    <t>US2007038610</t>
  </si>
  <si>
    <t xml:space="preserve">System and way of installation and execution of application programs of preferences </t>
  </si>
  <si>
    <t>RU2364917</t>
  </si>
  <si>
    <t>US2012191716</t>
  </si>
  <si>
    <t xml:space="preserve">Methods and apparatus for controlling cellular and portable phones </t>
  </si>
  <si>
    <t>US2007037605</t>
  </si>
  <si>
    <t xml:space="preserve">Transportation signaling device </t>
  </si>
  <si>
    <t>US2004056779</t>
  </si>
  <si>
    <t xml:space="preserve">System, method and article of manufacture for monitoring navigation for presenting product information based on the navigation </t>
  </si>
  <si>
    <t>US2002022995</t>
  </si>
  <si>
    <t xml:space="preserve">Hardware architecture, operating system and network transport neutral system, method and computer program product for secure communications and messaging </t>
  </si>
  <si>
    <t>US2003009694</t>
  </si>
  <si>
    <t xml:space="preserve">Distributed software fabrication system and process for fabricating business applications </t>
  </si>
  <si>
    <t>US2005198618</t>
  </si>
  <si>
    <t xml:space="preserve">System, method and computer program product for governing a supply chain consortium in a supply chain management framework </t>
  </si>
  <si>
    <t>US2003083947</t>
  </si>
  <si>
    <t xml:space="preserve">Prediction-based adaptative control of television viewing functionality </t>
  </si>
  <si>
    <t>US2003110500</t>
  </si>
  <si>
    <t xml:space="preserve">System, method and computer program product for evaluating the success of a promotion in a supply chain management framework </t>
  </si>
  <si>
    <t>US2003046120</t>
  </si>
  <si>
    <t xml:space="preserve">Communication and control system using location aware devices for audio message storage and transmission operating under rule-based control </t>
  </si>
  <si>
    <t>US2008261564</t>
  </si>
  <si>
    <t xml:space="preserve">System, method and computer program product for editing supplier site information in a supply chain management framework </t>
  </si>
  <si>
    <t>US2003048301</t>
  </si>
  <si>
    <t xml:space="preserve">System, method and computer program product for collaborative forecasting in a supply chain management framework </t>
  </si>
  <si>
    <t>US2003074250</t>
  </si>
  <si>
    <t>US2005021766</t>
  </si>
  <si>
    <t xml:space="preserve">Tablet computer </t>
  </si>
  <si>
    <t>US2013254660</t>
  </si>
  <si>
    <t xml:space="preserve">Computer-implemented systems and methods for user access of media assets </t>
  </si>
  <si>
    <t>US2008120325</t>
  </si>
  <si>
    <t xml:space="preserve">System, method and article of manufacture for tracking software sale transactions of an internet-based retailer for reporting to a software publisher </t>
  </si>
  <si>
    <t>US2003154387</t>
  </si>
  <si>
    <t xml:space="preserve">System, method and computer program product for bid proposal processing using a graphical user interface in a supply chain management framework </t>
  </si>
  <si>
    <t>US2003069824</t>
  </si>
  <si>
    <t xml:space="preserve">System, method and computer program product for tracking performance of suppliers in a supply chain management framework </t>
  </si>
  <si>
    <t>US2003055731</t>
  </si>
  <si>
    <t xml:space="preserve">System, method and computer program product for translating sales data in a supply chain management framework </t>
  </si>
  <si>
    <t>US2003074285</t>
  </si>
  <si>
    <t xml:space="preserve">Patient permission-based mobile health-linked information collection and exchange systems and methods </t>
  </si>
  <si>
    <t>US2014257047</t>
  </si>
  <si>
    <t xml:space="preserve">System, method and computer program product for utilizing market demand information for generating revenue </t>
  </si>
  <si>
    <t>US2003074206</t>
  </si>
  <si>
    <t xml:space="preserve">System, method and computer program product for an analysis creation interface in a supply chain management framework </t>
  </si>
  <si>
    <t>US2003088449</t>
  </si>
  <si>
    <t xml:space="preserve">Systems and methods for laser radar imaging for the blind and visually impaired </t>
  </si>
  <si>
    <t>US2008309913</t>
  </si>
  <si>
    <t xml:space="preserve">Presence-based communication routing service and regulation of same </t>
  </si>
  <si>
    <t>US2011249658</t>
  </si>
  <si>
    <t xml:space="preserve">Time-adaptive control of television viewing functionality </t>
  </si>
  <si>
    <t>US7120922</t>
  </si>
  <si>
    <t xml:space="preserve">System, method and computer program product for strategic supply chain data collection </t>
  </si>
  <si>
    <t>US2003078827</t>
  </si>
  <si>
    <t xml:space="preserve">Account and customer creation in an on-line banking model </t>
  </si>
  <si>
    <t>US2008215377</t>
  </si>
  <si>
    <t xml:space="preserve">System, method and computer program product for auditing performance in a supply chain framework </t>
  </si>
  <si>
    <t>US2003078846</t>
  </si>
  <si>
    <t xml:space="preserve">System, method and article of manufacture for software source authentication for return purposes </t>
  </si>
  <si>
    <t>US2003126033</t>
  </si>
  <si>
    <t xml:space="preserve">System, method and computer program product for a secure supply chain management framework </t>
  </si>
  <si>
    <t>US2003074355</t>
  </si>
  <si>
    <t xml:space="preserve">System, method and computer program product for solving and reviewing a solution in a supply chain framework </t>
  </si>
  <si>
    <t>US2003055694</t>
  </si>
  <si>
    <t xml:space="preserve">System, method and computer program product for a network-based restaurant supply chain management framework </t>
  </si>
  <si>
    <t>US2003074239</t>
  </si>
  <si>
    <t xml:space="preserve">System, method and computer program product for user-specific advertising in a supply chain management framework </t>
  </si>
  <si>
    <t>US2004193482</t>
  </si>
  <si>
    <t xml:space="preserve">Universal digital code for unique content identification </t>
  </si>
  <si>
    <t>US2007180468</t>
  </si>
  <si>
    <t xml:space="preserve">System, method and computer program product for electronic invoice auditing in a supply chain management framework </t>
  </si>
  <si>
    <t>US2003097317</t>
  </si>
  <si>
    <t xml:space="preserve">System, method and computer program product for an access-based revenue model involving a supply chain management framework </t>
  </si>
  <si>
    <t>US2003046089</t>
  </si>
  <si>
    <t xml:space="preserve">Platform for building virtual entities using equity systems </t>
  </si>
  <si>
    <t>US2015089353</t>
  </si>
  <si>
    <t xml:space="preserve">System, method and computer program product for a catalog feature in a supply chain management framework </t>
  </si>
  <si>
    <t>US2003050859</t>
  </si>
  <si>
    <t xml:space="preserve">System and method of obtaining and using a vehicle identifier for providing information to an end user </t>
  </si>
  <si>
    <t>US8941485</t>
  </si>
  <si>
    <t xml:space="preserve">System, method and computer program product for generating revenue in a supply chain management framework </t>
  </si>
  <si>
    <t>US2003078787</t>
  </si>
  <si>
    <t xml:space="preserve">System, method and computer program product for a reverse auction in a supply chain management framework </t>
  </si>
  <si>
    <t>US2003069825</t>
  </si>
  <si>
    <t xml:space="preserve">System, method and computer program product for creating contracts using a graphical user interface in a supply chain management framework </t>
  </si>
  <si>
    <t>US2003069818</t>
  </si>
  <si>
    <t xml:space="preserve">System, method and computer program product for low-cost fulfillment in a supply chain management framework </t>
  </si>
  <si>
    <t>US2003074264</t>
  </si>
  <si>
    <t xml:space="preserve">System, method and computer program product for a promotion reporting interface in a supply chain management framework </t>
  </si>
  <si>
    <t>US2003065549</t>
  </si>
  <si>
    <t xml:space="preserve">System, method and computer program product for a distributor interface in a supply chain management framework </t>
  </si>
  <si>
    <t>US2003078845</t>
  </si>
  <si>
    <t xml:space="preserve">System, method and computer program product for landed cost reporting in a supply chain management framework </t>
  </si>
  <si>
    <t>US2003069859</t>
  </si>
  <si>
    <t xml:space="preserve">System, method and computer program product for a gas station supply chain management framework </t>
  </si>
  <si>
    <t>US2003050807</t>
  </si>
  <si>
    <t xml:space="preserve">System, method and computer program product for normalizing data in a supply chain management framework </t>
  </si>
  <si>
    <t>US2003046121</t>
  </si>
  <si>
    <t xml:space="preserve">System, method and computer program product for defining roles/responsibilities in a supply chain management framework </t>
  </si>
  <si>
    <t>US2003055704</t>
  </si>
  <si>
    <t xml:space="preserve">System, method and computer program product for an electronics and appliances supply chain management framework </t>
  </si>
  <si>
    <t>US2003088474</t>
  </si>
  <si>
    <t xml:space="preserve">System, method and computer program product for monitoring distributor activity in a supply chain management framework </t>
  </si>
  <si>
    <t>US2003078861</t>
  </si>
  <si>
    <t xml:space="preserve">Computer-implemented systems and methods for displaying media assets </t>
  </si>
  <si>
    <t>US2008120324</t>
  </si>
  <si>
    <t xml:space="preserve">System, method and computer program product for a centralized a supply chain management framework </t>
  </si>
  <si>
    <t>US2003074281</t>
  </si>
  <si>
    <t xml:space="preserve">System, method and computer program product for an entertainment media supply chain management framework </t>
  </si>
  <si>
    <t>US2003074249</t>
  </si>
  <si>
    <t xml:space="preserve">Method and apparatus for data access to heterogeneous data sources </t>
  </si>
  <si>
    <t>WO0075849</t>
  </si>
  <si>
    <t xml:space="preserve">A system, method and article of manufacture for advanced mobile bargain shopping </t>
  </si>
  <si>
    <t>WO0028455</t>
  </si>
  <si>
    <t xml:space="preserve">Vehicle imbedding type system </t>
  </si>
  <si>
    <t>CN1785723</t>
  </si>
  <si>
    <t xml:space="preserve">Relayed voice control of devices </t>
  </si>
  <si>
    <t>US2015256873</t>
  </si>
  <si>
    <t xml:space="preserve">System, method and computer program product for freight management in a supply chain framework </t>
  </si>
  <si>
    <t>US2003061084</t>
  </si>
  <si>
    <t xml:space="preserve">System, method and computer program product for a sales-based revenue model involving a supply chain management framework </t>
  </si>
  <si>
    <t>US2003065557</t>
  </si>
  <si>
    <t xml:space="preserve">System, method and computer program product for a communication framework in a supply management architecture </t>
  </si>
  <si>
    <t>US2003078818</t>
  </si>
  <si>
    <t xml:space="preserve">Method and system for building an internet portal </t>
  </si>
  <si>
    <t>US8548909</t>
  </si>
  <si>
    <t xml:space="preserve">Automatic driving system of vehicle </t>
  </si>
  <si>
    <t>CN1218355</t>
  </si>
  <si>
    <t xml:space="preserve">System, method and computer program product for calendar dissemination in a supply chain management framework </t>
  </si>
  <si>
    <t>US2003069786</t>
  </si>
  <si>
    <t xml:space="preserve">Interactive system and method of modifying user interaction therein </t>
  </si>
  <si>
    <t>US2013302763</t>
  </si>
  <si>
    <t xml:space="preserve">System, method and computer program product for version control of analysis in a supply chain management framework </t>
  </si>
  <si>
    <t>US2003069767</t>
  </si>
  <si>
    <t xml:space="preserve">System, method and computer program product for secret pricing in a supply chain management framework </t>
  </si>
  <si>
    <t>US2003014299</t>
  </si>
  <si>
    <t xml:space="preserve">Sypply chain management framework revenue model </t>
  </si>
  <si>
    <t>US2003050845</t>
  </si>
  <si>
    <t xml:space="preserve">System, method and computer program product for an auction function in a supply chain management framework </t>
  </si>
  <si>
    <t>US2003041001</t>
  </si>
  <si>
    <t xml:space="preserve">Learning model for competency based performance </t>
  </si>
  <si>
    <t>US8628331</t>
  </si>
  <si>
    <t xml:space="preserve">System, method and computer program product for product tracking in a supply chain management framework </t>
  </si>
  <si>
    <t>US2003050868</t>
  </si>
  <si>
    <t xml:space="preserve">System, method and computer program product for supplier selection in a supply chain management framework </t>
  </si>
  <si>
    <t>US2003069798</t>
  </si>
  <si>
    <t xml:space="preserve">System, method and computer program product for adding supply chain components in a supply chain management analysis </t>
  </si>
  <si>
    <t>US2003065541</t>
  </si>
  <si>
    <t xml:space="preserve">System, method and computer program product for an office products supply chain management framework </t>
  </si>
  <si>
    <t>US2003074263</t>
  </si>
  <si>
    <t xml:space="preserve">System, method and computer program product for a supply chain identification scheme for goods </t>
  </si>
  <si>
    <t>US2003069794</t>
  </si>
  <si>
    <t xml:space="preserve">Method and system for an emergency location information service (e-lis) from wearable devices </t>
  </si>
  <si>
    <t>US2014295786</t>
  </si>
  <si>
    <t xml:space="preserve">System, method and computer program product for performance tracking among a plurality of distributors and suppliers in a supply chain management framework </t>
  </si>
  <si>
    <t>US2003055710</t>
  </si>
  <si>
    <t xml:space="preserve">System and Method for Providing a Near Matches Feature in a Network Environment </t>
  </si>
  <si>
    <t>US2009070133</t>
  </si>
  <si>
    <t xml:space="preserve">A system, method and article of manufacture for a customer profile-tailored support interface in an electronic software distribution environment </t>
  </si>
  <si>
    <t>WO0101319</t>
  </si>
  <si>
    <t xml:space="preserve">Voice control shortcuts </t>
  </si>
  <si>
    <t>US2015254058</t>
  </si>
  <si>
    <t xml:space="preserve">Customizing advertisements to users </t>
  </si>
  <si>
    <t>US2014195345</t>
  </si>
  <si>
    <t xml:space="preserve">Electronic game, such as a computer game involving removing pegs </t>
  </si>
  <si>
    <t>US8128476</t>
  </si>
  <si>
    <t xml:space="preserve">Contextually aware relevance engine platform </t>
  </si>
  <si>
    <t>WO2014144760</t>
  </si>
  <si>
    <t xml:space="preserve">A system, method and article of manufacture for a host framework design in an e-commerce architecture </t>
  </si>
  <si>
    <t>WO0109752</t>
  </si>
  <si>
    <t xml:space="preserve">System, method, and article of manufacture for an automated scripting solution for enterprise testing </t>
  </si>
  <si>
    <t>WO0193043</t>
  </si>
  <si>
    <t xml:space="preserve">System, method and computer program product for proposal reporting using a graphical user interface in a supply chain management framework </t>
  </si>
  <si>
    <t>US2003046214</t>
  </si>
  <si>
    <t xml:space="preserve">Method and system for discovery of local activities based on autonomous suggestion for discovery of local activities </t>
  </si>
  <si>
    <t>US2011191697</t>
  </si>
  <si>
    <t xml:space="preserve">System, mehod and computer program product for a supply chain management framework </t>
  </si>
  <si>
    <t>US2003069779</t>
  </si>
  <si>
    <t xml:space="preserve">System, method and computer program product for generating supply chain statistics based on sampling </t>
  </si>
  <si>
    <t>US2003055700</t>
  </si>
  <si>
    <t xml:space="preserve">Mapping road edges; collision avoidance </t>
  </si>
  <si>
    <t>GB2373117</t>
  </si>
  <si>
    <t xml:space="preserve">Communication and control system using location aware devices for producing notification messages operating under rule-based control </t>
  </si>
  <si>
    <t>US2012077518</t>
  </si>
  <si>
    <t xml:space="preserve">Article of manufacture for component based negotiation facilitating during claim processing </t>
  </si>
  <si>
    <t>WO0067186</t>
  </si>
  <si>
    <t xml:space="preserve">Smart hub </t>
  </si>
  <si>
    <t>US9554061</t>
  </si>
  <si>
    <t xml:space="preserve">System, method, and article of manufacture for a voice recognition system for identity authentication in order to gain access to data on the internet </t>
  </si>
  <si>
    <t>WO0116940</t>
  </si>
  <si>
    <t xml:space="preserve">A method for a graphical user interface search filter generator </t>
  </si>
  <si>
    <t>WO0146868</t>
  </si>
  <si>
    <t xml:space="preserve">Light emission display arrangements </t>
  </si>
  <si>
    <t>CN1501329</t>
  </si>
  <si>
    <t xml:space="preserve">On-line landscape video active information service system of scenic spots in tourist attraction based on bandwidth network </t>
  </si>
  <si>
    <t>CN101834837</t>
  </si>
  <si>
    <t xml:space="preserve">Internet of things based personal self-help parking charge management system </t>
  </si>
  <si>
    <t>CN104751527</t>
  </si>
  <si>
    <t xml:space="preserve">A method for controlling data collection, manipulation and storage on a network with service assurance capabilities </t>
  </si>
  <si>
    <t>EP1275222</t>
  </si>
  <si>
    <t xml:space="preserve">A system, method and article of manufacture for network performance modeling </t>
  </si>
  <si>
    <t>WO0110082</t>
  </si>
  <si>
    <t xml:space="preserve">Vehicle loading type auto-navigation system and its navigation method </t>
  </si>
  <si>
    <t>CN1786668</t>
  </si>
  <si>
    <t xml:space="preserve">Traffic/transportation system </t>
  </si>
  <si>
    <t>WO9702167</t>
  </si>
  <si>
    <t>USRE44559</t>
  </si>
  <si>
    <t xml:space="preserve">A graphic language representation and communication method/system and its application to a graphic navigation method for retrieving information in a computer database and an internet search engine </t>
  </si>
  <si>
    <t>WO0135714</t>
  </si>
  <si>
    <t xml:space="preserve">Propelling and driving system for boats </t>
  </si>
  <si>
    <t>WO0100485</t>
  </si>
  <si>
    <t xml:space="preserve">Apparatus and system to manage monitored vehicular flow rate </t>
  </si>
  <si>
    <t>US2016379486</t>
  </si>
  <si>
    <t xml:space="preserve">A method for a virtual trade financial framework </t>
  </si>
  <si>
    <t>WO0146846</t>
  </si>
  <si>
    <t xml:space="preserve">Method for computer internet remote management of a telecommunication network element </t>
  </si>
  <si>
    <t>KR19990088682</t>
  </si>
  <si>
    <t xml:space="preserve">System, device and method of skin image </t>
  </si>
  <si>
    <t>RU2422081</t>
  </si>
  <si>
    <t xml:space="preserve">System and method for automated placement or configuration of equipment for obtaining desired network performance objectives and for security, rf tags, and bandwidth provisioning </t>
  </si>
  <si>
    <t>KR20050102087</t>
  </si>
  <si>
    <t xml:space="preserve">A method for executing a network-based credit application process </t>
  </si>
  <si>
    <t>WO0146889</t>
  </si>
  <si>
    <t xml:space="preserve">Sail-equipped amphibious aerostat or dirigible </t>
  </si>
  <si>
    <t>US2015203184</t>
  </si>
  <si>
    <t xml:space="preserve">Healthcare Toolkit </t>
  </si>
  <si>
    <t>US2014316813</t>
  </si>
  <si>
    <t xml:space="preserve">Localization system for localizing mobile telecommunication devices by short-range radio in service system, has telecommunication units and is assigned to data storage </t>
  </si>
  <si>
    <t>DE102009021783</t>
  </si>
  <si>
    <t xml:space="preserve">Realization method for practicing machine car drive teaching and exercising of interactive teaching method </t>
  </si>
  <si>
    <t>CN102332219</t>
  </si>
  <si>
    <t xml:space="preserve">Foldable, expandable framework for a variety of structural purposes </t>
  </si>
  <si>
    <t>CN1826453</t>
  </si>
  <si>
    <t xml:space="preserve">Automatic load-parking system </t>
  </si>
  <si>
    <t>US2011274523</t>
  </si>
  <si>
    <t xml:space="preserve">Autonomous navigation system and method for a maneuverable platform </t>
  </si>
  <si>
    <t>KR101831264</t>
  </si>
  <si>
    <t xml:space="preserve">System and method for construction, delivery and display of itv content </t>
  </si>
  <si>
    <t>WO03079271</t>
  </si>
  <si>
    <t xml:space="preserve">Method of collecting information on geographical data base used for navigation system </t>
  </si>
  <si>
    <t>JP2006030208</t>
  </si>
  <si>
    <t xml:space="preserve">Cloud-computing-based portable travelling terminal realization method </t>
  </si>
  <si>
    <t>CN105338476</t>
  </si>
  <si>
    <t xml:space="preserve">Guided movement </t>
  </si>
  <si>
    <t>US9492343</t>
  </si>
  <si>
    <t xml:space="preserve">Methods and systems for calibrating sensors using road map data </t>
  </si>
  <si>
    <t>US9719801</t>
  </si>
  <si>
    <t xml:space="preserve">Mobile-platform-based mobile phone travel information query system </t>
  </si>
  <si>
    <t>CN102664897</t>
  </si>
  <si>
    <t xml:space="preserve">WEB-based phone housing CAD (computer aided design) method </t>
  </si>
  <si>
    <t>CN101819610</t>
  </si>
  <si>
    <t xml:space="preserve">Navigation Aid System </t>
  </si>
  <si>
    <t>US2009171572</t>
  </si>
  <si>
    <t xml:space="preserve">Deterent for unmanned aerial systems </t>
  </si>
  <si>
    <t>US2017192089</t>
  </si>
  <si>
    <t xml:space="preserve">Using event alert text as input to automated assistant </t>
  </si>
  <si>
    <t>RU2546604</t>
  </si>
  <si>
    <t xml:space="preserve">Electronically programmable enable driving license "mobile" - Radio remote-control system, or control and key </t>
  </si>
  <si>
    <t>DE202008005694</t>
  </si>
  <si>
    <t xml:space="preserve">High altitude balloon systems and methods </t>
  </si>
  <si>
    <t>US9540091</t>
  </si>
  <si>
    <t xml:space="preserve">Automated processing of panoramic video content using machine learning techniques </t>
  </si>
  <si>
    <t>US2017195561</t>
  </si>
  <si>
    <t>US9770382</t>
  </si>
  <si>
    <t xml:space="preserve">Multi-core CPU-based high-performance network cruise ship shipping terminal regulating and controlling system </t>
  </si>
  <si>
    <t>CN104575103</t>
  </si>
  <si>
    <t xml:space="preserve">Between level for navigation system </t>
  </si>
  <si>
    <t>DE69732755</t>
  </si>
  <si>
    <t xml:space="preserve">Panoramic camera systems </t>
  </si>
  <si>
    <t>US2016073023</t>
  </si>
  <si>
    <t xml:space="preserve">Computer system and method for generating and supporting fair trade receipts </t>
  </si>
  <si>
    <t>US2011119153</t>
  </si>
  <si>
    <t xml:space="preserve">3G network-based large population city-oriented taxi-mounted terminal regulation and control system </t>
  </si>
  <si>
    <t>CN104574939</t>
  </si>
  <si>
    <t xml:space="preserve">Systems and methods for recording popular media in an interactive media delivery system </t>
  </si>
  <si>
    <t>KR101489315</t>
  </si>
  <si>
    <t xml:space="preserve">Kind of pickup type vehicle-landing intelligent and autonomous UAV system battery life </t>
  </si>
  <si>
    <t>CN108622432</t>
  </si>
  <si>
    <t xml:space="preserve">Intelligent electronic guide system and method </t>
  </si>
  <si>
    <t>CN101075395</t>
  </si>
  <si>
    <t>EP3371772</t>
  </si>
  <si>
    <t xml:space="preserve">Virtual desktop-meta-organization &amp; control system </t>
  </si>
  <si>
    <t>KR20060052717</t>
  </si>
  <si>
    <t xml:space="preserve">Content management system based on information sharing and interaction </t>
  </si>
  <si>
    <t>CN106470216</t>
  </si>
  <si>
    <t xml:space="preserve">Position calculation based on interior of geographical enclosure wall and application method thereof </t>
  </si>
  <si>
    <t>CN106470395</t>
  </si>
  <si>
    <t>CN105683699</t>
  </si>
  <si>
    <t xml:space="preserve">Method and system for generating instruction signals for performing interventions in a communication network </t>
  </si>
  <si>
    <t>CN101268656</t>
  </si>
  <si>
    <t xml:space="preserve">High altitude balloon antenna systems </t>
  </si>
  <si>
    <t>US2017331177</t>
  </si>
  <si>
    <t xml:space="preserve">System and method for facilitating user access to vehicles based on biometric information </t>
  </si>
  <si>
    <t>KR20170028357</t>
  </si>
  <si>
    <t xml:space="preserve">Method and apparatus for responding to events affecting communications in a power line communication network using surface waves </t>
  </si>
  <si>
    <t>CN107113022</t>
  </si>
  <si>
    <t xml:space="preserve">System for aiming at geographical information application and providing basic services </t>
  </si>
  <si>
    <t>CN106469339</t>
  </si>
  <si>
    <t xml:space="preserve">Intelligent road traffic management methods, systems and platforms </t>
  </si>
  <si>
    <t>CN108364494</t>
  </si>
  <si>
    <t xml:space="preserve">Distributed GIS space information integration apparatus based on mobile agent and GML </t>
  </si>
  <si>
    <t>CN100588166</t>
  </si>
  <si>
    <t xml:space="preserve">Unmanned vehicle inspection conveyor carried by the sensor structure </t>
  </si>
  <si>
    <t>CN105473471</t>
  </si>
  <si>
    <t xml:space="preserve">Security systems for protecting an asset </t>
  </si>
  <si>
    <t>US7552467</t>
  </si>
  <si>
    <t xml:space="preserve">Computer-Implemented Method and System for Controlling Third Party Access to Personal Content and Computer-Readable Storage Medium Employed Therein </t>
  </si>
  <si>
    <t>US2011010297</t>
  </si>
  <si>
    <t xml:space="preserve">Personal organizer method and system </t>
  </si>
  <si>
    <t>US2007042329</t>
  </si>
  <si>
    <t xml:space="preserve">System and method of monitoring and controlling motorized passenger carts </t>
  </si>
  <si>
    <t>US9145067</t>
  </si>
  <si>
    <t xml:space="preserve">Location-based pick up and delivery services </t>
  </si>
  <si>
    <t>US2016314429</t>
  </si>
  <si>
    <t xml:space="preserve">Vehicle-to-pedestrian communication system and method </t>
  </si>
  <si>
    <t>JP2015032312</t>
  </si>
  <si>
    <t xml:space="preserve">Transfer of risk of repair costs with renewal rights </t>
  </si>
  <si>
    <t>US2008270193</t>
  </si>
  <si>
    <t xml:space="preserve">Navigation handle for attachment to a handlebar stem </t>
  </si>
  <si>
    <t>DE202015102562</t>
  </si>
  <si>
    <t xml:space="preserve">Systems and methods of vehicular communication </t>
  </si>
  <si>
    <t>US9947221</t>
  </si>
  <si>
    <t xml:space="preserve">Parking system for vehicle </t>
  </si>
  <si>
    <t>KR101720949</t>
  </si>
  <si>
    <t xml:space="preserve">Mount for being covered its joining mechanical structure </t>
  </si>
  <si>
    <t>KR101721392</t>
  </si>
  <si>
    <t xml:space="preserve">Method and device for indoor position resolution </t>
  </si>
  <si>
    <t>KR101879366</t>
  </si>
  <si>
    <t xml:space="preserve">Method and system for determining road users with potential for interaction </t>
  </si>
  <si>
    <t>WO2017054956</t>
  </si>
  <si>
    <t xml:space="preserve">Appliance driven by body force </t>
  </si>
  <si>
    <t>CN102381421</t>
  </si>
  <si>
    <t xml:space="preserve">Intelligent sensor control vehicle based on internet of things </t>
  </si>
  <si>
    <t>CN106515945</t>
  </si>
  <si>
    <t xml:space="preserve">Safe and reliable intelligent electric balance car </t>
  </si>
  <si>
    <t>CN106379460</t>
  </si>
  <si>
    <t xml:space="preserve">A braking mechanism for skate </t>
  </si>
  <si>
    <t>CN103372301</t>
  </si>
  <si>
    <t xml:space="preserve">Method for peer to peer loan finance service based offline interworking and apparatus thereof </t>
  </si>
  <si>
    <t>KR20170136417</t>
  </si>
  <si>
    <t xml:space="preserve">System for ordering items by a user in a limited venue </t>
  </si>
  <si>
    <t>KR20110005911</t>
  </si>
  <si>
    <t xml:space="preserve">Transportation System </t>
  </si>
  <si>
    <t>CN107804388</t>
  </si>
  <si>
    <t xml:space="preserve">System and method for predictive curation, production infrastructure, and personal content assistant </t>
  </si>
  <si>
    <t>US2017372192</t>
  </si>
  <si>
    <t xml:space="preserve">Distributed advertising system and method of use </t>
  </si>
  <si>
    <t>US2018047057</t>
  </si>
  <si>
    <t>CN102381415</t>
  </si>
  <si>
    <t xml:space="preserve">Apparatus and methods for control of a snowboard by gyroscope </t>
  </si>
  <si>
    <t>KR20180000543</t>
  </si>
  <si>
    <t xml:space="preserve">Building system for cascade flow of matter and energy </t>
  </si>
  <si>
    <t>JP2017516969</t>
  </si>
  <si>
    <t xml:space="preserve">Method, system and device for navigating in a virtual reality environment </t>
  </si>
  <si>
    <t>KR20170081272</t>
  </si>
  <si>
    <t xml:space="preserve">Method and system for selectively enabling a user device on the move to utilize digital content associated with entities ahead </t>
  </si>
  <si>
    <t>CN107367287</t>
  </si>
  <si>
    <t xml:space="preserve">Measurement system </t>
  </si>
  <si>
    <t>CN107727076</t>
  </si>
  <si>
    <t xml:space="preserve">Holder for a vehicle instrument with a locking pin </t>
  </si>
  <si>
    <t>WO2014005757</t>
  </si>
  <si>
    <t xml:space="preserve">Boite a mobile digital tools to facilitate all types of transactions in connection with the possession or use of a vehicle system and method associated </t>
  </si>
  <si>
    <t>FR3041457</t>
  </si>
  <si>
    <t xml:space="preserve">Wheel suspension device and vehicle fitted with at least one wheel equipped with such a suspension device </t>
  </si>
  <si>
    <t>WO2013045634</t>
  </si>
  <si>
    <t xml:space="preserve">Dispositif et systÃ¨me de propulsion d'un passager </t>
  </si>
  <si>
    <t>EP3119481</t>
  </si>
  <si>
    <t xml:space="preserve">System and method for providing resource sharing, synchronizing, media coordination, transcoding, and traffic management in a vehicular environment </t>
  </si>
  <si>
    <t>US9083581</t>
  </si>
  <si>
    <t xml:space="preserve">Methods and apparatuses for navigation in urban environments </t>
  </si>
  <si>
    <t>US7957871</t>
  </si>
  <si>
    <t xml:space="preserve">Vehicle access control services and platform </t>
  </si>
  <si>
    <t>US2011112969</t>
  </si>
  <si>
    <t xml:space="preserve">Safest transportation routing </t>
  </si>
  <si>
    <t>US2010036599</t>
  </si>
  <si>
    <t xml:space="preserve">Methods and apparatus for auditing signage </t>
  </si>
  <si>
    <t>US2009257620</t>
  </si>
  <si>
    <t xml:space="preserve">Method for millimeter wave beam tracking </t>
  </si>
  <si>
    <t>US2015230263</t>
  </si>
  <si>
    <t xml:space="preserve">Methods and apparatus for collecting media site data </t>
  </si>
  <si>
    <t>US2008170755</t>
  </si>
  <si>
    <t xml:space="preserve">Pairing Computing Devices According To A Multi-Level Security Protocol </t>
  </si>
  <si>
    <t>US2016066184</t>
  </si>
  <si>
    <t xml:space="preserve">Methods and systems for use in training armed personnel </t>
  </si>
  <si>
    <t>US8770976</t>
  </si>
  <si>
    <t xml:space="preserve">Method and Device for Indoor Position Resolution </t>
  </si>
  <si>
    <t>US2014087707</t>
  </si>
  <si>
    <t xml:space="preserve">Troubleshooting visuals and transient expressions in executing applications </t>
  </si>
  <si>
    <t>US2014359573</t>
  </si>
  <si>
    <t xml:space="preserve">Viewing, modifying, and/or creating routes </t>
  </si>
  <si>
    <t>US9513136</t>
  </si>
  <si>
    <t xml:space="preserve">Multi-functional personal mobility device compacting to briefcase size </t>
  </si>
  <si>
    <t>US2015246705</t>
  </si>
  <si>
    <t xml:space="preserve">Bottle Holder </t>
  </si>
  <si>
    <t>US2013334269</t>
  </si>
  <si>
    <t xml:space="preserve">Concepts for address prediction or correction </t>
  </si>
  <si>
    <t>US2016224936</t>
  </si>
  <si>
    <t xml:space="preserve">System and method for rewarding commuters </t>
  </si>
  <si>
    <t>US2015206166</t>
  </si>
  <si>
    <t xml:space="preserve">Helmet with solar coating and bike with such a helmet </t>
  </si>
  <si>
    <t>DE202009018463</t>
  </si>
  <si>
    <t xml:space="preserve">System for preventing loss of bicycle using wireless communication </t>
  </si>
  <si>
    <t>KR101722219</t>
  </si>
  <si>
    <t xml:space="preserve">Delivery-truck mounted carrying-rack for a delivery-bike </t>
  </si>
  <si>
    <t>CA2739693</t>
  </si>
  <si>
    <t xml:space="preserve">Ride-sharing routing using contextual constraints </t>
  </si>
  <si>
    <t>US2016320198</t>
  </si>
  <si>
    <t xml:space="preserve">Multi-wheel single operator transport platform </t>
  </si>
  <si>
    <t>US2016129953</t>
  </si>
  <si>
    <t xml:space="preserve">Automated system for managing and providing a network of charging stations </t>
  </si>
  <si>
    <t>US2017282736</t>
  </si>
  <si>
    <t xml:space="preserve">System and method for selling and buying vehicles </t>
  </si>
  <si>
    <t>US2016104222</t>
  </si>
  <si>
    <t xml:space="preserve">System and method for a proximity correlation platform based on geolocation information </t>
  </si>
  <si>
    <t>US10034131</t>
  </si>
  <si>
    <t xml:space="preserve">Vehicle mode detection systems </t>
  </si>
  <si>
    <t>US10037635</t>
  </si>
  <si>
    <t xml:space="preserve">Einachsfahrzeug with a platform and / or a seat for a rider </t>
  </si>
  <si>
    <t>DE102007045146</t>
  </si>
  <si>
    <t xml:space="preserve">Wearable mobility device </t>
  </si>
  <si>
    <t>CN103648597</t>
  </si>
  <si>
    <t xml:space="preserve">Vehicle usage-based pricing alerts </t>
  </si>
  <si>
    <t>US10036645</t>
  </si>
  <si>
    <t xml:space="preserve">Standardization of addresses and location information </t>
  </si>
  <si>
    <t>US9842120</t>
  </si>
  <si>
    <t xml:space="preserve">The interior Taxi A device for autonomous transport of passengers and goods especially for interiors and other pedestrian areas </t>
  </si>
  <si>
    <t>DE202018003053</t>
  </si>
  <si>
    <t>WO2009126159</t>
  </si>
  <si>
    <t xml:space="preserve">Improvements in or relating to the first / last mile transport </t>
  </si>
  <si>
    <t>DE102017126253</t>
  </si>
  <si>
    <t>DE102017125701</t>
  </si>
  <si>
    <t xml:space="preserve">Improvements in or relating to the first / last mile of the transport </t>
  </si>
  <si>
    <t>DE102017126364</t>
  </si>
  <si>
    <t xml:space="preserve">Electrically driven transport device for at least one person, and control method therefor </t>
  </si>
  <si>
    <t>DE102017216355</t>
  </si>
  <si>
    <t xml:space="preserve">Distributed online learning for privacy-preserving personal predictive models </t>
  </si>
  <si>
    <t>US2017293857</t>
  </si>
  <si>
    <t xml:space="preserve">Vehicle traffic state determination </t>
  </si>
  <si>
    <t>US2018286220</t>
  </si>
  <si>
    <t xml:space="preserve">Foot-operated private vehicle </t>
  </si>
  <si>
    <t>EP3142918</t>
  </si>
  <si>
    <t xml:space="preserve">Electric balance car battery fixing structure </t>
  </si>
  <si>
    <t>CN106159149</t>
  </si>
  <si>
    <t xml:space="preserve">Battery fixing structure of electric balance vehicle </t>
  </si>
  <si>
    <t>CN108146555</t>
  </si>
  <si>
    <t xml:space="preserve">Automatic detection of lane closures using probe data </t>
  </si>
  <si>
    <t>US2018158325</t>
  </si>
  <si>
    <t xml:space="preserve">Split lane traffic jam detection and remediation </t>
  </si>
  <si>
    <t>US2018158326</t>
  </si>
  <si>
    <t xml:space="preserve">Lane level traffic information and navigation </t>
  </si>
  <si>
    <t>US2018182238</t>
  </si>
  <si>
    <t xml:space="preserve">People &amp; cargo transit systems &amp; vehicles </t>
  </si>
  <si>
    <t>CA2672928</t>
  </si>
  <si>
    <t xml:space="preserve">Electrodynamic balance car battery fixation structure </t>
  </si>
  <si>
    <t>CN206134749</t>
  </si>
  <si>
    <t xml:space="preserve">Modular container transport systems </t>
  </si>
  <si>
    <t>WO2018140976</t>
  </si>
  <si>
    <t>CN206059469</t>
  </si>
  <si>
    <t xml:space="preserve">Solar charger for mobile devices </t>
  </si>
  <si>
    <t>EP3211789</t>
  </si>
  <si>
    <t xml:space="preserve">Verifying the use of insured vehicles </t>
  </si>
  <si>
    <t>WO2017136593</t>
  </si>
  <si>
    <t>CA2963084</t>
  </si>
  <si>
    <t xml:space="preserve">Selecting a weather estimation algorithm and providing a weather estimate </t>
  </si>
  <si>
    <t>US2017276834</t>
  </si>
  <si>
    <t>US2017351417</t>
  </si>
  <si>
    <t>US2018194548</t>
  </si>
  <si>
    <t xml:space="preserve">A device for assisting the crossing </t>
  </si>
  <si>
    <t>FR3052430</t>
  </si>
  <si>
    <t xml:space="preserve">Ulttra light transit </t>
  </si>
  <si>
    <t>CA2640202</t>
  </si>
  <si>
    <t>CA2919526</t>
  </si>
  <si>
    <t xml:space="preserve">Structure for fixing battery of electric car balance </t>
  </si>
  <si>
    <t>CN106299184</t>
  </si>
  <si>
    <t xml:space="preserve">A device for assisting the obstacle clearance for vehicle </t>
  </si>
  <si>
    <t>FR3049563</t>
  </si>
  <si>
    <t>FR3054995</t>
  </si>
  <si>
    <t>FR3048404</t>
  </si>
  <si>
    <t xml:space="preserve">Helmet with solar coating and bicycle with such a helmet </t>
  </si>
  <si>
    <t>EP2283739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</si>
</sst>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800"/>
  <sheetViews>
    <sheetView tabSelected="1" topLeftCell="A432" workbookViewId="0">
      <selection activeCell="C458" sqref="C458"/>
    </sheetView>
  </sheetViews>
  <sheetFormatPr defaultRowHeight="15" x14ac:dyDescent="0.25"/>
  <sheetData>
    <row r="1" spans="1:5" x14ac:dyDescent="0.25">
      <c r="A1" t="s">
        <v>0</v>
      </c>
      <c r="B1">
        <v>4384</v>
      </c>
    </row>
    <row r="2" spans="1:5" x14ac:dyDescent="0.25">
      <c r="C2" t="s">
        <v>1</v>
      </c>
      <c r="D2" t="s">
        <v>2</v>
      </c>
      <c r="E2" t="str">
        <f>HYPERLINK("https://worldwide.espacenet.com/publicationDetails/biblio?II=0&amp;ND=3&amp;adjacent=true&amp;locale=en_EP&amp;FT=D&amp;date=20181025&amp;CC=US&amp;NR=2018306458A1&amp;KC=A1")</f>
        <v>https://worldwide.espacenet.com/publicationDetails/biblio?II=0&amp;ND=3&amp;adjacent=true&amp;locale=en_EP&amp;FT=D&amp;date=20181025&amp;CC=US&amp;NR=2018306458A1&amp;KC=A1</v>
      </c>
    </row>
    <row r="3" spans="1:5" x14ac:dyDescent="0.25">
      <c r="C3" t="s">
        <v>3</v>
      </c>
      <c r="D3" t="s">
        <v>4</v>
      </c>
      <c r="E3" t="str">
        <f>HYPERLINK("https://worldwide.espacenet.com/publicationDetails/biblio?II=1&amp;ND=3&amp;adjacent=true&amp;locale=en_EP&amp;FT=D&amp;date=20181025&amp;CC=US&amp;NR=2018307261A1&amp;KC=A1")</f>
        <v>https://worldwide.espacenet.com/publicationDetails/biblio?II=1&amp;ND=3&amp;adjacent=true&amp;locale=en_EP&amp;FT=D&amp;date=20181025&amp;CC=US&amp;NR=2018307261A1&amp;KC=A1</v>
      </c>
    </row>
    <row r="4" spans="1:5" x14ac:dyDescent="0.25">
      <c r="C4" t="s">
        <v>5</v>
      </c>
      <c r="D4" t="s">
        <v>6</v>
      </c>
      <c r="E4" t="str">
        <f>HYPERLINK("https://worldwide.espacenet.com/publicationDetails/biblio?II=2&amp;ND=3&amp;adjacent=true&amp;locale=en_EP&amp;FT=D&amp;date=20181018&amp;CC=US&amp;NR=2018297660A1&amp;KC=A1")</f>
        <v>https://worldwide.espacenet.com/publicationDetails/biblio?II=2&amp;ND=3&amp;adjacent=true&amp;locale=en_EP&amp;FT=D&amp;date=20181018&amp;CC=US&amp;NR=2018297660A1&amp;KC=A1</v>
      </c>
    </row>
    <row r="5" spans="1:5" x14ac:dyDescent="0.25">
      <c r="C5" t="s">
        <v>7</v>
      </c>
      <c r="D5" t="s">
        <v>8</v>
      </c>
      <c r="E5" t="str">
        <f>HYPERLINK("https://worldwide.espacenet.com/publicationDetails/biblio?II=3&amp;ND=3&amp;adjacent=true&amp;locale=en_EP&amp;FT=D&amp;date=20180920&amp;CC=WO&amp;NR=2018166424A1&amp;KC=A1")</f>
        <v>https://worldwide.espacenet.com/publicationDetails/biblio?II=3&amp;ND=3&amp;adjacent=true&amp;locale=en_EP&amp;FT=D&amp;date=20180920&amp;CC=WO&amp;NR=2018166424A1&amp;KC=A1</v>
      </c>
    </row>
    <row r="6" spans="1:5" x14ac:dyDescent="0.25">
      <c r="C6" t="s">
        <v>9</v>
      </c>
      <c r="D6" t="s">
        <v>10</v>
      </c>
      <c r="E6" t="str">
        <f>HYPERLINK("https://worldwide.espacenet.com/publicationDetails/biblio?II=4&amp;ND=3&amp;adjacent=true&amp;locale=en_EP&amp;FT=D&amp;date=20180920&amp;CC=US&amp;NR=2018265159A1&amp;KC=A1")</f>
        <v>https://worldwide.espacenet.com/publicationDetails/biblio?II=4&amp;ND=3&amp;adjacent=true&amp;locale=en_EP&amp;FT=D&amp;date=20180920&amp;CC=US&amp;NR=2018265159A1&amp;KC=A1</v>
      </c>
    </row>
    <row r="7" spans="1:5" x14ac:dyDescent="0.25">
      <c r="C7" t="s">
        <v>11</v>
      </c>
      <c r="D7" t="s">
        <v>12</v>
      </c>
      <c r="E7" t="str">
        <f>HYPERLINK("https://worldwide.espacenet.com/publicationDetails/biblio?II=5&amp;ND=3&amp;adjacent=true&amp;locale=en_EP&amp;FT=D&amp;date=20180913&amp;CC=CA&amp;NR=2960545A1&amp;KC=A1")</f>
        <v>https://worldwide.espacenet.com/publicationDetails/biblio?II=5&amp;ND=3&amp;adjacent=true&amp;locale=en_EP&amp;FT=D&amp;date=20180913&amp;CC=CA&amp;NR=2960545A1&amp;KC=A1</v>
      </c>
    </row>
    <row r="8" spans="1:5" x14ac:dyDescent="0.25">
      <c r="C8" t="s">
        <v>13</v>
      </c>
      <c r="D8" t="s">
        <v>14</v>
      </c>
      <c r="E8" t="str">
        <f>HYPERLINK("https://worldwide.espacenet.com/publicationDetails/biblio?II=6&amp;ND=3&amp;adjacent=true&amp;locale=en_EP&amp;FT=D&amp;date=20180913&amp;CC=WO&amp;NR=2018164609A1&amp;KC=A1")</f>
        <v>https://worldwide.espacenet.com/publicationDetails/biblio?II=6&amp;ND=3&amp;adjacent=true&amp;locale=en_EP&amp;FT=D&amp;date=20180913&amp;CC=WO&amp;NR=2018164609A1&amp;KC=A1</v>
      </c>
    </row>
    <row r="9" spans="1:5" x14ac:dyDescent="0.25">
      <c r="C9" t="s">
        <v>15</v>
      </c>
      <c r="D9" t="s">
        <v>16</v>
      </c>
      <c r="E9" t="str">
        <f>HYPERLINK("https://worldwide.espacenet.com/publicationDetails/biblio?II=7&amp;ND=3&amp;adjacent=true&amp;locale=en_EP&amp;FT=D&amp;date=20180913&amp;CC=WO&amp;NR=2018161947A1&amp;KC=A1")</f>
        <v>https://worldwide.espacenet.com/publicationDetails/biblio?II=7&amp;ND=3&amp;adjacent=true&amp;locale=en_EP&amp;FT=D&amp;date=20180913&amp;CC=WO&amp;NR=2018161947A1&amp;KC=A1</v>
      </c>
    </row>
    <row r="10" spans="1:5" x14ac:dyDescent="0.25">
      <c r="C10" t="s">
        <v>17</v>
      </c>
      <c r="D10" t="s">
        <v>18</v>
      </c>
      <c r="E10" t="str">
        <f>HYPERLINK("https://worldwide.espacenet.com/publicationDetails/biblio?II=8&amp;ND=3&amp;adjacent=true&amp;locale=en_EP&amp;FT=D&amp;date=20181023&amp;CC=US&amp;NR=10105613B1&amp;KC=B1")</f>
        <v>https://worldwide.espacenet.com/publicationDetails/biblio?II=8&amp;ND=3&amp;adjacent=true&amp;locale=en_EP&amp;FT=D&amp;date=20181023&amp;CC=US&amp;NR=10105613B1&amp;KC=B1</v>
      </c>
    </row>
    <row r="11" spans="1:5" x14ac:dyDescent="0.25">
      <c r="C11" t="s">
        <v>19</v>
      </c>
      <c r="D11" t="s">
        <v>20</v>
      </c>
      <c r="E11" t="str">
        <f>HYPERLINK("https://worldwide.espacenet.com/publicationDetails/biblio?II=9&amp;ND=3&amp;adjacent=true&amp;locale=en_EP&amp;FT=D&amp;date=20180601&amp;CC=TW&amp;NR=201819878A&amp;KC=A")</f>
        <v>https://worldwide.espacenet.com/publicationDetails/biblio?II=9&amp;ND=3&amp;adjacent=true&amp;locale=en_EP&amp;FT=D&amp;date=20180601&amp;CC=TW&amp;NR=201819878A&amp;KC=A</v>
      </c>
    </row>
    <row r="12" spans="1:5" x14ac:dyDescent="0.25">
      <c r="C12" t="s">
        <v>21</v>
      </c>
      <c r="D12" t="s">
        <v>22</v>
      </c>
      <c r="E12" t="str">
        <f>HYPERLINK("https://worldwide.espacenet.com/publicationDetails/biblio?II=10&amp;ND=3&amp;adjacent=true&amp;locale=en_EP&amp;FT=D&amp;date=20180801&amp;CC=KR&amp;NR=20180086848A&amp;KC=A")</f>
        <v>https://worldwide.espacenet.com/publicationDetails/biblio?II=10&amp;ND=3&amp;adjacent=true&amp;locale=en_EP&amp;FT=D&amp;date=20180801&amp;CC=KR&amp;NR=20180086848A&amp;KC=A</v>
      </c>
    </row>
    <row r="13" spans="1:5" x14ac:dyDescent="0.25">
      <c r="C13" t="s">
        <v>23</v>
      </c>
      <c r="D13" t="s">
        <v>24</v>
      </c>
      <c r="E13" t="str">
        <f>HYPERLINK("https://worldwide.espacenet.com/publicationDetails/biblio?II=11&amp;ND=3&amp;adjacent=true&amp;locale=en_EP&amp;FT=D&amp;date=20180823&amp;CC=US&amp;NR=2018237096A1&amp;KC=A1")</f>
        <v>https://worldwide.espacenet.com/publicationDetails/biblio?II=11&amp;ND=3&amp;adjacent=true&amp;locale=en_EP&amp;FT=D&amp;date=20180823&amp;CC=US&amp;NR=2018237096A1&amp;KC=A1</v>
      </c>
    </row>
    <row r="14" spans="1:5" x14ac:dyDescent="0.25">
      <c r="C14" t="s">
        <v>25</v>
      </c>
      <c r="D14" t="s">
        <v>26</v>
      </c>
      <c r="E14" t="str">
        <f>HYPERLINK("https://worldwide.espacenet.com/publicationDetails/biblio?II=12&amp;ND=3&amp;adjacent=true&amp;locale=en_EP&amp;FT=D&amp;date=20180816&amp;CC=WO&amp;NR=2018145500A1&amp;KC=A1")</f>
        <v>https://worldwide.espacenet.com/publicationDetails/biblio?II=12&amp;ND=3&amp;adjacent=true&amp;locale=en_EP&amp;FT=D&amp;date=20180816&amp;CC=WO&amp;NR=2018145500A1&amp;KC=A1</v>
      </c>
    </row>
    <row r="15" spans="1:5" x14ac:dyDescent="0.25">
      <c r="C15" t="s">
        <v>27</v>
      </c>
      <c r="D15" t="s">
        <v>28</v>
      </c>
      <c r="E15" t="str">
        <f>HYPERLINK("https://worldwide.espacenet.com/publicationDetails/biblio?II=13&amp;ND=3&amp;adjacent=true&amp;locale=en_EP&amp;FT=D&amp;date=20180809&amp;CC=US&amp;NR=2018221753A1&amp;KC=A1")</f>
        <v>https://worldwide.espacenet.com/publicationDetails/biblio?II=13&amp;ND=3&amp;adjacent=true&amp;locale=en_EP&amp;FT=D&amp;date=20180809&amp;CC=US&amp;NR=2018221753A1&amp;KC=A1</v>
      </c>
    </row>
    <row r="16" spans="1:5" x14ac:dyDescent="0.25">
      <c r="C16" t="s">
        <v>29</v>
      </c>
      <c r="D16" t="s">
        <v>30</v>
      </c>
      <c r="E16" t="str">
        <f>HYPERLINK("https://worldwide.espacenet.com/publicationDetails/biblio?II=14&amp;ND=3&amp;adjacent=true&amp;locale=en_EP&amp;FT=D&amp;date=20180809&amp;CC=US&amp;NR=2018227187A1&amp;KC=A1")</f>
        <v>https://worldwide.espacenet.com/publicationDetails/biblio?II=14&amp;ND=3&amp;adjacent=true&amp;locale=en_EP&amp;FT=D&amp;date=20180809&amp;CC=US&amp;NR=2018227187A1&amp;KC=A1</v>
      </c>
    </row>
    <row r="17" spans="3:5" x14ac:dyDescent="0.25">
      <c r="C17" t="s">
        <v>31</v>
      </c>
      <c r="D17" t="s">
        <v>32</v>
      </c>
      <c r="E17" t="str">
        <f>HYPERLINK("https://worldwide.espacenet.com/publicationDetails/biblio?II=15&amp;ND=3&amp;adjacent=true&amp;locale=en_EP&amp;FT=D&amp;date=20180616&amp;CC=TW&amp;NR=201821321A&amp;KC=A")</f>
        <v>https://worldwide.espacenet.com/publicationDetails/biblio?II=15&amp;ND=3&amp;adjacent=true&amp;locale=en_EP&amp;FT=D&amp;date=20180616&amp;CC=TW&amp;NR=201821321A&amp;KC=A</v>
      </c>
    </row>
    <row r="18" spans="3:5" x14ac:dyDescent="0.25">
      <c r="C18" t="s">
        <v>33</v>
      </c>
      <c r="D18" t="s">
        <v>34</v>
      </c>
      <c r="E18" t="str">
        <f>HYPERLINK("https://worldwide.espacenet.com/publicationDetails/biblio?II=16&amp;ND=3&amp;adjacent=true&amp;locale=en_EP&amp;FT=D&amp;date=20180724&amp;CC=US&amp;NR=RE46964E&amp;KC=E")</f>
        <v>https://worldwide.espacenet.com/publicationDetails/biblio?II=16&amp;ND=3&amp;adjacent=true&amp;locale=en_EP&amp;FT=D&amp;date=20180724&amp;CC=US&amp;NR=RE46964E&amp;KC=E</v>
      </c>
    </row>
    <row r="19" spans="3:5" x14ac:dyDescent="0.25">
      <c r="C19" t="s">
        <v>35</v>
      </c>
      <c r="D19" t="s">
        <v>36</v>
      </c>
      <c r="E19" t="str">
        <f>HYPERLINK("https://worldwide.espacenet.com/publicationDetails/biblio?II=17&amp;ND=3&amp;adjacent=true&amp;locale=en_EP&amp;FT=D&amp;date=20180712&amp;CC=WO&amp;NR=2018126635A1&amp;KC=A1")</f>
        <v>https://worldwide.espacenet.com/publicationDetails/biblio?II=17&amp;ND=3&amp;adjacent=true&amp;locale=en_EP&amp;FT=D&amp;date=20180712&amp;CC=WO&amp;NR=2018126635A1&amp;KC=A1</v>
      </c>
    </row>
    <row r="20" spans="3:5" x14ac:dyDescent="0.25">
      <c r="C20" t="s">
        <v>37</v>
      </c>
      <c r="D20" t="s">
        <v>38</v>
      </c>
      <c r="E20" t="str">
        <f>HYPERLINK("https://worldwide.espacenet.com/publicationDetails/biblio?II=18&amp;ND=3&amp;adjacent=true&amp;locale=en_EP&amp;FT=D&amp;date=20180628&amp;CC=SG&amp;NR=11201803861WA&amp;KC=A")</f>
        <v>https://worldwide.espacenet.com/publicationDetails/biblio?II=18&amp;ND=3&amp;adjacent=true&amp;locale=en_EP&amp;FT=D&amp;date=20180628&amp;CC=SG&amp;NR=11201803861WA&amp;KC=A</v>
      </c>
    </row>
    <row r="21" spans="3:5" x14ac:dyDescent="0.25">
      <c r="C21" t="s">
        <v>39</v>
      </c>
      <c r="D21" t="s">
        <v>40</v>
      </c>
      <c r="E21" t="str">
        <f>HYPERLINK("https://worldwide.espacenet.com/publicationDetails/biblio?II=19&amp;ND=3&amp;adjacent=true&amp;locale=en_EP&amp;FT=D&amp;date=20180628&amp;CC=SG&amp;NR=11201803705VA&amp;KC=A")</f>
        <v>https://worldwide.espacenet.com/publicationDetails/biblio?II=19&amp;ND=3&amp;adjacent=true&amp;locale=en_EP&amp;FT=D&amp;date=20180628&amp;CC=SG&amp;NR=11201803705VA&amp;KC=A</v>
      </c>
    </row>
    <row r="22" spans="3:5" x14ac:dyDescent="0.25">
      <c r="C22" t="s">
        <v>41</v>
      </c>
      <c r="D22" t="s">
        <v>42</v>
      </c>
      <c r="E22" t="str">
        <f>HYPERLINK("https://worldwide.espacenet.com/publicationDetails/biblio?II=20&amp;ND=3&amp;adjacent=true&amp;locale=en_EP&amp;FT=D&amp;date=20180705&amp;CC=WO&amp;NR=2018119850A1&amp;KC=A1")</f>
        <v>https://worldwide.espacenet.com/publicationDetails/biblio?II=20&amp;ND=3&amp;adjacent=true&amp;locale=en_EP&amp;FT=D&amp;date=20180705&amp;CC=WO&amp;NR=2018119850A1&amp;KC=A1</v>
      </c>
    </row>
    <row r="23" spans="3:5" x14ac:dyDescent="0.25">
      <c r="C23" t="s">
        <v>43</v>
      </c>
      <c r="D23" t="s">
        <v>44</v>
      </c>
      <c r="E23" t="str">
        <f>HYPERLINK("https://worldwide.espacenet.com/publicationDetails/biblio?II=21&amp;ND=3&amp;adjacent=true&amp;locale=en_EP&amp;FT=D&amp;date=20180703&amp;CC=US&amp;NR=10010784B1&amp;KC=B1")</f>
        <v>https://worldwide.espacenet.com/publicationDetails/biblio?II=21&amp;ND=3&amp;adjacent=true&amp;locale=en_EP&amp;FT=D&amp;date=20180703&amp;CC=US&amp;NR=10010784B1&amp;KC=B1</v>
      </c>
    </row>
    <row r="24" spans="3:5" x14ac:dyDescent="0.25">
      <c r="C24" t="s">
        <v>45</v>
      </c>
      <c r="D24" t="s">
        <v>46</v>
      </c>
      <c r="E24" t="str">
        <f>HYPERLINK("https://worldwide.espacenet.com/publicationDetails/biblio?II=22&amp;ND=3&amp;adjacent=true&amp;locale=en_EP&amp;FT=D&amp;date=20180629&amp;CC=CN&amp;NR=108221718A&amp;KC=A")</f>
        <v>https://worldwide.espacenet.com/publicationDetails/biblio?II=22&amp;ND=3&amp;adjacent=true&amp;locale=en_EP&amp;FT=D&amp;date=20180629&amp;CC=CN&amp;NR=108221718A&amp;KC=A</v>
      </c>
    </row>
    <row r="25" spans="3:5" x14ac:dyDescent="0.25">
      <c r="C25" t="s">
        <v>47</v>
      </c>
      <c r="D25" t="s">
        <v>48</v>
      </c>
      <c r="E25" t="str">
        <f>HYPERLINK("https://worldwide.espacenet.com/publicationDetails/biblio?II=23&amp;ND=3&amp;adjacent=true&amp;locale=en_EP&amp;FT=D&amp;date=20180629&amp;CC=CN&amp;NR=207554352U&amp;KC=U")</f>
        <v>https://worldwide.espacenet.com/publicationDetails/biblio?II=23&amp;ND=3&amp;adjacent=true&amp;locale=en_EP&amp;FT=D&amp;date=20180629&amp;CC=CN&amp;NR=207554352U&amp;KC=U</v>
      </c>
    </row>
    <row r="26" spans="3:5" x14ac:dyDescent="0.25">
      <c r="C26" t="s">
        <v>49</v>
      </c>
      <c r="D26" t="s">
        <v>50</v>
      </c>
      <c r="E26" t="str">
        <f>HYPERLINK("https://worldwide.espacenet.com/publicationDetails/biblio?II=24&amp;ND=3&amp;adjacent=true&amp;locale=en_EP&amp;FT=D&amp;date=20180629&amp;CC=CN&amp;NR=207554353U&amp;KC=U")</f>
        <v>https://worldwide.espacenet.com/publicationDetails/biblio?II=24&amp;ND=3&amp;adjacent=true&amp;locale=en_EP&amp;FT=D&amp;date=20180629&amp;CC=CN&amp;NR=207554353U&amp;KC=U</v>
      </c>
    </row>
    <row r="27" spans="3:5" x14ac:dyDescent="0.25">
      <c r="C27" t="s">
        <v>51</v>
      </c>
      <c r="D27" t="s">
        <v>52</v>
      </c>
      <c r="E27" t="str">
        <f>HYPERLINK("https://worldwide.espacenet.com/publicationDetails/biblio?II=25&amp;ND=3&amp;adjacent=true&amp;locale=en_EP&amp;FT=D&amp;date=20180629&amp;CC=CN&amp;NR=207556832U&amp;KC=U")</f>
        <v>https://worldwide.espacenet.com/publicationDetails/biblio?II=25&amp;ND=3&amp;adjacent=true&amp;locale=en_EP&amp;FT=D&amp;date=20180629&amp;CC=CN&amp;NR=207556832U&amp;KC=U</v>
      </c>
    </row>
    <row r="28" spans="3:5" x14ac:dyDescent="0.25">
      <c r="C28" t="s">
        <v>53</v>
      </c>
      <c r="D28" t="s">
        <v>54</v>
      </c>
      <c r="E28" t="str">
        <f>HYPERLINK("https://worldwide.espacenet.com/publicationDetails/biblio?II=26&amp;ND=3&amp;adjacent=true&amp;locale=en_EP&amp;FT=D&amp;date=20180629&amp;CC=CN&amp;NR=108222002A&amp;KC=A")</f>
        <v>https://worldwide.espacenet.com/publicationDetails/biblio?II=26&amp;ND=3&amp;adjacent=true&amp;locale=en_EP&amp;FT=D&amp;date=20180629&amp;CC=CN&amp;NR=108222002A&amp;KC=A</v>
      </c>
    </row>
    <row r="29" spans="3:5" x14ac:dyDescent="0.25">
      <c r="C29" t="s">
        <v>55</v>
      </c>
      <c r="D29" t="s">
        <v>56</v>
      </c>
      <c r="E29" t="str">
        <f>HYPERLINK("https://worldwide.espacenet.com/publicationDetails/biblio?II=27&amp;ND=3&amp;adjacent=true&amp;locale=en_EP&amp;FT=D&amp;date=20180626&amp;CC=CN&amp;NR=207532657U&amp;KC=U")</f>
        <v>https://worldwide.espacenet.com/publicationDetails/biblio?II=27&amp;ND=3&amp;adjacent=true&amp;locale=en_EP&amp;FT=D&amp;date=20180626&amp;CC=CN&amp;NR=207532657U&amp;KC=U</v>
      </c>
    </row>
    <row r="30" spans="3:5" x14ac:dyDescent="0.25">
      <c r="C30" t="s">
        <v>57</v>
      </c>
      <c r="D30" t="s">
        <v>58</v>
      </c>
      <c r="E30" t="str">
        <f>HYPERLINK("https://worldwide.espacenet.com/publicationDetails/biblio?II=28&amp;ND=3&amp;adjacent=true&amp;locale=en_EP&amp;FT=D&amp;date=20180622&amp;CC=CN&amp;NR=108193432A&amp;KC=A")</f>
        <v>https://worldwide.espacenet.com/publicationDetails/biblio?II=28&amp;ND=3&amp;adjacent=true&amp;locale=en_EP&amp;FT=D&amp;date=20180622&amp;CC=CN&amp;NR=108193432A&amp;KC=A</v>
      </c>
    </row>
    <row r="31" spans="3:5" x14ac:dyDescent="0.25">
      <c r="C31" t="s">
        <v>59</v>
      </c>
      <c r="D31" t="s">
        <v>60</v>
      </c>
      <c r="E31" t="str">
        <f>HYPERLINK("https://worldwide.espacenet.com/publicationDetails/biblio?II=29&amp;ND=3&amp;adjacent=true&amp;locale=en_EP&amp;FT=D&amp;date=20180622&amp;CC=CN&amp;NR=108189955A&amp;KC=A")</f>
        <v>https://worldwide.espacenet.com/publicationDetails/biblio?II=29&amp;ND=3&amp;adjacent=true&amp;locale=en_EP&amp;FT=D&amp;date=20180622&amp;CC=CN&amp;NR=108189955A&amp;KC=A</v>
      </c>
    </row>
    <row r="32" spans="3:5" x14ac:dyDescent="0.25">
      <c r="C32" t="s">
        <v>61</v>
      </c>
      <c r="D32" t="s">
        <v>62</v>
      </c>
      <c r="E32" t="str">
        <f>HYPERLINK("https://worldwide.espacenet.com/publicationDetails/biblio?II=30&amp;ND=3&amp;adjacent=true&amp;locale=en_EP&amp;FT=D&amp;date=20180622&amp;CC=CN&amp;NR=207526940U&amp;KC=U")</f>
        <v>https://worldwide.espacenet.com/publicationDetails/biblio?II=30&amp;ND=3&amp;adjacent=true&amp;locale=en_EP&amp;FT=D&amp;date=20180622&amp;CC=CN&amp;NR=207526940U&amp;KC=U</v>
      </c>
    </row>
    <row r="33" spans="3:5" x14ac:dyDescent="0.25">
      <c r="C33" t="s">
        <v>63</v>
      </c>
      <c r="D33" t="s">
        <v>64</v>
      </c>
      <c r="E33" t="str">
        <f>HYPERLINK("https://worldwide.espacenet.com/publicationDetails/biblio?II=31&amp;ND=3&amp;adjacent=true&amp;locale=en_EP&amp;FT=D&amp;date=20180622&amp;CC=CN&amp;NR=207526941U&amp;KC=U")</f>
        <v>https://worldwide.espacenet.com/publicationDetails/biblio?II=31&amp;ND=3&amp;adjacent=true&amp;locale=en_EP&amp;FT=D&amp;date=20180622&amp;CC=CN&amp;NR=207526941U&amp;KC=U</v>
      </c>
    </row>
    <row r="34" spans="3:5" x14ac:dyDescent="0.25">
      <c r="C34" t="s">
        <v>65</v>
      </c>
      <c r="D34" t="s">
        <v>66</v>
      </c>
      <c r="E34" t="str">
        <f>HYPERLINK("https://worldwide.espacenet.com/publicationDetails/biblio?II=32&amp;ND=3&amp;adjacent=true&amp;locale=en_EP&amp;FT=D&amp;date=20180622&amp;CC=CN&amp;NR=207524924U&amp;KC=U")</f>
        <v>https://worldwide.espacenet.com/publicationDetails/biblio?II=32&amp;ND=3&amp;adjacent=true&amp;locale=en_EP&amp;FT=D&amp;date=20180622&amp;CC=CN&amp;NR=207524924U&amp;KC=U</v>
      </c>
    </row>
    <row r="35" spans="3:5" x14ac:dyDescent="0.25">
      <c r="C35" t="s">
        <v>67</v>
      </c>
      <c r="D35" t="s">
        <v>68</v>
      </c>
      <c r="E35" t="str">
        <f>HYPERLINK("https://worldwide.espacenet.com/publicationDetails/biblio?II=33&amp;ND=3&amp;adjacent=true&amp;locale=en_EP&amp;FT=D&amp;date=20180622&amp;CC=CN&amp;NR=207526694U&amp;KC=U")</f>
        <v>https://worldwide.espacenet.com/publicationDetails/biblio?II=33&amp;ND=3&amp;adjacent=true&amp;locale=en_EP&amp;FT=D&amp;date=20180622&amp;CC=CN&amp;NR=207526694U&amp;KC=U</v>
      </c>
    </row>
    <row r="36" spans="3:5" x14ac:dyDescent="0.25">
      <c r="C36" t="s">
        <v>69</v>
      </c>
      <c r="D36" t="s">
        <v>70</v>
      </c>
      <c r="E36" t="str">
        <f>HYPERLINK("https://worldwide.espacenet.com/publicationDetails/biblio?II=34&amp;ND=3&amp;adjacent=true&amp;locale=en_EP&amp;FT=D&amp;date=20180622&amp;CC=CN&amp;NR=207528238U&amp;KC=U")</f>
        <v>https://worldwide.espacenet.com/publicationDetails/biblio?II=34&amp;ND=3&amp;adjacent=true&amp;locale=en_EP&amp;FT=D&amp;date=20180622&amp;CC=CN&amp;NR=207528238U&amp;KC=U</v>
      </c>
    </row>
    <row r="37" spans="3:5" x14ac:dyDescent="0.25">
      <c r="C37" t="s">
        <v>71</v>
      </c>
      <c r="D37" t="s">
        <v>72</v>
      </c>
      <c r="E37" t="str">
        <f>HYPERLINK("https://worldwide.espacenet.com/publicationDetails/biblio?II=35&amp;ND=3&amp;adjacent=true&amp;locale=en_EP&amp;FT=D&amp;date=20180622&amp;CC=CN&amp;NR=207528214U&amp;KC=U")</f>
        <v>https://worldwide.espacenet.com/publicationDetails/biblio?II=35&amp;ND=3&amp;adjacent=true&amp;locale=en_EP&amp;FT=D&amp;date=20180622&amp;CC=CN&amp;NR=207528214U&amp;KC=U</v>
      </c>
    </row>
    <row r="38" spans="3:5" x14ac:dyDescent="0.25">
      <c r="C38" t="s">
        <v>69</v>
      </c>
      <c r="D38" t="s">
        <v>73</v>
      </c>
      <c r="E38" t="str">
        <f>HYPERLINK("https://worldwide.espacenet.com/publicationDetails/biblio?II=36&amp;ND=3&amp;adjacent=true&amp;locale=en_EP&amp;FT=D&amp;date=20180622&amp;CC=CN&amp;NR=207528236U&amp;KC=U")</f>
        <v>https://worldwide.espacenet.com/publicationDetails/biblio?II=36&amp;ND=3&amp;adjacent=true&amp;locale=en_EP&amp;FT=D&amp;date=20180622&amp;CC=CN&amp;NR=207528236U&amp;KC=U</v>
      </c>
    </row>
    <row r="39" spans="3:5" x14ac:dyDescent="0.25">
      <c r="C39" t="s">
        <v>71</v>
      </c>
      <c r="D39" t="s">
        <v>74</v>
      </c>
      <c r="E39" t="str">
        <f>HYPERLINK("https://worldwide.espacenet.com/publicationDetails/biblio?II=37&amp;ND=3&amp;adjacent=true&amp;locale=en_EP&amp;FT=D&amp;date=20180622&amp;CC=CN&amp;NR=207528235U&amp;KC=U")</f>
        <v>https://worldwide.espacenet.com/publicationDetails/biblio?II=37&amp;ND=3&amp;adjacent=true&amp;locale=en_EP&amp;FT=D&amp;date=20180622&amp;CC=CN&amp;NR=207528235U&amp;KC=U</v>
      </c>
    </row>
    <row r="40" spans="3:5" x14ac:dyDescent="0.25">
      <c r="C40" t="s">
        <v>75</v>
      </c>
      <c r="D40" t="s">
        <v>76</v>
      </c>
      <c r="E40" t="str">
        <f>HYPERLINK("https://worldwide.espacenet.com/publicationDetails/biblio?II=38&amp;ND=3&amp;adjacent=true&amp;locale=en_EP&amp;FT=D&amp;date=20180622&amp;CC=CN&amp;NR=207528237U&amp;KC=U")</f>
        <v>https://worldwide.espacenet.com/publicationDetails/biblio?II=38&amp;ND=3&amp;adjacent=true&amp;locale=en_EP&amp;FT=D&amp;date=20180622&amp;CC=CN&amp;NR=207528237U&amp;KC=U</v>
      </c>
    </row>
    <row r="41" spans="3:5" x14ac:dyDescent="0.25">
      <c r="C41" t="s">
        <v>77</v>
      </c>
      <c r="D41" t="s">
        <v>78</v>
      </c>
      <c r="E41" t="str">
        <f>HYPERLINK("https://worldwide.espacenet.com/publicationDetails/biblio?II=39&amp;ND=3&amp;adjacent=true&amp;locale=en_EP&amp;FT=D&amp;date=20180622&amp;CC=CN&amp;NR=207523687U&amp;KC=U")</f>
        <v>https://worldwide.espacenet.com/publicationDetails/biblio?II=39&amp;ND=3&amp;adjacent=true&amp;locale=en_EP&amp;FT=D&amp;date=20180622&amp;CC=CN&amp;NR=207523687U&amp;KC=U</v>
      </c>
    </row>
    <row r="42" spans="3:5" x14ac:dyDescent="0.25">
      <c r="C42" t="s">
        <v>79</v>
      </c>
      <c r="D42" t="s">
        <v>80</v>
      </c>
      <c r="E42" t="str">
        <f>HYPERLINK("https://worldwide.espacenet.com/publicationDetails/biblio?II=40&amp;ND=3&amp;adjacent=true&amp;locale=en_EP&amp;FT=D&amp;date=20180621&amp;CC=WO&amp;NR=2018107477A1&amp;KC=A1")</f>
        <v>https://worldwide.espacenet.com/publicationDetails/biblio?II=40&amp;ND=3&amp;adjacent=true&amp;locale=en_EP&amp;FT=D&amp;date=20180621&amp;CC=WO&amp;NR=2018107477A1&amp;KC=A1</v>
      </c>
    </row>
    <row r="43" spans="3:5" x14ac:dyDescent="0.25">
      <c r="C43" t="s">
        <v>81</v>
      </c>
      <c r="D43" t="s">
        <v>82</v>
      </c>
      <c r="E43" t="str">
        <f>HYPERLINK("https://worldwide.espacenet.com/publicationDetails/biblio?II=41&amp;ND=3&amp;adjacent=true&amp;locale=en_EP&amp;FT=D&amp;date=20180621&amp;CC=US&amp;NR=2018170417A1&amp;KC=A1")</f>
        <v>https://worldwide.espacenet.com/publicationDetails/biblio?II=41&amp;ND=3&amp;adjacent=true&amp;locale=en_EP&amp;FT=D&amp;date=20180621&amp;CC=US&amp;NR=2018170417A1&amp;KC=A1</v>
      </c>
    </row>
    <row r="44" spans="3:5" x14ac:dyDescent="0.25">
      <c r="C44" t="s">
        <v>83</v>
      </c>
      <c r="D44" t="s">
        <v>84</v>
      </c>
      <c r="E44" t="str">
        <f>HYPERLINK("https://worldwide.espacenet.com/publicationDetails/biblio?II=42&amp;ND=3&amp;adjacent=true&amp;locale=en_EP&amp;FT=D&amp;date=20180621&amp;CC=US&amp;NR=2018169506A1&amp;KC=A1")</f>
        <v>https://worldwide.espacenet.com/publicationDetails/biblio?II=42&amp;ND=3&amp;adjacent=true&amp;locale=en_EP&amp;FT=D&amp;date=20180621&amp;CC=US&amp;NR=2018169506A1&amp;KC=A1</v>
      </c>
    </row>
    <row r="45" spans="3:5" x14ac:dyDescent="0.25">
      <c r="C45" t="s">
        <v>85</v>
      </c>
      <c r="D45" t="s">
        <v>86</v>
      </c>
      <c r="E45" t="str">
        <f>HYPERLINK("https://worldwide.espacenet.com/publicationDetails/biblio?II=43&amp;ND=3&amp;adjacent=true&amp;locale=en_EP&amp;FT=D&amp;date=20180619&amp;CC=US&amp;NR=D820747S&amp;KC=S")</f>
        <v>https://worldwide.espacenet.com/publicationDetails/biblio?II=43&amp;ND=3&amp;adjacent=true&amp;locale=en_EP&amp;FT=D&amp;date=20180619&amp;CC=US&amp;NR=D820747S&amp;KC=S</v>
      </c>
    </row>
    <row r="46" spans="3:5" x14ac:dyDescent="0.25">
      <c r="C46" t="s">
        <v>87</v>
      </c>
      <c r="D46" t="s">
        <v>88</v>
      </c>
      <c r="E46" t="str">
        <f>HYPERLINK("https://worldwide.espacenet.com/publicationDetails/biblio?II=44&amp;ND=3&amp;adjacent=true&amp;locale=en_EP&amp;FT=D&amp;date=20180619&amp;CC=CN&amp;NR=108180952A&amp;KC=A")</f>
        <v>https://worldwide.espacenet.com/publicationDetails/biblio?II=44&amp;ND=3&amp;adjacent=true&amp;locale=en_EP&amp;FT=D&amp;date=20180619&amp;CC=CN&amp;NR=108180952A&amp;KC=A</v>
      </c>
    </row>
    <row r="47" spans="3:5" x14ac:dyDescent="0.25">
      <c r="C47" t="s">
        <v>89</v>
      </c>
      <c r="D47" t="s">
        <v>90</v>
      </c>
      <c r="E47" t="str">
        <f>HYPERLINK("https://worldwide.espacenet.com/publicationDetails/biblio?II=45&amp;ND=3&amp;adjacent=true&amp;locale=en_EP&amp;FT=D&amp;date=20180619&amp;CC=CN&amp;NR=108181329A&amp;KC=A")</f>
        <v>https://worldwide.espacenet.com/publicationDetails/biblio?II=45&amp;ND=3&amp;adjacent=true&amp;locale=en_EP&amp;FT=D&amp;date=20180619&amp;CC=CN&amp;NR=108181329A&amp;KC=A</v>
      </c>
    </row>
    <row r="48" spans="3:5" x14ac:dyDescent="0.25">
      <c r="C48" t="s">
        <v>91</v>
      </c>
      <c r="D48" t="s">
        <v>92</v>
      </c>
      <c r="E48" t="str">
        <f>HYPERLINK("https://worldwide.espacenet.com/publicationDetails/biblio?II=46&amp;ND=3&amp;adjacent=true&amp;locale=en_EP&amp;FT=D&amp;date=20180619&amp;CC=CN&amp;NR=108182367A&amp;KC=A")</f>
        <v>https://worldwide.espacenet.com/publicationDetails/biblio?II=46&amp;ND=3&amp;adjacent=true&amp;locale=en_EP&amp;FT=D&amp;date=20180619&amp;CC=CN&amp;NR=108182367A&amp;KC=A</v>
      </c>
    </row>
    <row r="49" spans="3:5" x14ac:dyDescent="0.25">
      <c r="C49" t="s">
        <v>93</v>
      </c>
      <c r="D49" t="s">
        <v>94</v>
      </c>
      <c r="E49" t="str">
        <f>HYPERLINK("https://worldwide.espacenet.com/publicationDetails/biblio?II=47&amp;ND=3&amp;adjacent=true&amp;locale=en_EP&amp;FT=D&amp;date=20180619&amp;CC=CN&amp;NR=108183656A&amp;KC=A")</f>
        <v>https://worldwide.espacenet.com/publicationDetails/biblio?II=47&amp;ND=3&amp;adjacent=true&amp;locale=en_EP&amp;FT=D&amp;date=20180619&amp;CC=CN&amp;NR=108183656A&amp;KC=A</v>
      </c>
    </row>
    <row r="50" spans="3:5" x14ac:dyDescent="0.25">
      <c r="C50" t="s">
        <v>95</v>
      </c>
      <c r="D50" t="s">
        <v>96</v>
      </c>
      <c r="E50" t="str">
        <f>HYPERLINK("https://worldwide.espacenet.com/publicationDetails/biblio?II=48&amp;ND=3&amp;adjacent=true&amp;locale=en_EP&amp;FT=D&amp;date=20180619&amp;CC=CN&amp;NR=207517365U&amp;KC=U")</f>
        <v>https://worldwide.espacenet.com/publicationDetails/biblio?II=48&amp;ND=3&amp;adjacent=true&amp;locale=en_EP&amp;FT=D&amp;date=20180619&amp;CC=CN&amp;NR=207517365U&amp;KC=U</v>
      </c>
    </row>
    <row r="51" spans="3:5" x14ac:dyDescent="0.25">
      <c r="C51" t="s">
        <v>97</v>
      </c>
      <c r="D51" t="s">
        <v>98</v>
      </c>
      <c r="E51" t="str">
        <f>HYPERLINK("https://worldwide.espacenet.com/publicationDetails/biblio?II=49&amp;ND=3&amp;adjacent=true&amp;locale=en_EP&amp;FT=D&amp;date=20180619&amp;CC=CN&amp;NR=207513845U&amp;KC=U")</f>
        <v>https://worldwide.espacenet.com/publicationDetails/biblio?II=49&amp;ND=3&amp;adjacent=true&amp;locale=en_EP&amp;FT=D&amp;date=20180619&amp;CC=CN&amp;NR=207513845U&amp;KC=U</v>
      </c>
    </row>
    <row r="52" spans="3:5" x14ac:dyDescent="0.25">
      <c r="C52" t="s">
        <v>99</v>
      </c>
      <c r="D52" t="s">
        <v>100</v>
      </c>
      <c r="E52" t="str">
        <f>HYPERLINK("https://worldwide.espacenet.com/publicationDetails/biblio?II=50&amp;ND=3&amp;adjacent=true&amp;locale=en_EP&amp;FT=D&amp;date=20180619&amp;CC=CN&amp;NR=207513843U&amp;KC=U")</f>
        <v>https://worldwide.espacenet.com/publicationDetails/biblio?II=50&amp;ND=3&amp;adjacent=true&amp;locale=en_EP&amp;FT=D&amp;date=20180619&amp;CC=CN&amp;NR=207513843U&amp;KC=U</v>
      </c>
    </row>
    <row r="53" spans="3:5" x14ac:dyDescent="0.25">
      <c r="C53" t="s">
        <v>101</v>
      </c>
      <c r="D53" t="s">
        <v>102</v>
      </c>
      <c r="E53" t="str">
        <f>HYPERLINK("https://worldwide.espacenet.com/publicationDetails/biblio?II=51&amp;ND=3&amp;adjacent=true&amp;locale=en_EP&amp;FT=D&amp;date=20180619&amp;CC=CN&amp;NR=207505801U&amp;KC=U")</f>
        <v>https://worldwide.espacenet.com/publicationDetails/biblio?II=51&amp;ND=3&amp;adjacent=true&amp;locale=en_EP&amp;FT=D&amp;date=20180619&amp;CC=CN&amp;NR=207505801U&amp;KC=U</v>
      </c>
    </row>
    <row r="54" spans="3:5" x14ac:dyDescent="0.25">
      <c r="C54" t="s">
        <v>103</v>
      </c>
      <c r="D54" t="s">
        <v>104</v>
      </c>
      <c r="E54" t="str">
        <f>HYPERLINK("https://worldwide.espacenet.com/publicationDetails/biblio?II=52&amp;ND=3&amp;adjacent=true&amp;locale=en_EP&amp;FT=D&amp;date=20180619&amp;CC=CN&amp;NR=207516180U&amp;KC=U")</f>
        <v>https://worldwide.espacenet.com/publicationDetails/biblio?II=52&amp;ND=3&amp;adjacent=true&amp;locale=en_EP&amp;FT=D&amp;date=20180619&amp;CC=CN&amp;NR=207516180U&amp;KC=U</v>
      </c>
    </row>
    <row r="55" spans="3:5" x14ac:dyDescent="0.25">
      <c r="C55" t="s">
        <v>105</v>
      </c>
      <c r="D55" t="s">
        <v>106</v>
      </c>
      <c r="E55" t="str">
        <f>HYPERLINK("https://worldwide.espacenet.com/publicationDetails/biblio?II=53&amp;ND=3&amp;adjacent=true&amp;locale=en_EP&amp;FT=D&amp;date=20180619&amp;CC=CN&amp;NR=207505735U&amp;KC=U")</f>
        <v>https://worldwide.espacenet.com/publicationDetails/biblio?II=53&amp;ND=3&amp;adjacent=true&amp;locale=en_EP&amp;FT=D&amp;date=20180619&amp;CC=CN&amp;NR=207505735U&amp;KC=U</v>
      </c>
    </row>
    <row r="56" spans="3:5" x14ac:dyDescent="0.25">
      <c r="C56" t="s">
        <v>107</v>
      </c>
      <c r="D56" t="s">
        <v>108</v>
      </c>
      <c r="E56" t="str">
        <f>HYPERLINK("https://worldwide.espacenet.com/publicationDetails/biblio?II=54&amp;ND=3&amp;adjacent=true&amp;locale=en_EP&amp;FT=D&amp;date=20180619&amp;CC=CN&amp;NR=207505734U&amp;KC=U")</f>
        <v>https://worldwide.espacenet.com/publicationDetails/biblio?II=54&amp;ND=3&amp;adjacent=true&amp;locale=en_EP&amp;FT=D&amp;date=20180619&amp;CC=CN&amp;NR=207505734U&amp;KC=U</v>
      </c>
    </row>
    <row r="57" spans="3:5" x14ac:dyDescent="0.25">
      <c r="C57" t="s">
        <v>109</v>
      </c>
      <c r="D57" t="s">
        <v>110</v>
      </c>
      <c r="E57" t="str">
        <f>HYPERLINK("https://worldwide.espacenet.com/publicationDetails/biblio?II=55&amp;ND=3&amp;adjacent=true&amp;locale=en_EP&amp;FT=D&amp;date=20180619&amp;CC=CN&amp;NR=207507203U&amp;KC=U")</f>
        <v>https://worldwide.espacenet.com/publicationDetails/biblio?II=55&amp;ND=3&amp;adjacent=true&amp;locale=en_EP&amp;FT=D&amp;date=20180619&amp;CC=CN&amp;NR=207507203U&amp;KC=U</v>
      </c>
    </row>
    <row r="58" spans="3:5" x14ac:dyDescent="0.25">
      <c r="C58" t="s">
        <v>111</v>
      </c>
      <c r="D58" t="s">
        <v>112</v>
      </c>
      <c r="E58" t="str">
        <f>HYPERLINK("https://worldwide.espacenet.com/publicationDetails/biblio?II=56&amp;ND=3&amp;adjacent=true&amp;locale=en_EP&amp;FT=D&amp;date=20180619&amp;CC=CN&amp;NR=207510524U&amp;KC=U")</f>
        <v>https://worldwide.espacenet.com/publicationDetails/biblio?II=56&amp;ND=3&amp;adjacent=true&amp;locale=en_EP&amp;FT=D&amp;date=20180619&amp;CC=CN&amp;NR=207510524U&amp;KC=U</v>
      </c>
    </row>
    <row r="59" spans="3:5" x14ac:dyDescent="0.25">
      <c r="C59" t="s">
        <v>113</v>
      </c>
      <c r="D59" t="s">
        <v>114</v>
      </c>
      <c r="E59" t="str">
        <f>HYPERLINK("https://worldwide.espacenet.com/publicationDetails/biblio?II=57&amp;ND=3&amp;adjacent=true&amp;locale=en_EP&amp;FT=D&amp;date=20180615&amp;CC=CN&amp;NR=108160009A&amp;KC=A")</f>
        <v>https://worldwide.espacenet.com/publicationDetails/biblio?II=57&amp;ND=3&amp;adjacent=true&amp;locale=en_EP&amp;FT=D&amp;date=20180615&amp;CC=CN&amp;NR=108160009A&amp;KC=A</v>
      </c>
    </row>
    <row r="60" spans="3:5" x14ac:dyDescent="0.25">
      <c r="C60" t="s">
        <v>115</v>
      </c>
      <c r="D60" t="s">
        <v>116</v>
      </c>
      <c r="E60" t="str">
        <f>HYPERLINK("https://worldwide.espacenet.com/publicationDetails/biblio?II=58&amp;ND=3&amp;adjacent=true&amp;locale=en_EP&amp;FT=D&amp;date=20180615&amp;CC=CN&amp;NR=108166546A&amp;KC=A")</f>
        <v>https://worldwide.espacenet.com/publicationDetails/biblio?II=58&amp;ND=3&amp;adjacent=true&amp;locale=en_EP&amp;FT=D&amp;date=20180615&amp;CC=CN&amp;NR=108166546A&amp;KC=A</v>
      </c>
    </row>
    <row r="61" spans="3:5" x14ac:dyDescent="0.25">
      <c r="C61" t="s">
        <v>117</v>
      </c>
      <c r="D61" t="s">
        <v>118</v>
      </c>
      <c r="E61" t="str">
        <f>HYPERLINK("https://worldwide.espacenet.com/publicationDetails/biblio?II=59&amp;ND=3&amp;adjacent=true&amp;locale=en_EP&amp;FT=D&amp;date=20180615&amp;CC=CN&amp;NR=108161887A&amp;KC=A")</f>
        <v>https://worldwide.espacenet.com/publicationDetails/biblio?II=59&amp;ND=3&amp;adjacent=true&amp;locale=en_EP&amp;FT=D&amp;date=20180615&amp;CC=CN&amp;NR=108161887A&amp;KC=A</v>
      </c>
    </row>
    <row r="62" spans="3:5" x14ac:dyDescent="0.25">
      <c r="C62" t="s">
        <v>119</v>
      </c>
      <c r="D62" t="s">
        <v>120</v>
      </c>
      <c r="E62" t="str">
        <f>HYPERLINK("https://worldwide.espacenet.com/publicationDetails/biblio?II=60&amp;ND=3&amp;adjacent=true&amp;locale=en_EP&amp;FT=D&amp;date=20180615&amp;CC=CN&amp;NR=207498712U&amp;KC=U")</f>
        <v>https://worldwide.espacenet.com/publicationDetails/biblio?II=60&amp;ND=3&amp;adjacent=true&amp;locale=en_EP&amp;FT=D&amp;date=20180615&amp;CC=CN&amp;NR=207498712U&amp;KC=U</v>
      </c>
    </row>
    <row r="63" spans="3:5" x14ac:dyDescent="0.25">
      <c r="C63" t="s">
        <v>121</v>
      </c>
      <c r="D63" t="s">
        <v>122</v>
      </c>
      <c r="E63" t="str">
        <f>HYPERLINK("https://worldwide.espacenet.com/publicationDetails/biblio?II=61&amp;ND=3&amp;adjacent=true&amp;locale=en_EP&amp;FT=D&amp;date=20180615&amp;CC=CN&amp;NR=207497739U&amp;KC=U")</f>
        <v>https://worldwide.espacenet.com/publicationDetails/biblio?II=61&amp;ND=3&amp;adjacent=true&amp;locale=en_EP&amp;FT=D&amp;date=20180615&amp;CC=CN&amp;NR=207497739U&amp;KC=U</v>
      </c>
    </row>
    <row r="64" spans="3:5" x14ac:dyDescent="0.25">
      <c r="C64" t="s">
        <v>123</v>
      </c>
      <c r="D64" t="s">
        <v>124</v>
      </c>
      <c r="E64" t="str">
        <f>HYPERLINK("https://worldwide.espacenet.com/publicationDetails/biblio?II=62&amp;ND=3&amp;adjacent=true&amp;locale=en_EP&amp;FT=D&amp;date=20180615&amp;CC=CN&amp;NR=207497893U&amp;KC=U")</f>
        <v>https://worldwide.espacenet.com/publicationDetails/biblio?II=62&amp;ND=3&amp;adjacent=true&amp;locale=en_EP&amp;FT=D&amp;date=20180615&amp;CC=CN&amp;NR=207497893U&amp;KC=U</v>
      </c>
    </row>
    <row r="65" spans="3:5" x14ac:dyDescent="0.25">
      <c r="C65" t="s">
        <v>125</v>
      </c>
      <c r="D65" t="s">
        <v>126</v>
      </c>
      <c r="E65" t="str">
        <f>HYPERLINK("https://worldwide.espacenet.com/publicationDetails/biblio?II=63&amp;ND=3&amp;adjacent=true&amp;locale=en_EP&amp;FT=D&amp;date=20180612&amp;CC=CN&amp;NR=207482092U&amp;KC=U")</f>
        <v>https://worldwide.espacenet.com/publicationDetails/biblio?II=63&amp;ND=3&amp;adjacent=true&amp;locale=en_EP&amp;FT=D&amp;date=20180612&amp;CC=CN&amp;NR=207482092U&amp;KC=U</v>
      </c>
    </row>
    <row r="66" spans="3:5" x14ac:dyDescent="0.25">
      <c r="C66" t="s">
        <v>127</v>
      </c>
      <c r="D66" t="s">
        <v>128</v>
      </c>
      <c r="E66" t="str">
        <f>HYPERLINK("https://worldwide.espacenet.com/publicationDetails/biblio?II=64&amp;ND=3&amp;adjacent=true&amp;locale=en_EP&amp;FT=D&amp;date=20180612&amp;CC=CN&amp;NR=207486308U&amp;KC=U")</f>
        <v>https://worldwide.espacenet.com/publicationDetails/biblio?II=64&amp;ND=3&amp;adjacent=true&amp;locale=en_EP&amp;FT=D&amp;date=20180612&amp;CC=CN&amp;NR=207486308U&amp;KC=U</v>
      </c>
    </row>
    <row r="67" spans="3:5" x14ac:dyDescent="0.25">
      <c r="C67" t="s">
        <v>129</v>
      </c>
      <c r="D67" t="s">
        <v>130</v>
      </c>
      <c r="E67" t="str">
        <f>HYPERLINK("https://worldwide.espacenet.com/publicationDetails/biblio?II=65&amp;ND=3&amp;adjacent=true&amp;locale=en_EP&amp;FT=D&amp;date=20180612&amp;CC=CN&amp;NR=207482093U&amp;KC=U")</f>
        <v>https://worldwide.espacenet.com/publicationDetails/biblio?II=65&amp;ND=3&amp;adjacent=true&amp;locale=en_EP&amp;FT=D&amp;date=20180612&amp;CC=CN&amp;NR=207482093U&amp;KC=U</v>
      </c>
    </row>
    <row r="68" spans="3:5" x14ac:dyDescent="0.25">
      <c r="C68" t="s">
        <v>131</v>
      </c>
      <c r="D68" t="s">
        <v>132</v>
      </c>
      <c r="E68" t="str">
        <f>HYPERLINK("https://worldwide.espacenet.com/publicationDetails/biblio?II=66&amp;ND=3&amp;adjacent=true&amp;locale=en_EP&amp;FT=D&amp;date=20180612&amp;CC=CN&amp;NR=207490391U&amp;KC=U")</f>
        <v>https://worldwide.espacenet.com/publicationDetails/biblio?II=66&amp;ND=3&amp;adjacent=true&amp;locale=en_EP&amp;FT=D&amp;date=20180612&amp;CC=CN&amp;NR=207490391U&amp;KC=U</v>
      </c>
    </row>
    <row r="69" spans="3:5" x14ac:dyDescent="0.25">
      <c r="C69" t="s">
        <v>133</v>
      </c>
      <c r="D69" t="s">
        <v>134</v>
      </c>
      <c r="E69" t="str">
        <f>HYPERLINK("https://worldwide.espacenet.com/publicationDetails/biblio?II=67&amp;ND=3&amp;adjacent=true&amp;locale=en_EP&amp;FT=D&amp;date=20180612&amp;CC=CN&amp;NR=207480887U&amp;KC=U")</f>
        <v>https://worldwide.espacenet.com/publicationDetails/biblio?II=67&amp;ND=3&amp;adjacent=true&amp;locale=en_EP&amp;FT=D&amp;date=20180612&amp;CC=CN&amp;NR=207480887U&amp;KC=U</v>
      </c>
    </row>
    <row r="70" spans="3:5" x14ac:dyDescent="0.25">
      <c r="C70" t="s">
        <v>135</v>
      </c>
      <c r="D70" t="s">
        <v>136</v>
      </c>
      <c r="E70" t="str">
        <f>HYPERLINK("https://worldwide.espacenet.com/publicationDetails/biblio?II=68&amp;ND=3&amp;adjacent=true&amp;locale=en_EP&amp;FT=D&amp;date=20180612&amp;CC=CN&amp;NR=108144320A&amp;KC=A")</f>
        <v>https://worldwide.espacenet.com/publicationDetails/biblio?II=68&amp;ND=3&amp;adjacent=true&amp;locale=en_EP&amp;FT=D&amp;date=20180612&amp;CC=CN&amp;NR=108144320A&amp;KC=A</v>
      </c>
    </row>
    <row r="71" spans="3:5" x14ac:dyDescent="0.25">
      <c r="C71" t="s">
        <v>137</v>
      </c>
      <c r="D71" t="s">
        <v>138</v>
      </c>
      <c r="E71" t="str">
        <f>HYPERLINK("https://worldwide.espacenet.com/publicationDetails/biblio?II=69&amp;ND=3&amp;adjacent=true&amp;locale=en_EP&amp;FT=D&amp;date=20180612&amp;CC=CN&amp;NR=108146413A&amp;KC=A")</f>
        <v>https://worldwide.espacenet.com/publicationDetails/biblio?II=69&amp;ND=3&amp;adjacent=true&amp;locale=en_EP&amp;FT=D&amp;date=20180612&amp;CC=CN&amp;NR=108146413A&amp;KC=A</v>
      </c>
    </row>
    <row r="72" spans="3:5" x14ac:dyDescent="0.25">
      <c r="C72" t="s">
        <v>139</v>
      </c>
      <c r="D72" t="s">
        <v>140</v>
      </c>
      <c r="E72" t="str">
        <f>HYPERLINK("https://worldwide.espacenet.com/publicationDetails/biblio?II=70&amp;ND=3&amp;adjacent=true&amp;locale=en_EP&amp;FT=D&amp;date=20180612&amp;CC=CN&amp;NR=108144146A&amp;KC=A")</f>
        <v>https://worldwide.espacenet.com/publicationDetails/biblio?II=70&amp;ND=3&amp;adjacent=true&amp;locale=en_EP&amp;FT=D&amp;date=20180612&amp;CC=CN&amp;NR=108144146A&amp;KC=A</v>
      </c>
    </row>
    <row r="73" spans="3:5" x14ac:dyDescent="0.25">
      <c r="C73" t="s">
        <v>141</v>
      </c>
      <c r="D73" t="s">
        <v>142</v>
      </c>
      <c r="E73" t="str">
        <f>HYPERLINK("https://worldwide.espacenet.com/publicationDetails/biblio?II=71&amp;ND=3&amp;adjacent=true&amp;locale=en_EP&amp;FT=D&amp;date=20180501&amp;CC=CN&amp;NR=207301012U&amp;KC=U")</f>
        <v>https://worldwide.espacenet.com/publicationDetails/biblio?II=71&amp;ND=3&amp;adjacent=true&amp;locale=en_EP&amp;FT=D&amp;date=20180501&amp;CC=CN&amp;NR=207301012U&amp;KC=U</v>
      </c>
    </row>
    <row r="74" spans="3:5" x14ac:dyDescent="0.25">
      <c r="C74" t="s">
        <v>143</v>
      </c>
      <c r="D74" t="s">
        <v>144</v>
      </c>
      <c r="E74" t="str">
        <f>HYPERLINK("https://worldwide.espacenet.com/publicationDetails/biblio?II=72&amp;ND=3&amp;adjacent=true&amp;locale=en_EP&amp;FT=D&amp;date=20180504&amp;CC=CN&amp;NR=207314608U&amp;KC=U")</f>
        <v>https://worldwide.espacenet.com/publicationDetails/biblio?II=72&amp;ND=3&amp;adjacent=true&amp;locale=en_EP&amp;FT=D&amp;date=20180504&amp;CC=CN&amp;NR=207314608U&amp;KC=U</v>
      </c>
    </row>
    <row r="75" spans="3:5" x14ac:dyDescent="0.25">
      <c r="C75" t="s">
        <v>145</v>
      </c>
      <c r="D75" t="s">
        <v>146</v>
      </c>
      <c r="E75" t="str">
        <f>HYPERLINK("https://worldwide.espacenet.com/publicationDetails/biblio?II=73&amp;ND=3&amp;adjacent=true&amp;locale=en_EP&amp;FT=D&amp;date=20180504&amp;CC=CN&amp;NR=207307090U&amp;KC=U")</f>
        <v>https://worldwide.espacenet.com/publicationDetails/biblio?II=73&amp;ND=3&amp;adjacent=true&amp;locale=en_EP&amp;FT=D&amp;date=20180504&amp;CC=CN&amp;NR=207307090U&amp;KC=U</v>
      </c>
    </row>
    <row r="76" spans="3:5" x14ac:dyDescent="0.25">
      <c r="C76" t="s">
        <v>147</v>
      </c>
      <c r="D76" t="s">
        <v>148</v>
      </c>
      <c r="E76" t="str">
        <f>HYPERLINK("https://worldwide.espacenet.com/publicationDetails/biblio?II=74&amp;ND=3&amp;adjacent=true&amp;locale=en_EP&amp;FT=D&amp;date=20180504&amp;CC=CN&amp;NR=207305482U&amp;KC=U")</f>
        <v>https://worldwide.espacenet.com/publicationDetails/biblio?II=74&amp;ND=3&amp;adjacent=true&amp;locale=en_EP&amp;FT=D&amp;date=20180504&amp;CC=CN&amp;NR=207305482U&amp;KC=U</v>
      </c>
    </row>
    <row r="77" spans="3:5" x14ac:dyDescent="0.25">
      <c r="C77" t="s">
        <v>149</v>
      </c>
      <c r="D77" t="s">
        <v>150</v>
      </c>
      <c r="E77" t="str">
        <f>HYPERLINK("https://worldwide.espacenet.com/publicationDetails/biblio?II=75&amp;ND=3&amp;adjacent=true&amp;locale=en_EP&amp;FT=D&amp;date=20180522&amp;CC=CN&amp;NR=207389415U&amp;KC=U")</f>
        <v>https://worldwide.espacenet.com/publicationDetails/biblio?II=75&amp;ND=3&amp;adjacent=true&amp;locale=en_EP&amp;FT=D&amp;date=20180522&amp;CC=CN&amp;NR=207389415U&amp;KC=U</v>
      </c>
    </row>
    <row r="78" spans="3:5" x14ac:dyDescent="0.25">
      <c r="C78" t="s">
        <v>151</v>
      </c>
      <c r="D78" t="s">
        <v>152</v>
      </c>
      <c r="E78" t="str">
        <f>HYPERLINK("https://worldwide.espacenet.com/publicationDetails/biblio?II=76&amp;ND=3&amp;adjacent=true&amp;locale=en_EP&amp;FT=D&amp;date=20180525&amp;CC=CN&amp;NR=207406359U&amp;KC=U")</f>
        <v>https://worldwide.espacenet.com/publicationDetails/biblio?II=76&amp;ND=3&amp;adjacent=true&amp;locale=en_EP&amp;FT=D&amp;date=20180525&amp;CC=CN&amp;NR=207406359U&amp;KC=U</v>
      </c>
    </row>
    <row r="79" spans="3:5" x14ac:dyDescent="0.25">
      <c r="C79" t="s">
        <v>153</v>
      </c>
      <c r="D79" t="s">
        <v>154</v>
      </c>
      <c r="E79" t="str">
        <f>HYPERLINK("https://worldwide.espacenet.com/publicationDetails/biblio?II=77&amp;ND=3&amp;adjacent=true&amp;locale=en_EP&amp;FT=D&amp;date=20180525&amp;CC=CN&amp;NR=207406321U&amp;KC=U")</f>
        <v>https://worldwide.espacenet.com/publicationDetails/biblio?II=77&amp;ND=3&amp;adjacent=true&amp;locale=en_EP&amp;FT=D&amp;date=20180525&amp;CC=CN&amp;NR=207406321U&amp;KC=U</v>
      </c>
    </row>
    <row r="80" spans="3:5" x14ac:dyDescent="0.25">
      <c r="C80" t="s">
        <v>155</v>
      </c>
      <c r="D80" t="s">
        <v>156</v>
      </c>
      <c r="E80" t="str">
        <f>HYPERLINK("https://worldwide.espacenet.com/publicationDetails/biblio?II=78&amp;ND=3&amp;adjacent=true&amp;locale=en_EP&amp;FT=D&amp;date=20180522&amp;CC=CN&amp;NR=207391399U&amp;KC=U")</f>
        <v>https://worldwide.espacenet.com/publicationDetails/biblio?II=78&amp;ND=3&amp;adjacent=true&amp;locale=en_EP&amp;FT=D&amp;date=20180522&amp;CC=CN&amp;NR=207391399U&amp;KC=U</v>
      </c>
    </row>
    <row r="81" spans="3:5" x14ac:dyDescent="0.25">
      <c r="C81" t="s">
        <v>157</v>
      </c>
      <c r="D81" t="s">
        <v>158</v>
      </c>
      <c r="E81" t="str">
        <f>HYPERLINK("https://worldwide.espacenet.com/publicationDetails/biblio?II=79&amp;ND=3&amp;adjacent=true&amp;locale=en_EP&amp;FT=D&amp;date=20180522&amp;CC=CN&amp;NR=207388747U&amp;KC=U")</f>
        <v>https://worldwide.espacenet.com/publicationDetails/biblio?II=79&amp;ND=3&amp;adjacent=true&amp;locale=en_EP&amp;FT=D&amp;date=20180522&amp;CC=CN&amp;NR=207388747U&amp;KC=U</v>
      </c>
    </row>
    <row r="82" spans="3:5" x14ac:dyDescent="0.25">
      <c r="C82" t="s">
        <v>159</v>
      </c>
      <c r="D82" t="s">
        <v>160</v>
      </c>
      <c r="E82" t="str">
        <f>HYPERLINK("https://worldwide.espacenet.com/publicationDetails/biblio?II=80&amp;ND=3&amp;adjacent=true&amp;locale=en_EP&amp;FT=D&amp;date=20180529&amp;CC=CN&amp;NR=207419221U&amp;KC=U")</f>
        <v>https://worldwide.espacenet.com/publicationDetails/biblio?II=80&amp;ND=3&amp;adjacent=true&amp;locale=en_EP&amp;FT=D&amp;date=20180529&amp;CC=CN&amp;NR=207419221U&amp;KC=U</v>
      </c>
    </row>
    <row r="83" spans="3:5" x14ac:dyDescent="0.25">
      <c r="C83" t="s">
        <v>161</v>
      </c>
      <c r="D83" t="s">
        <v>162</v>
      </c>
      <c r="E83" t="str">
        <f>HYPERLINK("https://worldwide.espacenet.com/publicationDetails/biblio?II=81&amp;ND=3&amp;adjacent=true&amp;locale=en_EP&amp;FT=D&amp;date=20180529&amp;CC=CN&amp;NR=207416768U&amp;KC=U")</f>
        <v>https://worldwide.espacenet.com/publicationDetails/biblio?II=81&amp;ND=3&amp;adjacent=true&amp;locale=en_EP&amp;FT=D&amp;date=20180529&amp;CC=CN&amp;NR=207416768U&amp;KC=U</v>
      </c>
    </row>
    <row r="84" spans="3:5" x14ac:dyDescent="0.25">
      <c r="C84" t="s">
        <v>163</v>
      </c>
      <c r="D84" t="s">
        <v>164</v>
      </c>
      <c r="E84" t="str">
        <f>HYPERLINK("https://worldwide.espacenet.com/publicationDetails/biblio?II=82&amp;ND=3&amp;adjacent=true&amp;locale=en_EP&amp;FT=D&amp;date=20180529&amp;CC=CN&amp;NR=207420457U&amp;KC=U")</f>
        <v>https://worldwide.espacenet.com/publicationDetails/biblio?II=82&amp;ND=3&amp;adjacent=true&amp;locale=en_EP&amp;FT=D&amp;date=20180529&amp;CC=CN&amp;NR=207420457U&amp;KC=U</v>
      </c>
    </row>
    <row r="85" spans="3:5" x14ac:dyDescent="0.25">
      <c r="C85" t="s">
        <v>165</v>
      </c>
      <c r="D85" t="s">
        <v>166</v>
      </c>
      <c r="E85" t="str">
        <f>HYPERLINK("https://worldwide.espacenet.com/publicationDetails/biblio?II=83&amp;ND=3&amp;adjacent=true&amp;locale=en_EP&amp;FT=D&amp;date=20180608&amp;CC=CN&amp;NR=108128187A&amp;KC=A")</f>
        <v>https://worldwide.espacenet.com/publicationDetails/biblio?II=83&amp;ND=3&amp;adjacent=true&amp;locale=en_EP&amp;FT=D&amp;date=20180608&amp;CC=CN&amp;NR=108128187A&amp;KC=A</v>
      </c>
    </row>
    <row r="86" spans="3:5" x14ac:dyDescent="0.25">
      <c r="C86" t="s">
        <v>167</v>
      </c>
      <c r="D86" t="s">
        <v>168</v>
      </c>
      <c r="E86" t="str">
        <f>HYPERLINK("https://worldwide.espacenet.com/publicationDetails/biblio?II=84&amp;ND=3&amp;adjacent=true&amp;locale=en_EP&amp;FT=D&amp;date=20180608&amp;CC=CN&amp;NR=108137119A&amp;KC=A")</f>
        <v>https://worldwide.espacenet.com/publicationDetails/biblio?II=84&amp;ND=3&amp;adjacent=true&amp;locale=en_EP&amp;FT=D&amp;date=20180608&amp;CC=CN&amp;NR=108137119A&amp;KC=A</v>
      </c>
    </row>
    <row r="87" spans="3:5" x14ac:dyDescent="0.25">
      <c r="C87" t="s">
        <v>169</v>
      </c>
      <c r="D87" t="s">
        <v>170</v>
      </c>
      <c r="E87" t="str">
        <f>HYPERLINK("https://worldwide.espacenet.com/publicationDetails/biblio?II=85&amp;ND=3&amp;adjacent=true&amp;locale=en_EP&amp;FT=D&amp;date=20180504&amp;CC=CN&amp;NR=207321030U&amp;KC=U")</f>
        <v>https://worldwide.espacenet.com/publicationDetails/biblio?II=85&amp;ND=3&amp;adjacent=true&amp;locale=en_EP&amp;FT=D&amp;date=20180504&amp;CC=CN&amp;NR=207321030U&amp;KC=U</v>
      </c>
    </row>
    <row r="88" spans="3:5" x14ac:dyDescent="0.25">
      <c r="C88" t="s">
        <v>171</v>
      </c>
      <c r="D88" t="s">
        <v>172</v>
      </c>
      <c r="E88" t="str">
        <f>HYPERLINK("https://worldwide.espacenet.com/publicationDetails/biblio?II=86&amp;ND=3&amp;adjacent=true&amp;locale=en_EP&amp;FT=D&amp;date=20180508&amp;CC=CN&amp;NR=207328700U&amp;KC=U")</f>
        <v>https://worldwide.espacenet.com/publicationDetails/biblio?II=86&amp;ND=3&amp;adjacent=true&amp;locale=en_EP&amp;FT=D&amp;date=20180508&amp;CC=CN&amp;NR=207328700U&amp;KC=U</v>
      </c>
    </row>
    <row r="89" spans="3:5" x14ac:dyDescent="0.25">
      <c r="C89" t="s">
        <v>173</v>
      </c>
      <c r="D89" t="s">
        <v>174</v>
      </c>
      <c r="E89" t="str">
        <f>HYPERLINK("https://worldwide.espacenet.com/publicationDetails/biblio?II=87&amp;ND=3&amp;adjacent=true&amp;locale=en_EP&amp;FT=D&amp;date=20180508&amp;CC=CN&amp;NR=207329817U&amp;KC=U")</f>
        <v>https://worldwide.espacenet.com/publicationDetails/biblio?II=87&amp;ND=3&amp;adjacent=true&amp;locale=en_EP&amp;FT=D&amp;date=20180508&amp;CC=CN&amp;NR=207329817U&amp;KC=U</v>
      </c>
    </row>
    <row r="90" spans="3:5" x14ac:dyDescent="0.25">
      <c r="C90" t="s">
        <v>175</v>
      </c>
      <c r="D90" t="s">
        <v>176</v>
      </c>
      <c r="E90" t="str">
        <f>HYPERLINK("https://worldwide.espacenet.com/publicationDetails/biblio?II=88&amp;ND=3&amp;adjacent=true&amp;locale=en_EP&amp;FT=D&amp;date=20180508&amp;CC=CN&amp;NR=207330173U&amp;KC=U")</f>
        <v>https://worldwide.espacenet.com/publicationDetails/biblio?II=88&amp;ND=3&amp;adjacent=true&amp;locale=en_EP&amp;FT=D&amp;date=20180508&amp;CC=CN&amp;NR=207330173U&amp;KC=U</v>
      </c>
    </row>
    <row r="91" spans="3:5" x14ac:dyDescent="0.25">
      <c r="C91" t="s">
        <v>177</v>
      </c>
      <c r="D91" t="s">
        <v>178</v>
      </c>
      <c r="E91" t="str">
        <f>HYPERLINK("https://worldwide.espacenet.com/publicationDetails/biblio?II=89&amp;ND=3&amp;adjacent=true&amp;locale=en_EP&amp;FT=D&amp;date=20180511&amp;CC=CN&amp;NR=207341285U&amp;KC=U")</f>
        <v>https://worldwide.espacenet.com/publicationDetails/biblio?II=89&amp;ND=3&amp;adjacent=true&amp;locale=en_EP&amp;FT=D&amp;date=20180511&amp;CC=CN&amp;NR=207341285U&amp;KC=U</v>
      </c>
    </row>
    <row r="92" spans="3:5" x14ac:dyDescent="0.25">
      <c r="C92" t="s">
        <v>179</v>
      </c>
      <c r="D92" t="s">
        <v>180</v>
      </c>
      <c r="E92" t="str">
        <f>HYPERLINK("https://worldwide.espacenet.com/publicationDetails/biblio?II=90&amp;ND=3&amp;adjacent=true&amp;locale=en_EP&amp;FT=D&amp;date=20180511&amp;CC=CN&amp;NR=207351638U&amp;KC=U")</f>
        <v>https://worldwide.espacenet.com/publicationDetails/biblio?II=90&amp;ND=3&amp;adjacent=true&amp;locale=en_EP&amp;FT=D&amp;date=20180511&amp;CC=CN&amp;NR=207351638U&amp;KC=U</v>
      </c>
    </row>
    <row r="93" spans="3:5" x14ac:dyDescent="0.25">
      <c r="C93" t="s">
        <v>181</v>
      </c>
      <c r="D93" t="s">
        <v>182</v>
      </c>
      <c r="E93" t="str">
        <f>HYPERLINK("https://worldwide.espacenet.com/publicationDetails/biblio?II=91&amp;ND=3&amp;adjacent=true&amp;locale=en_EP&amp;FT=D&amp;date=20180511&amp;CC=CN&amp;NR=207346987U&amp;KC=U")</f>
        <v>https://worldwide.espacenet.com/publicationDetails/biblio?II=91&amp;ND=3&amp;adjacent=true&amp;locale=en_EP&amp;FT=D&amp;date=20180511&amp;CC=CN&amp;NR=207346987U&amp;KC=U</v>
      </c>
    </row>
    <row r="94" spans="3:5" x14ac:dyDescent="0.25">
      <c r="C94" t="s">
        <v>183</v>
      </c>
      <c r="D94" t="s">
        <v>184</v>
      </c>
      <c r="E94" t="str">
        <f>HYPERLINK("https://worldwide.espacenet.com/publicationDetails/biblio?II=92&amp;ND=3&amp;adjacent=true&amp;locale=en_EP&amp;FT=D&amp;date=20180515&amp;CC=CN&amp;NR=207357108U&amp;KC=U")</f>
        <v>https://worldwide.espacenet.com/publicationDetails/biblio?II=92&amp;ND=3&amp;adjacent=true&amp;locale=en_EP&amp;FT=D&amp;date=20180515&amp;CC=CN&amp;NR=207357108U&amp;KC=U</v>
      </c>
    </row>
    <row r="95" spans="3:5" x14ac:dyDescent="0.25">
      <c r="C95" t="s">
        <v>185</v>
      </c>
      <c r="D95" t="s">
        <v>186</v>
      </c>
      <c r="E95" t="str">
        <f>HYPERLINK("https://worldwide.espacenet.com/publicationDetails/biblio?II=93&amp;ND=3&amp;adjacent=true&amp;locale=en_EP&amp;FT=D&amp;date=20180515&amp;CC=CN&amp;NR=207360450U&amp;KC=U")</f>
        <v>https://worldwide.espacenet.com/publicationDetails/biblio?II=93&amp;ND=3&amp;adjacent=true&amp;locale=en_EP&amp;FT=D&amp;date=20180515&amp;CC=CN&amp;NR=207360450U&amp;KC=U</v>
      </c>
    </row>
    <row r="96" spans="3:5" x14ac:dyDescent="0.25">
      <c r="C96" t="s">
        <v>187</v>
      </c>
      <c r="D96" t="s">
        <v>188</v>
      </c>
      <c r="E96" t="str">
        <f>HYPERLINK("https://worldwide.espacenet.com/publicationDetails/biblio?II=94&amp;ND=3&amp;adjacent=true&amp;locale=en_EP&amp;FT=D&amp;date=20180515&amp;CC=CN&amp;NR=207366338U&amp;KC=U")</f>
        <v>https://worldwide.espacenet.com/publicationDetails/biblio?II=94&amp;ND=3&amp;adjacent=true&amp;locale=en_EP&amp;FT=D&amp;date=20180515&amp;CC=CN&amp;NR=207366338U&amp;KC=U</v>
      </c>
    </row>
    <row r="97" spans="3:5" x14ac:dyDescent="0.25">
      <c r="C97" t="s">
        <v>189</v>
      </c>
      <c r="D97" t="s">
        <v>190</v>
      </c>
      <c r="E97" t="str">
        <f>HYPERLINK("https://worldwide.espacenet.com/publicationDetails/biblio?II=95&amp;ND=3&amp;adjacent=true&amp;locale=en_EP&amp;FT=D&amp;date=20180522&amp;CC=CN&amp;NR=207395302U&amp;KC=U")</f>
        <v>https://worldwide.espacenet.com/publicationDetails/biblio?II=95&amp;ND=3&amp;adjacent=true&amp;locale=en_EP&amp;FT=D&amp;date=20180522&amp;CC=CN&amp;NR=207395302U&amp;KC=U</v>
      </c>
    </row>
    <row r="98" spans="3:5" x14ac:dyDescent="0.25">
      <c r="C98" t="s">
        <v>191</v>
      </c>
      <c r="D98" t="s">
        <v>192</v>
      </c>
      <c r="E98" t="str">
        <f>HYPERLINK("https://worldwide.espacenet.com/publicationDetails/biblio?II=96&amp;ND=3&amp;adjacent=true&amp;locale=en_EP&amp;FT=D&amp;date=20180525&amp;CC=CN&amp;NR=207404574U&amp;KC=U")</f>
        <v>https://worldwide.espacenet.com/publicationDetails/biblio?II=96&amp;ND=3&amp;adjacent=true&amp;locale=en_EP&amp;FT=D&amp;date=20180525&amp;CC=CN&amp;NR=207404574U&amp;KC=U</v>
      </c>
    </row>
    <row r="99" spans="3:5" x14ac:dyDescent="0.25">
      <c r="C99" t="s">
        <v>193</v>
      </c>
      <c r="D99" t="s">
        <v>194</v>
      </c>
      <c r="E99" t="str">
        <f>HYPERLINK("https://worldwide.espacenet.com/publicationDetails/biblio?II=97&amp;ND=3&amp;adjacent=true&amp;locale=en_EP&amp;FT=D&amp;date=20180525&amp;CC=CN&amp;NR=207399770U&amp;KC=U")</f>
        <v>https://worldwide.espacenet.com/publicationDetails/biblio?II=97&amp;ND=3&amp;adjacent=true&amp;locale=en_EP&amp;FT=D&amp;date=20180525&amp;CC=CN&amp;NR=207399770U&amp;KC=U</v>
      </c>
    </row>
    <row r="100" spans="3:5" x14ac:dyDescent="0.25">
      <c r="C100" t="s">
        <v>195</v>
      </c>
      <c r="D100" t="s">
        <v>196</v>
      </c>
      <c r="E100" t="str">
        <f>HYPERLINK("https://worldwide.espacenet.com/publicationDetails/biblio?II=98&amp;ND=3&amp;adjacent=true&amp;locale=en_EP&amp;FT=D&amp;date=20180529&amp;CC=CN&amp;NR=207417033U&amp;KC=U")</f>
        <v>https://worldwide.espacenet.com/publicationDetails/biblio?II=98&amp;ND=3&amp;adjacent=true&amp;locale=en_EP&amp;FT=D&amp;date=20180529&amp;CC=CN&amp;NR=207417033U&amp;KC=U</v>
      </c>
    </row>
    <row r="101" spans="3:5" x14ac:dyDescent="0.25">
      <c r="C101" t="s">
        <v>197</v>
      </c>
      <c r="D101" t="s">
        <v>198</v>
      </c>
      <c r="E101" t="str">
        <f>HYPERLINK("https://worldwide.espacenet.com/publicationDetails/biblio?II=99&amp;ND=3&amp;adjacent=true&amp;locale=en_EP&amp;FT=D&amp;date=20180529&amp;CC=CN&amp;NR=207419704U&amp;KC=U")</f>
        <v>https://worldwide.espacenet.com/publicationDetails/biblio?II=99&amp;ND=3&amp;adjacent=true&amp;locale=en_EP&amp;FT=D&amp;date=20180529&amp;CC=CN&amp;NR=207419704U&amp;KC=U</v>
      </c>
    </row>
    <row r="102" spans="3:5" x14ac:dyDescent="0.25">
      <c r="C102" t="s">
        <v>199</v>
      </c>
      <c r="D102" t="s">
        <v>200</v>
      </c>
      <c r="E102" t="str">
        <f>HYPERLINK("https://worldwide.espacenet.com/publicationDetails/biblio?II=100&amp;ND=3&amp;adjacent=true&amp;locale=en_EP&amp;FT=D&amp;date=20180529&amp;CC=CN&amp;NR=207417042U&amp;KC=U")</f>
        <v>https://worldwide.espacenet.com/publicationDetails/biblio?II=100&amp;ND=3&amp;adjacent=true&amp;locale=en_EP&amp;FT=D&amp;date=20180529&amp;CC=CN&amp;NR=207417042U&amp;KC=U</v>
      </c>
    </row>
    <row r="103" spans="3:5" x14ac:dyDescent="0.25">
      <c r="C103" t="s">
        <v>201</v>
      </c>
      <c r="D103" t="s">
        <v>202</v>
      </c>
      <c r="E103" t="str">
        <f>HYPERLINK("https://worldwide.espacenet.com/publicationDetails/biblio?II=101&amp;ND=3&amp;adjacent=true&amp;locale=en_EP&amp;FT=D&amp;date=20180529&amp;CC=CN&amp;NR=207420294U&amp;KC=U")</f>
        <v>https://worldwide.espacenet.com/publicationDetails/biblio?II=101&amp;ND=3&amp;adjacent=true&amp;locale=en_EP&amp;FT=D&amp;date=20180529&amp;CC=CN&amp;NR=207420294U&amp;KC=U</v>
      </c>
    </row>
    <row r="104" spans="3:5" x14ac:dyDescent="0.25">
      <c r="C104" t="s">
        <v>203</v>
      </c>
      <c r="D104" t="s">
        <v>204</v>
      </c>
      <c r="E104" t="str">
        <f>HYPERLINK("https://worldwide.espacenet.com/publicationDetails/biblio?II=102&amp;ND=3&amp;adjacent=true&amp;locale=en_EP&amp;FT=D&amp;date=20180529&amp;CC=CN&amp;NR=207419218U&amp;KC=U")</f>
        <v>https://worldwide.espacenet.com/publicationDetails/biblio?II=102&amp;ND=3&amp;adjacent=true&amp;locale=en_EP&amp;FT=D&amp;date=20180529&amp;CC=CN&amp;NR=207419218U&amp;KC=U</v>
      </c>
    </row>
    <row r="105" spans="3:5" x14ac:dyDescent="0.25">
      <c r="C105" t="s">
        <v>205</v>
      </c>
      <c r="D105" t="s">
        <v>206</v>
      </c>
      <c r="E105" t="str">
        <f>HYPERLINK("https://worldwide.espacenet.com/publicationDetails/biblio?II=103&amp;ND=3&amp;adjacent=true&amp;locale=en_EP&amp;FT=D&amp;date=20180529&amp;CC=CN&amp;NR=207417686U&amp;KC=U")</f>
        <v>https://worldwide.espacenet.com/publicationDetails/biblio?II=103&amp;ND=3&amp;adjacent=true&amp;locale=en_EP&amp;FT=D&amp;date=20180529&amp;CC=CN&amp;NR=207417686U&amp;KC=U</v>
      </c>
    </row>
    <row r="106" spans="3:5" x14ac:dyDescent="0.25">
      <c r="C106" t="s">
        <v>207</v>
      </c>
      <c r="D106" t="s">
        <v>208</v>
      </c>
      <c r="E106" t="str">
        <f>HYPERLINK("https://worldwide.espacenet.com/publicationDetails/biblio?II=104&amp;ND=3&amp;adjacent=true&amp;locale=en_EP&amp;FT=D&amp;date=20180529&amp;CC=CN&amp;NR=207424595U&amp;KC=U")</f>
        <v>https://worldwide.espacenet.com/publicationDetails/biblio?II=104&amp;ND=3&amp;adjacent=true&amp;locale=en_EP&amp;FT=D&amp;date=20180529&amp;CC=CN&amp;NR=207424595U&amp;KC=U</v>
      </c>
    </row>
    <row r="107" spans="3:5" x14ac:dyDescent="0.25">
      <c r="C107" t="s">
        <v>209</v>
      </c>
      <c r="D107" t="s">
        <v>210</v>
      </c>
      <c r="E107" t="str">
        <f>HYPERLINK("https://worldwide.espacenet.com/publicationDetails/biblio?II=105&amp;ND=3&amp;adjacent=true&amp;locale=en_EP&amp;FT=D&amp;date=20180518&amp;CC=CN&amp;NR=207375543U&amp;KC=U")</f>
        <v>https://worldwide.espacenet.com/publicationDetails/biblio?II=105&amp;ND=3&amp;adjacent=true&amp;locale=en_EP&amp;FT=D&amp;date=20180518&amp;CC=CN&amp;NR=207375543U&amp;KC=U</v>
      </c>
    </row>
    <row r="108" spans="3:5" x14ac:dyDescent="0.25">
      <c r="C108" t="s">
        <v>211</v>
      </c>
      <c r="D108" t="s">
        <v>212</v>
      </c>
      <c r="E108" t="str">
        <f>HYPERLINK("https://worldwide.espacenet.com/publicationDetails/biblio?II=106&amp;ND=3&amp;adjacent=true&amp;locale=en_EP&amp;FT=D&amp;date=20180601&amp;CC=CN&amp;NR=207439659U&amp;KC=U")</f>
        <v>https://worldwide.espacenet.com/publicationDetails/biblio?II=106&amp;ND=3&amp;adjacent=true&amp;locale=en_EP&amp;FT=D&amp;date=20180601&amp;CC=CN&amp;NR=207439659U&amp;KC=U</v>
      </c>
    </row>
    <row r="109" spans="3:5" x14ac:dyDescent="0.25">
      <c r="C109" t="s">
        <v>213</v>
      </c>
      <c r="D109" t="s">
        <v>214</v>
      </c>
      <c r="E109" t="str">
        <f>HYPERLINK("https://worldwide.espacenet.com/publicationDetails/biblio?II=107&amp;ND=3&amp;adjacent=true&amp;locale=en_EP&amp;FT=D&amp;date=20180601&amp;CC=CN&amp;NR=207433675U&amp;KC=U")</f>
        <v>https://worldwide.espacenet.com/publicationDetails/biblio?II=107&amp;ND=3&amp;adjacent=true&amp;locale=en_EP&amp;FT=D&amp;date=20180601&amp;CC=CN&amp;NR=207433675U&amp;KC=U</v>
      </c>
    </row>
    <row r="110" spans="3:5" x14ac:dyDescent="0.25">
      <c r="C110" t="s">
        <v>215</v>
      </c>
      <c r="D110" t="s">
        <v>216</v>
      </c>
      <c r="E110" t="str">
        <f>HYPERLINK("https://worldwide.espacenet.com/publicationDetails/biblio?II=108&amp;ND=3&amp;adjacent=true&amp;locale=en_EP&amp;FT=D&amp;date=20180601&amp;CC=CN&amp;NR=207437578U&amp;KC=U")</f>
        <v>https://worldwide.espacenet.com/publicationDetails/biblio?II=108&amp;ND=3&amp;adjacent=true&amp;locale=en_EP&amp;FT=D&amp;date=20180601&amp;CC=CN&amp;NR=207437578U&amp;KC=U</v>
      </c>
    </row>
    <row r="111" spans="3:5" x14ac:dyDescent="0.25">
      <c r="C111" t="s">
        <v>217</v>
      </c>
      <c r="D111" t="s">
        <v>218</v>
      </c>
      <c r="E111" t="str">
        <f>HYPERLINK("https://worldwide.espacenet.com/publicationDetails/biblio?II=109&amp;ND=3&amp;adjacent=true&amp;locale=en_EP&amp;FT=D&amp;date=20180605&amp;CC=CN&amp;NR=207457835U&amp;KC=U")</f>
        <v>https://worldwide.espacenet.com/publicationDetails/biblio?II=109&amp;ND=3&amp;adjacent=true&amp;locale=en_EP&amp;FT=D&amp;date=20180605&amp;CC=CN&amp;NR=207457835U&amp;KC=U</v>
      </c>
    </row>
    <row r="112" spans="3:5" x14ac:dyDescent="0.25">
      <c r="C112" t="s">
        <v>219</v>
      </c>
      <c r="D112" t="s">
        <v>220</v>
      </c>
      <c r="E112" t="str">
        <f>HYPERLINK("https://worldwide.espacenet.com/publicationDetails/biblio?II=110&amp;ND=3&amp;adjacent=true&amp;locale=en_EP&amp;FT=D&amp;date=20180501&amp;CC=CN&amp;NR=207300674U&amp;KC=U")</f>
        <v>https://worldwide.espacenet.com/publicationDetails/biblio?II=110&amp;ND=3&amp;adjacent=true&amp;locale=en_EP&amp;FT=D&amp;date=20180501&amp;CC=CN&amp;NR=207300674U&amp;KC=U</v>
      </c>
    </row>
    <row r="113" spans="3:5" x14ac:dyDescent="0.25">
      <c r="C113" t="s">
        <v>221</v>
      </c>
      <c r="D113" t="s">
        <v>222</v>
      </c>
      <c r="E113" t="str">
        <f>HYPERLINK("https://worldwide.espacenet.com/publicationDetails/biblio?II=111&amp;ND=3&amp;adjacent=true&amp;locale=en_EP&amp;FT=D&amp;date=20180608&amp;CC=CN&amp;NR=207466856U&amp;KC=U")</f>
        <v>https://worldwide.espacenet.com/publicationDetails/biblio?II=111&amp;ND=3&amp;adjacent=true&amp;locale=en_EP&amp;FT=D&amp;date=20180608&amp;CC=CN&amp;NR=207466856U&amp;KC=U</v>
      </c>
    </row>
    <row r="114" spans="3:5" x14ac:dyDescent="0.25">
      <c r="C114" t="s">
        <v>223</v>
      </c>
      <c r="D114" t="s">
        <v>224</v>
      </c>
      <c r="E114" t="str">
        <f>HYPERLINK("https://worldwide.espacenet.com/publicationDetails/biblio?II=112&amp;ND=3&amp;adjacent=true&amp;locale=en_EP&amp;FT=D&amp;date=20180608&amp;CC=CN&amp;NR=207467998U&amp;KC=U")</f>
        <v>https://worldwide.espacenet.com/publicationDetails/biblio?II=112&amp;ND=3&amp;adjacent=true&amp;locale=en_EP&amp;FT=D&amp;date=20180608&amp;CC=CN&amp;NR=207467998U&amp;KC=U</v>
      </c>
    </row>
    <row r="115" spans="3:5" x14ac:dyDescent="0.25">
      <c r="C115" t="s">
        <v>225</v>
      </c>
      <c r="D115" t="s">
        <v>226</v>
      </c>
      <c r="E115" t="str">
        <f>HYPERLINK("https://worldwide.espacenet.com/publicationDetails/biblio?II=113&amp;ND=3&amp;adjacent=true&amp;locale=en_EP&amp;FT=D&amp;date=20180608&amp;CC=CN&amp;NR=207468270U&amp;KC=U")</f>
        <v>https://worldwide.espacenet.com/publicationDetails/biblio?II=113&amp;ND=3&amp;adjacent=true&amp;locale=en_EP&amp;FT=D&amp;date=20180608&amp;CC=CN&amp;NR=207468270U&amp;KC=U</v>
      </c>
    </row>
    <row r="116" spans="3:5" x14ac:dyDescent="0.25">
      <c r="C116" t="s">
        <v>227</v>
      </c>
      <c r="D116" t="s">
        <v>228</v>
      </c>
      <c r="E116" t="str">
        <f>HYPERLINK("https://worldwide.espacenet.com/publicationDetails/biblio?II=114&amp;ND=3&amp;adjacent=true&amp;locale=en_EP&amp;FT=D&amp;date=20180608&amp;CC=CN&amp;NR=207468391U&amp;KC=U")</f>
        <v>https://worldwide.espacenet.com/publicationDetails/biblio?II=114&amp;ND=3&amp;adjacent=true&amp;locale=en_EP&amp;FT=D&amp;date=20180608&amp;CC=CN&amp;NR=207468391U&amp;KC=U</v>
      </c>
    </row>
    <row r="117" spans="3:5" x14ac:dyDescent="0.25">
      <c r="C117" t="s">
        <v>229</v>
      </c>
      <c r="D117" t="s">
        <v>230</v>
      </c>
      <c r="E117" t="str">
        <f>HYPERLINK("https://worldwide.espacenet.com/publicationDetails/biblio?II=115&amp;ND=3&amp;adjacent=true&amp;locale=en_EP&amp;FT=D&amp;date=20180608&amp;CC=CN&amp;NR=207466650U&amp;KC=U")</f>
        <v>https://worldwide.espacenet.com/publicationDetails/biblio?II=115&amp;ND=3&amp;adjacent=true&amp;locale=en_EP&amp;FT=D&amp;date=20180608&amp;CC=CN&amp;NR=207466650U&amp;KC=U</v>
      </c>
    </row>
    <row r="118" spans="3:5" x14ac:dyDescent="0.25">
      <c r="C118" t="s">
        <v>231</v>
      </c>
      <c r="D118" t="s">
        <v>232</v>
      </c>
      <c r="E118" t="str">
        <f>HYPERLINK("https://worldwide.espacenet.com/publicationDetails/biblio?II=116&amp;ND=3&amp;adjacent=true&amp;locale=en_EP&amp;FT=D&amp;date=20180608&amp;CC=CN&amp;NR=207465215U&amp;KC=U")</f>
        <v>https://worldwide.espacenet.com/publicationDetails/biblio?II=116&amp;ND=3&amp;adjacent=true&amp;locale=en_EP&amp;FT=D&amp;date=20180608&amp;CC=CN&amp;NR=207465215U&amp;KC=U</v>
      </c>
    </row>
    <row r="119" spans="3:5" x14ac:dyDescent="0.25">
      <c r="C119" t="s">
        <v>233</v>
      </c>
      <c r="D119" t="s">
        <v>234</v>
      </c>
      <c r="E119" t="str">
        <f>HYPERLINK("https://worldwide.espacenet.com/publicationDetails/biblio?II=117&amp;ND=3&amp;adjacent=true&amp;locale=en_EP&amp;FT=D&amp;date=20180605&amp;CC=CN&amp;NR=207454853U&amp;KC=U")</f>
        <v>https://worldwide.espacenet.com/publicationDetails/biblio?II=117&amp;ND=3&amp;adjacent=true&amp;locale=en_EP&amp;FT=D&amp;date=20180605&amp;CC=CN&amp;NR=207454853U&amp;KC=U</v>
      </c>
    </row>
    <row r="120" spans="3:5" x14ac:dyDescent="0.25">
      <c r="C120" t="s">
        <v>235</v>
      </c>
      <c r="D120" t="s">
        <v>236</v>
      </c>
      <c r="E120" t="str">
        <f>HYPERLINK("https://worldwide.espacenet.com/publicationDetails/biblio?II=118&amp;ND=3&amp;adjacent=true&amp;locale=en_EP&amp;FT=D&amp;date=20180607&amp;CC=US&amp;NR=2018154971A1&amp;KC=A1")</f>
        <v>https://worldwide.espacenet.com/publicationDetails/biblio?II=118&amp;ND=3&amp;adjacent=true&amp;locale=en_EP&amp;FT=D&amp;date=20180607&amp;CC=US&amp;NR=2018154971A1&amp;KC=A1</v>
      </c>
    </row>
    <row r="121" spans="3:5" x14ac:dyDescent="0.25">
      <c r="C121" t="s">
        <v>237</v>
      </c>
      <c r="D121" t="s">
        <v>238</v>
      </c>
      <c r="E121" t="str">
        <f>HYPERLINK("https://worldwide.espacenet.com/publicationDetails/biblio?II=119&amp;ND=3&amp;adjacent=true&amp;locale=en_EP&amp;FT=D&amp;date=20180605&amp;CC=US&amp;NR=9988114B1&amp;KC=B1")</f>
        <v>https://worldwide.espacenet.com/publicationDetails/biblio?II=119&amp;ND=3&amp;adjacent=true&amp;locale=en_EP&amp;FT=D&amp;date=20180605&amp;CC=US&amp;NR=9988114B1&amp;KC=B1</v>
      </c>
    </row>
    <row r="122" spans="3:5" x14ac:dyDescent="0.25">
      <c r="C122" t="s">
        <v>239</v>
      </c>
      <c r="D122" t="s">
        <v>240</v>
      </c>
      <c r="E122" t="str">
        <f>HYPERLINK("https://worldwide.espacenet.com/publicationDetails/biblio?II=120&amp;ND=3&amp;adjacent=true&amp;locale=en_EP&amp;FT=D&amp;date=20180605&amp;CC=CN&amp;NR=108120826A&amp;KC=A")</f>
        <v>https://worldwide.espacenet.com/publicationDetails/biblio?II=120&amp;ND=3&amp;adjacent=true&amp;locale=en_EP&amp;FT=D&amp;date=20180605&amp;CC=CN&amp;NR=108120826A&amp;KC=A</v>
      </c>
    </row>
    <row r="123" spans="3:5" x14ac:dyDescent="0.25">
      <c r="C123" t="s">
        <v>241</v>
      </c>
      <c r="D123" t="s">
        <v>242</v>
      </c>
      <c r="E123" t="str">
        <f>HYPERLINK("https://worldwide.espacenet.com/publicationDetails/biblio?II=121&amp;ND=3&amp;adjacent=true&amp;locale=en_EP&amp;FT=D&amp;date=20180605&amp;CC=CN&amp;NR=108116973A&amp;KC=A")</f>
        <v>https://worldwide.espacenet.com/publicationDetails/biblio?II=121&amp;ND=3&amp;adjacent=true&amp;locale=en_EP&amp;FT=D&amp;date=20180605&amp;CC=CN&amp;NR=108116973A&amp;KC=A</v>
      </c>
    </row>
    <row r="124" spans="3:5" x14ac:dyDescent="0.25">
      <c r="C124" t="s">
        <v>243</v>
      </c>
      <c r="D124" t="s">
        <v>244</v>
      </c>
      <c r="E124" t="str">
        <f>HYPERLINK("https://worldwide.espacenet.com/publicationDetails/biblio?II=122&amp;ND=3&amp;adjacent=true&amp;locale=en_EP&amp;FT=D&amp;date=20180605&amp;CC=CN&amp;NR=108121351A&amp;KC=A")</f>
        <v>https://worldwide.espacenet.com/publicationDetails/biblio?II=122&amp;ND=3&amp;adjacent=true&amp;locale=en_EP&amp;FT=D&amp;date=20180605&amp;CC=CN&amp;NR=108121351A&amp;KC=A</v>
      </c>
    </row>
    <row r="125" spans="3:5" x14ac:dyDescent="0.25">
      <c r="C125" t="s">
        <v>245</v>
      </c>
      <c r="D125" t="s">
        <v>246</v>
      </c>
      <c r="E125" t="str">
        <f>HYPERLINK("https://worldwide.espacenet.com/publicationDetails/biblio?II=123&amp;ND=3&amp;adjacent=true&amp;locale=en_EP&amp;FT=D&amp;date=20180605&amp;CC=CN&amp;NR=108121334A&amp;KC=A")</f>
        <v>https://worldwide.espacenet.com/publicationDetails/biblio?II=123&amp;ND=3&amp;adjacent=true&amp;locale=en_EP&amp;FT=D&amp;date=20180605&amp;CC=CN&amp;NR=108121334A&amp;KC=A</v>
      </c>
    </row>
    <row r="126" spans="3:5" x14ac:dyDescent="0.25">
      <c r="C126" t="s">
        <v>247</v>
      </c>
      <c r="D126" t="s">
        <v>248</v>
      </c>
      <c r="E126" t="str">
        <f>HYPERLINK("https://worldwide.espacenet.com/publicationDetails/biblio?II=124&amp;ND=3&amp;adjacent=true&amp;locale=en_EP&amp;FT=D&amp;date=20180605&amp;CC=CN&amp;NR=108116532A&amp;KC=A")</f>
        <v>https://worldwide.espacenet.com/publicationDetails/biblio?II=124&amp;ND=3&amp;adjacent=true&amp;locale=en_EP&amp;FT=D&amp;date=20180605&amp;CC=CN&amp;NR=108116532A&amp;KC=A</v>
      </c>
    </row>
    <row r="127" spans="3:5" x14ac:dyDescent="0.25">
      <c r="C127" t="s">
        <v>249</v>
      </c>
      <c r="D127" t="s">
        <v>250</v>
      </c>
      <c r="E127" t="str">
        <f>HYPERLINK("https://worldwide.espacenet.com/publicationDetails/biblio?II=125&amp;ND=3&amp;adjacent=true&amp;locale=en_EP&amp;FT=D&amp;date=20180531&amp;CC=WO&amp;NR=2018095315A1&amp;KC=A1")</f>
        <v>https://worldwide.espacenet.com/publicationDetails/biblio?II=125&amp;ND=3&amp;adjacent=true&amp;locale=en_EP&amp;FT=D&amp;date=20180531&amp;CC=WO&amp;NR=2018095315A1&amp;KC=A1</v>
      </c>
    </row>
    <row r="128" spans="3:5" x14ac:dyDescent="0.25">
      <c r="C128" t="s">
        <v>251</v>
      </c>
      <c r="D128" t="s">
        <v>252</v>
      </c>
      <c r="E128" t="str">
        <f>HYPERLINK("https://worldwide.espacenet.com/publicationDetails/biblio?II=126&amp;ND=3&amp;adjacent=true&amp;locale=en_EP&amp;FT=D&amp;date=20180529&amp;CC=CN&amp;NR=108080472A&amp;KC=A")</f>
        <v>https://worldwide.espacenet.com/publicationDetails/biblio?II=126&amp;ND=3&amp;adjacent=true&amp;locale=en_EP&amp;FT=D&amp;date=20180529&amp;CC=CN&amp;NR=108080472A&amp;KC=A</v>
      </c>
    </row>
    <row r="129" spans="3:5" x14ac:dyDescent="0.25">
      <c r="C129" t="s">
        <v>253</v>
      </c>
      <c r="D129" t="s">
        <v>254</v>
      </c>
      <c r="E129" t="str">
        <f>HYPERLINK("https://worldwide.espacenet.com/publicationDetails/biblio?II=127&amp;ND=3&amp;adjacent=true&amp;locale=en_EP&amp;FT=D&amp;date=20180529&amp;CC=CN&amp;NR=108080757A&amp;KC=A")</f>
        <v>https://worldwide.espacenet.com/publicationDetails/biblio?II=127&amp;ND=3&amp;adjacent=true&amp;locale=en_EP&amp;FT=D&amp;date=20180529&amp;CC=CN&amp;NR=108080757A&amp;KC=A</v>
      </c>
    </row>
    <row r="130" spans="3:5" x14ac:dyDescent="0.25">
      <c r="C130" t="s">
        <v>255</v>
      </c>
      <c r="D130" t="s">
        <v>256</v>
      </c>
      <c r="E130" t="str">
        <f>HYPERLINK("https://worldwide.espacenet.com/publicationDetails/biblio?II=128&amp;ND=3&amp;adjacent=true&amp;locale=en_EP&amp;FT=D&amp;date=20180525&amp;CC=CN&amp;NR=108068948A&amp;KC=A")</f>
        <v>https://worldwide.espacenet.com/publicationDetails/biblio?II=128&amp;ND=3&amp;adjacent=true&amp;locale=en_EP&amp;FT=D&amp;date=20180525&amp;CC=CN&amp;NR=108068948A&amp;KC=A</v>
      </c>
    </row>
    <row r="131" spans="3:5" x14ac:dyDescent="0.25">
      <c r="C131" t="s">
        <v>257</v>
      </c>
      <c r="D131" t="s">
        <v>258</v>
      </c>
      <c r="E131" t="str">
        <f>HYPERLINK("https://worldwide.espacenet.com/publicationDetails/biblio?II=129&amp;ND=3&amp;adjacent=true&amp;locale=en_EP&amp;FT=D&amp;date=20180525&amp;CC=CN&amp;NR=108068947A&amp;KC=A")</f>
        <v>https://worldwide.espacenet.com/publicationDetails/biblio?II=129&amp;ND=3&amp;adjacent=true&amp;locale=en_EP&amp;FT=D&amp;date=20180525&amp;CC=CN&amp;NR=108068947A&amp;KC=A</v>
      </c>
    </row>
    <row r="132" spans="3:5" x14ac:dyDescent="0.25">
      <c r="C132" t="s">
        <v>259</v>
      </c>
      <c r="D132" t="s">
        <v>260</v>
      </c>
      <c r="E132" t="str">
        <f>HYPERLINK("https://worldwide.espacenet.com/publicationDetails/biblio?II=130&amp;ND=3&amp;adjacent=true&amp;locale=en_EP&amp;FT=D&amp;date=20180525&amp;CC=CN&amp;NR=108072988A&amp;KC=A")</f>
        <v>https://worldwide.espacenet.com/publicationDetails/biblio?II=130&amp;ND=3&amp;adjacent=true&amp;locale=en_EP&amp;FT=D&amp;date=20180525&amp;CC=CN&amp;NR=108072988A&amp;KC=A</v>
      </c>
    </row>
    <row r="133" spans="3:5" x14ac:dyDescent="0.25">
      <c r="C133" t="s">
        <v>261</v>
      </c>
      <c r="D133" t="s">
        <v>262</v>
      </c>
      <c r="E133" t="str">
        <f>HYPERLINK("https://worldwide.espacenet.com/publicationDetails/biblio?II=131&amp;ND=3&amp;adjacent=true&amp;locale=en_EP&amp;FT=D&amp;date=20180518&amp;CC=RU&amp;NR=2016145259A&amp;KC=A")</f>
        <v>https://worldwide.espacenet.com/publicationDetails/biblio?II=131&amp;ND=3&amp;adjacent=true&amp;locale=en_EP&amp;FT=D&amp;date=20180518&amp;CC=RU&amp;NR=2016145259A&amp;KC=A</v>
      </c>
    </row>
    <row r="134" spans="3:5" x14ac:dyDescent="0.25">
      <c r="C134" t="s">
        <v>263</v>
      </c>
      <c r="D134" t="s">
        <v>264</v>
      </c>
      <c r="E134" t="str">
        <f>HYPERLINK("https://worldwide.espacenet.com/publicationDetails/biblio?II=132&amp;ND=3&amp;adjacent=true&amp;locale=en_EP&amp;FT=D&amp;date=20180522&amp;CC=CN&amp;NR=108061647A&amp;KC=A")</f>
        <v>https://worldwide.espacenet.com/publicationDetails/biblio?II=132&amp;ND=3&amp;adjacent=true&amp;locale=en_EP&amp;FT=D&amp;date=20180522&amp;CC=CN&amp;NR=108061647A&amp;KC=A</v>
      </c>
    </row>
    <row r="135" spans="3:5" x14ac:dyDescent="0.25">
      <c r="C135" t="s">
        <v>265</v>
      </c>
      <c r="D135" t="s">
        <v>266</v>
      </c>
      <c r="E135" t="str">
        <f>HYPERLINK("https://worldwide.espacenet.com/publicationDetails/biblio?II=133&amp;ND=3&amp;adjacent=true&amp;locale=en_EP&amp;FT=D&amp;date=20180522&amp;CC=CN&amp;NR=108058770A&amp;KC=A")</f>
        <v>https://worldwide.espacenet.com/publicationDetails/biblio?II=133&amp;ND=3&amp;adjacent=true&amp;locale=en_EP&amp;FT=D&amp;date=20180522&amp;CC=CN&amp;NR=108058770A&amp;KC=A</v>
      </c>
    </row>
    <row r="136" spans="3:5" x14ac:dyDescent="0.25">
      <c r="C136" t="s">
        <v>267</v>
      </c>
      <c r="D136" t="s">
        <v>268</v>
      </c>
      <c r="E136" t="str">
        <f>HYPERLINK("https://worldwide.espacenet.com/publicationDetails/biblio?II=134&amp;ND=3&amp;adjacent=true&amp;locale=en_EP&amp;FT=D&amp;date=20180522&amp;CC=CN&amp;NR=108060903A&amp;KC=A")</f>
        <v>https://worldwide.espacenet.com/publicationDetails/biblio?II=134&amp;ND=3&amp;adjacent=true&amp;locale=en_EP&amp;FT=D&amp;date=20180522&amp;CC=CN&amp;NR=108060903A&amp;KC=A</v>
      </c>
    </row>
    <row r="137" spans="3:5" x14ac:dyDescent="0.25">
      <c r="C137" t="s">
        <v>269</v>
      </c>
      <c r="D137" t="s">
        <v>270</v>
      </c>
      <c r="E137" t="str">
        <f>HYPERLINK("https://worldwide.espacenet.com/publicationDetails/biblio?II=135&amp;ND=3&amp;adjacent=true&amp;locale=en_EP&amp;FT=D&amp;date=20180518&amp;CC=CN&amp;NR=108049625A&amp;KC=A")</f>
        <v>https://worldwide.espacenet.com/publicationDetails/biblio?II=135&amp;ND=3&amp;adjacent=true&amp;locale=en_EP&amp;FT=D&amp;date=20180518&amp;CC=CN&amp;NR=108049625A&amp;KC=A</v>
      </c>
    </row>
    <row r="138" spans="3:5" x14ac:dyDescent="0.25">
      <c r="C138" t="s">
        <v>271</v>
      </c>
      <c r="D138" t="s">
        <v>272</v>
      </c>
      <c r="E138" t="str">
        <f>HYPERLINK("https://worldwide.espacenet.com/publicationDetails/biblio?II=136&amp;ND=3&amp;adjacent=true&amp;locale=en_EP&amp;FT=D&amp;date=20180518&amp;CC=CN&amp;NR=108049108A&amp;KC=A")</f>
        <v>https://worldwide.espacenet.com/publicationDetails/biblio?II=136&amp;ND=3&amp;adjacent=true&amp;locale=en_EP&amp;FT=D&amp;date=20180518&amp;CC=CN&amp;NR=108049108A&amp;KC=A</v>
      </c>
    </row>
    <row r="139" spans="3:5" x14ac:dyDescent="0.25">
      <c r="C139" t="s">
        <v>273</v>
      </c>
      <c r="D139" t="s">
        <v>274</v>
      </c>
      <c r="E139" t="str">
        <f>HYPERLINK("https://worldwide.espacenet.com/publicationDetails/biblio?II=137&amp;ND=3&amp;adjacent=true&amp;locale=en_EP&amp;FT=D&amp;date=20180518&amp;CC=CN&amp;NR=108040861A&amp;KC=A")</f>
        <v>https://worldwide.espacenet.com/publicationDetails/biblio?II=137&amp;ND=3&amp;adjacent=true&amp;locale=en_EP&amp;FT=D&amp;date=20180518&amp;CC=CN&amp;NR=108040861A&amp;KC=A</v>
      </c>
    </row>
    <row r="140" spans="3:5" x14ac:dyDescent="0.25">
      <c r="C140" t="s">
        <v>275</v>
      </c>
      <c r="D140" t="s">
        <v>276</v>
      </c>
      <c r="E140" t="str">
        <f>HYPERLINK("https://worldwide.espacenet.com/publicationDetails/biblio?II=138&amp;ND=3&amp;adjacent=true&amp;locale=en_EP&amp;FT=D&amp;date=20170601&amp;CC=CA&amp;NR=3003165A1&amp;KC=A1")</f>
        <v>https://worldwide.espacenet.com/publicationDetails/biblio?II=138&amp;ND=3&amp;adjacent=true&amp;locale=en_EP&amp;FT=D&amp;date=20170601&amp;CC=CA&amp;NR=3003165A1&amp;KC=A1</v>
      </c>
    </row>
    <row r="141" spans="3:5" x14ac:dyDescent="0.25">
      <c r="C141" t="s">
        <v>277</v>
      </c>
      <c r="D141" t="s">
        <v>278</v>
      </c>
      <c r="E141" t="str">
        <f>HYPERLINK("https://worldwide.espacenet.com/publicationDetails/biblio?II=139&amp;ND=3&amp;adjacent=true&amp;locale=en_EP&amp;FT=D&amp;date=20180515&amp;CC=CN&amp;NR=108033397A&amp;KC=A")</f>
        <v>https://worldwide.espacenet.com/publicationDetails/biblio?II=139&amp;ND=3&amp;adjacent=true&amp;locale=en_EP&amp;FT=D&amp;date=20180515&amp;CC=CN&amp;NR=108033397A&amp;KC=A</v>
      </c>
    </row>
    <row r="142" spans="3:5" x14ac:dyDescent="0.25">
      <c r="C142" t="s">
        <v>279</v>
      </c>
      <c r="D142" t="s">
        <v>280</v>
      </c>
      <c r="E142" t="str">
        <f>HYPERLINK("https://worldwide.espacenet.com/publicationDetails/biblio?II=140&amp;ND=3&amp;adjacent=true&amp;locale=en_EP&amp;FT=D&amp;date=20180515&amp;CC=CN&amp;NR=108030251A&amp;KC=A")</f>
        <v>https://worldwide.espacenet.com/publicationDetails/biblio?II=140&amp;ND=3&amp;adjacent=true&amp;locale=en_EP&amp;FT=D&amp;date=20180515&amp;CC=CN&amp;NR=108030251A&amp;KC=A</v>
      </c>
    </row>
    <row r="143" spans="3:5" x14ac:dyDescent="0.25">
      <c r="C143" t="s">
        <v>281</v>
      </c>
      <c r="D143" t="s">
        <v>282</v>
      </c>
      <c r="E143" t="str">
        <f>HYPERLINK("https://worldwide.espacenet.com/publicationDetails/biblio?II=141&amp;ND=3&amp;adjacent=true&amp;locale=en_EP&amp;FT=D&amp;date=20180511&amp;CC=CN&amp;NR=108016546A&amp;KC=A")</f>
        <v>https://worldwide.espacenet.com/publicationDetails/biblio?II=141&amp;ND=3&amp;adjacent=true&amp;locale=en_EP&amp;FT=D&amp;date=20180511&amp;CC=CN&amp;NR=108016546A&amp;KC=A</v>
      </c>
    </row>
    <row r="144" spans="3:5" x14ac:dyDescent="0.25">
      <c r="C144" t="s">
        <v>9</v>
      </c>
      <c r="D144" t="s">
        <v>283</v>
      </c>
      <c r="E144" t="str">
        <f>HYPERLINK("https://worldwide.espacenet.com/publicationDetails/biblio?II=142&amp;ND=3&amp;adjacent=true&amp;locale=en_EP&amp;FT=D&amp;date=20180510&amp;CC=US&amp;NR=2018127045A1&amp;KC=A1")</f>
        <v>https://worldwide.espacenet.com/publicationDetails/biblio?II=142&amp;ND=3&amp;adjacent=true&amp;locale=en_EP&amp;FT=D&amp;date=20180510&amp;CC=US&amp;NR=2018127045A1&amp;KC=A1</v>
      </c>
    </row>
    <row r="145" spans="3:5" x14ac:dyDescent="0.25">
      <c r="C145" t="s">
        <v>284</v>
      </c>
      <c r="D145" t="s">
        <v>285</v>
      </c>
      <c r="E145" t="str">
        <f>HYPERLINK("https://worldwide.espacenet.com/publicationDetails/biblio?II=143&amp;ND=3&amp;adjacent=true&amp;locale=en_EP&amp;FT=D&amp;date=20180508&amp;CC=CN&amp;NR=108004941A&amp;KC=A")</f>
        <v>https://worldwide.espacenet.com/publicationDetails/biblio?II=143&amp;ND=3&amp;adjacent=true&amp;locale=en_EP&amp;FT=D&amp;date=20180508&amp;CC=CN&amp;NR=108004941A&amp;KC=A</v>
      </c>
    </row>
    <row r="146" spans="3:5" x14ac:dyDescent="0.25">
      <c r="C146" t="s">
        <v>286</v>
      </c>
      <c r="D146" t="s">
        <v>287</v>
      </c>
      <c r="E146" t="str">
        <f>HYPERLINK("https://worldwide.espacenet.com/publicationDetails/biblio?II=144&amp;ND=3&amp;adjacent=true&amp;locale=en_EP&amp;FT=D&amp;date=20180508&amp;CC=CN&amp;NR=108001589A&amp;KC=A")</f>
        <v>https://worldwide.espacenet.com/publicationDetails/biblio?II=144&amp;ND=3&amp;adjacent=true&amp;locale=en_EP&amp;FT=D&amp;date=20180508&amp;CC=CN&amp;NR=108001589A&amp;KC=A</v>
      </c>
    </row>
    <row r="147" spans="3:5" x14ac:dyDescent="0.25">
      <c r="C147" t="s">
        <v>288</v>
      </c>
      <c r="D147" t="s">
        <v>289</v>
      </c>
      <c r="E147" t="str">
        <f>HYPERLINK("https://worldwide.espacenet.com/publicationDetails/biblio?II=145&amp;ND=3&amp;adjacent=true&amp;locale=en_EP&amp;FT=D&amp;date=20180504&amp;CC=CN&amp;NR=107986226A&amp;KC=A")</f>
        <v>https://worldwide.espacenet.com/publicationDetails/biblio?II=145&amp;ND=3&amp;adjacent=true&amp;locale=en_EP&amp;FT=D&amp;date=20180504&amp;CC=CN&amp;NR=107986226A&amp;KC=A</v>
      </c>
    </row>
    <row r="148" spans="3:5" x14ac:dyDescent="0.25">
      <c r="C148" t="s">
        <v>290</v>
      </c>
      <c r="D148" t="s">
        <v>291</v>
      </c>
      <c r="E148" t="str">
        <f>HYPERLINK("https://worldwide.espacenet.com/publicationDetails/biblio?II=146&amp;ND=3&amp;adjacent=true&amp;locale=en_EP&amp;FT=D&amp;date=20180503&amp;CC=WO&amp;NR=2018081315A1&amp;KC=A1")</f>
        <v>https://worldwide.espacenet.com/publicationDetails/biblio?II=146&amp;ND=3&amp;adjacent=true&amp;locale=en_EP&amp;FT=D&amp;date=20180503&amp;CC=WO&amp;NR=2018081315A1&amp;KC=A1</v>
      </c>
    </row>
    <row r="149" spans="3:5" x14ac:dyDescent="0.25">
      <c r="C149" t="s">
        <v>292</v>
      </c>
      <c r="D149" t="s">
        <v>293</v>
      </c>
      <c r="E149" t="str">
        <f>HYPERLINK("https://worldwide.espacenet.com/publicationDetails/biblio?II=147&amp;ND=3&amp;adjacent=true&amp;locale=en_EP&amp;FT=D&amp;date=20180503&amp;CC=US&amp;NR=2018118297A1&amp;KC=A1")</f>
        <v>https://worldwide.espacenet.com/publicationDetails/biblio?II=147&amp;ND=3&amp;adjacent=true&amp;locale=en_EP&amp;FT=D&amp;date=20180503&amp;CC=US&amp;NR=2018118297A1&amp;KC=A1</v>
      </c>
    </row>
    <row r="150" spans="3:5" x14ac:dyDescent="0.25">
      <c r="C150" t="s">
        <v>294</v>
      </c>
      <c r="D150" t="s">
        <v>295</v>
      </c>
      <c r="E150" t="str">
        <f>HYPERLINK("https://worldwide.espacenet.com/publicationDetails/biblio?II=148&amp;ND=3&amp;adjacent=true&amp;locale=en_EP&amp;FT=D&amp;date=20180501&amp;CC=CN&amp;NR=107974926A&amp;KC=A")</f>
        <v>https://worldwide.espacenet.com/publicationDetails/biblio?II=148&amp;ND=3&amp;adjacent=true&amp;locale=en_EP&amp;FT=D&amp;date=20180501&amp;CC=CN&amp;NR=107974926A&amp;KC=A</v>
      </c>
    </row>
    <row r="151" spans="3:5" x14ac:dyDescent="0.25">
      <c r="C151" t="s">
        <v>296</v>
      </c>
      <c r="D151" t="s">
        <v>297</v>
      </c>
      <c r="E151" t="str">
        <f>HYPERLINK("https://worldwide.espacenet.com/publicationDetails/biblio?II=149&amp;ND=3&amp;adjacent=true&amp;locale=en_EP&amp;FT=D&amp;date=20180427&amp;CC=CN&amp;NR=107966289A&amp;KC=A")</f>
        <v>https://worldwide.espacenet.com/publicationDetails/biblio?II=149&amp;ND=3&amp;adjacent=true&amp;locale=en_EP&amp;FT=D&amp;date=20180427&amp;CC=CN&amp;NR=107966289A&amp;KC=A</v>
      </c>
    </row>
    <row r="152" spans="3:5" x14ac:dyDescent="0.25">
      <c r="C152" t="s">
        <v>298</v>
      </c>
      <c r="D152" t="s">
        <v>299</v>
      </c>
      <c r="E152" t="str">
        <f>HYPERLINK("https://worldwide.espacenet.com/publicationDetails/biblio?II=150&amp;ND=3&amp;adjacent=true&amp;locale=en_EP&amp;FT=D&amp;date=20180427&amp;CC=CN&amp;NR=207273229U&amp;KC=U")</f>
        <v>https://worldwide.espacenet.com/publicationDetails/biblio?II=150&amp;ND=3&amp;adjacent=true&amp;locale=en_EP&amp;FT=D&amp;date=20180427&amp;CC=CN&amp;NR=207273229U&amp;KC=U</v>
      </c>
    </row>
    <row r="153" spans="3:5" x14ac:dyDescent="0.25">
      <c r="C153" t="s">
        <v>300</v>
      </c>
      <c r="D153" t="s">
        <v>301</v>
      </c>
      <c r="E153" t="str">
        <f>HYPERLINK("https://worldwide.espacenet.com/publicationDetails/biblio?II=151&amp;ND=3&amp;adjacent=true&amp;locale=en_EP&amp;FT=D&amp;date=20180427&amp;CC=CN&amp;NR=207274967U&amp;KC=U")</f>
        <v>https://worldwide.espacenet.com/publicationDetails/biblio?II=151&amp;ND=3&amp;adjacent=true&amp;locale=en_EP&amp;FT=D&amp;date=20180427&amp;CC=CN&amp;NR=207274967U&amp;KC=U</v>
      </c>
    </row>
    <row r="154" spans="3:5" x14ac:dyDescent="0.25">
      <c r="C154" t="s">
        <v>302</v>
      </c>
      <c r="D154" t="s">
        <v>303</v>
      </c>
      <c r="E154" t="str">
        <f>HYPERLINK("https://worldwide.espacenet.com/publicationDetails/biblio?II=152&amp;ND=3&amp;adjacent=true&amp;locale=en_EP&amp;FT=D&amp;date=20180426&amp;CC=US&amp;NR=2018113047A1&amp;KC=A1")</f>
        <v>https://worldwide.espacenet.com/publicationDetails/biblio?II=152&amp;ND=3&amp;adjacent=true&amp;locale=en_EP&amp;FT=D&amp;date=20180426&amp;CC=US&amp;NR=2018113047A1&amp;KC=A1</v>
      </c>
    </row>
    <row r="155" spans="3:5" x14ac:dyDescent="0.25">
      <c r="C155" t="s">
        <v>304</v>
      </c>
      <c r="D155" t="s">
        <v>305</v>
      </c>
      <c r="E155" t="str">
        <f>HYPERLINK("https://worldwide.espacenet.com/publicationDetails/biblio?II=153&amp;ND=3&amp;adjacent=true&amp;locale=en_EP&amp;FT=D&amp;date=20180420&amp;CC=CN&amp;NR=107939688A&amp;KC=A")</f>
        <v>https://worldwide.espacenet.com/publicationDetails/biblio?II=153&amp;ND=3&amp;adjacent=true&amp;locale=en_EP&amp;FT=D&amp;date=20180420&amp;CC=CN&amp;NR=107939688A&amp;KC=A</v>
      </c>
    </row>
    <row r="156" spans="3:5" x14ac:dyDescent="0.25">
      <c r="C156" t="s">
        <v>306</v>
      </c>
      <c r="D156" t="s">
        <v>307</v>
      </c>
      <c r="E156" t="str">
        <f>HYPERLINK("https://worldwide.espacenet.com/publicationDetails/biblio?II=154&amp;ND=3&amp;adjacent=true&amp;locale=en_EP&amp;FT=D&amp;date=20180420&amp;CC=CN&amp;NR=107941497A&amp;KC=A")</f>
        <v>https://worldwide.espacenet.com/publicationDetails/biblio?II=154&amp;ND=3&amp;adjacent=true&amp;locale=en_EP&amp;FT=D&amp;date=20180420&amp;CC=CN&amp;NR=107941497A&amp;KC=A</v>
      </c>
    </row>
    <row r="157" spans="3:5" x14ac:dyDescent="0.25">
      <c r="C157" t="s">
        <v>308</v>
      </c>
      <c r="D157" t="s">
        <v>309</v>
      </c>
      <c r="E157" t="str">
        <f>HYPERLINK("https://worldwide.espacenet.com/publicationDetails/biblio?II=155&amp;ND=3&amp;adjacent=true&amp;locale=en_EP&amp;FT=D&amp;date=20180420&amp;CC=CN&amp;NR=107941146A&amp;KC=A")</f>
        <v>https://worldwide.espacenet.com/publicationDetails/biblio?II=155&amp;ND=3&amp;adjacent=true&amp;locale=en_EP&amp;FT=D&amp;date=20180420&amp;CC=CN&amp;NR=107941146A&amp;KC=A</v>
      </c>
    </row>
    <row r="158" spans="3:5" x14ac:dyDescent="0.25">
      <c r="C158" t="s">
        <v>310</v>
      </c>
      <c r="D158" t="s">
        <v>311</v>
      </c>
      <c r="E158" t="str">
        <f>HYPERLINK("https://worldwide.espacenet.com/publicationDetails/biblio?II=156&amp;ND=3&amp;adjacent=true&amp;locale=en_EP&amp;FT=D&amp;date=20180420&amp;CC=CN&amp;NR=107933788A&amp;KC=A")</f>
        <v>https://worldwide.espacenet.com/publicationDetails/biblio?II=156&amp;ND=3&amp;adjacent=true&amp;locale=en_EP&amp;FT=D&amp;date=20180420&amp;CC=CN&amp;NR=107933788A&amp;KC=A</v>
      </c>
    </row>
    <row r="159" spans="3:5" x14ac:dyDescent="0.25">
      <c r="C159" t="s">
        <v>312</v>
      </c>
      <c r="D159" t="s">
        <v>313</v>
      </c>
      <c r="E159" t="str">
        <f>HYPERLINK("https://worldwide.espacenet.com/publicationDetails/biblio?II=157&amp;ND=3&amp;adjacent=true&amp;locale=en_EP&amp;FT=D&amp;date=20180420&amp;CC=CN&amp;NR=107933785A&amp;KC=A")</f>
        <v>https://worldwide.espacenet.com/publicationDetails/biblio?II=157&amp;ND=3&amp;adjacent=true&amp;locale=en_EP&amp;FT=D&amp;date=20180420&amp;CC=CN&amp;NR=107933785A&amp;KC=A</v>
      </c>
    </row>
    <row r="160" spans="3:5" x14ac:dyDescent="0.25">
      <c r="C160" t="s">
        <v>314</v>
      </c>
      <c r="D160" t="s">
        <v>315</v>
      </c>
      <c r="E160" t="str">
        <f>HYPERLINK("https://worldwide.espacenet.com/publicationDetails/biblio?II=158&amp;ND=3&amp;adjacent=true&amp;locale=en_EP&amp;FT=D&amp;date=20180420&amp;CC=CN&amp;NR=107939605A&amp;KC=A")</f>
        <v>https://worldwide.espacenet.com/publicationDetails/biblio?II=158&amp;ND=3&amp;adjacent=true&amp;locale=en_EP&amp;FT=D&amp;date=20180420&amp;CC=CN&amp;NR=107939605A&amp;KC=A</v>
      </c>
    </row>
    <row r="161" spans="3:5" x14ac:dyDescent="0.25">
      <c r="C161" t="s">
        <v>316</v>
      </c>
      <c r="D161" t="s">
        <v>317</v>
      </c>
      <c r="E161" t="str">
        <f>HYPERLINK("https://worldwide.espacenet.com/publicationDetails/biblio?II=159&amp;ND=3&amp;adjacent=true&amp;locale=en_EP&amp;FT=D&amp;date=20180420&amp;CC=CN&amp;NR=107933759A&amp;KC=A")</f>
        <v>https://worldwide.espacenet.com/publicationDetails/biblio?II=159&amp;ND=3&amp;adjacent=true&amp;locale=en_EP&amp;FT=D&amp;date=20180420&amp;CC=CN&amp;NR=107933759A&amp;KC=A</v>
      </c>
    </row>
    <row r="162" spans="3:5" x14ac:dyDescent="0.25">
      <c r="C162" t="s">
        <v>318</v>
      </c>
      <c r="D162" t="s">
        <v>319</v>
      </c>
      <c r="E162" t="str">
        <f>HYPERLINK("https://worldwide.espacenet.com/publicationDetails/biblio?II=160&amp;ND=3&amp;adjacent=true&amp;locale=en_EP&amp;FT=D&amp;date=20180420&amp;CC=CN&amp;NR=207254103U&amp;KC=U")</f>
        <v>https://worldwide.espacenet.com/publicationDetails/biblio?II=160&amp;ND=3&amp;adjacent=true&amp;locale=en_EP&amp;FT=D&amp;date=20180420&amp;CC=CN&amp;NR=207254103U&amp;KC=U</v>
      </c>
    </row>
    <row r="163" spans="3:5" x14ac:dyDescent="0.25">
      <c r="C163" t="s">
        <v>320</v>
      </c>
      <c r="D163" t="s">
        <v>321</v>
      </c>
      <c r="E163" t="str">
        <f>HYPERLINK("https://worldwide.espacenet.com/publicationDetails/biblio?II=161&amp;ND=3&amp;adjacent=true&amp;locale=en_EP&amp;FT=D&amp;date=20180420&amp;CC=CN&amp;NR=207257871U&amp;KC=U")</f>
        <v>https://worldwide.espacenet.com/publicationDetails/biblio?II=161&amp;ND=3&amp;adjacent=true&amp;locale=en_EP&amp;FT=D&amp;date=20180420&amp;CC=CN&amp;NR=207257871U&amp;KC=U</v>
      </c>
    </row>
    <row r="164" spans="3:5" x14ac:dyDescent="0.25">
      <c r="C164" t="s">
        <v>322</v>
      </c>
      <c r="D164" t="s">
        <v>323</v>
      </c>
      <c r="E164" t="str">
        <f>HYPERLINK("https://worldwide.espacenet.com/publicationDetails/biblio?II=162&amp;ND=3&amp;adjacent=true&amp;locale=en_EP&amp;FT=D&amp;date=20180420&amp;CC=CN&amp;NR=207257872U&amp;KC=U")</f>
        <v>https://worldwide.espacenet.com/publicationDetails/biblio?II=162&amp;ND=3&amp;adjacent=true&amp;locale=en_EP&amp;FT=D&amp;date=20180420&amp;CC=CN&amp;NR=207257872U&amp;KC=U</v>
      </c>
    </row>
    <row r="165" spans="3:5" x14ac:dyDescent="0.25">
      <c r="C165" t="s">
        <v>324</v>
      </c>
      <c r="D165" t="s">
        <v>325</v>
      </c>
      <c r="E165" t="str">
        <f>HYPERLINK("https://worldwide.espacenet.com/publicationDetails/biblio?II=163&amp;ND=3&amp;adjacent=true&amp;locale=en_EP&amp;FT=D&amp;date=20180417&amp;CC=CN&amp;NR=107914752A&amp;KC=A")</f>
        <v>https://worldwide.espacenet.com/publicationDetails/biblio?II=163&amp;ND=3&amp;adjacent=true&amp;locale=en_EP&amp;FT=D&amp;date=20180417&amp;CC=CN&amp;NR=107914752A&amp;KC=A</v>
      </c>
    </row>
    <row r="166" spans="3:5" x14ac:dyDescent="0.25">
      <c r="C166" t="s">
        <v>326</v>
      </c>
      <c r="D166" t="s">
        <v>327</v>
      </c>
      <c r="E166" t="str">
        <f>HYPERLINK("https://worldwide.espacenet.com/publicationDetails/biblio?II=164&amp;ND=3&amp;adjacent=true&amp;locale=en_EP&amp;FT=D&amp;date=20180417&amp;CC=CN&amp;NR=107916530A&amp;KC=A")</f>
        <v>https://worldwide.espacenet.com/publicationDetails/biblio?II=164&amp;ND=3&amp;adjacent=true&amp;locale=en_EP&amp;FT=D&amp;date=20180417&amp;CC=CN&amp;NR=107916530A&amp;KC=A</v>
      </c>
    </row>
    <row r="167" spans="3:5" x14ac:dyDescent="0.25">
      <c r="C167" t="s">
        <v>328</v>
      </c>
      <c r="D167" t="s">
        <v>329</v>
      </c>
      <c r="E167" t="str">
        <f>HYPERLINK("https://worldwide.espacenet.com/publicationDetails/biblio?II=165&amp;ND=3&amp;adjacent=true&amp;locale=en_EP&amp;FT=D&amp;date=20180417&amp;CC=CN&amp;NR=207249082U&amp;KC=U")</f>
        <v>https://worldwide.espacenet.com/publicationDetails/biblio?II=165&amp;ND=3&amp;adjacent=true&amp;locale=en_EP&amp;FT=D&amp;date=20180417&amp;CC=CN&amp;NR=207249082U&amp;KC=U</v>
      </c>
    </row>
    <row r="168" spans="3:5" x14ac:dyDescent="0.25">
      <c r="C168" t="s">
        <v>330</v>
      </c>
      <c r="D168" t="s">
        <v>331</v>
      </c>
      <c r="E168" t="str">
        <f>HYPERLINK("https://worldwide.espacenet.com/publicationDetails/biblio?II=166&amp;ND=3&amp;adjacent=true&amp;locale=en_EP&amp;FT=D&amp;date=20180417&amp;CC=CN&amp;NR=207244803U&amp;KC=U")</f>
        <v>https://worldwide.espacenet.com/publicationDetails/biblio?II=166&amp;ND=3&amp;adjacent=true&amp;locale=en_EP&amp;FT=D&amp;date=20180417&amp;CC=CN&amp;NR=207244803U&amp;KC=U</v>
      </c>
    </row>
    <row r="169" spans="3:5" x14ac:dyDescent="0.25">
      <c r="C169" t="s">
        <v>332</v>
      </c>
      <c r="D169" t="s">
        <v>333</v>
      </c>
      <c r="E169" t="str">
        <f>HYPERLINK("https://worldwide.espacenet.com/publicationDetails/biblio?II=167&amp;ND=3&amp;adjacent=true&amp;locale=en_EP&amp;FT=D&amp;date=20180417&amp;CC=CN&amp;NR=207237223U&amp;KC=U")</f>
        <v>https://worldwide.espacenet.com/publicationDetails/biblio?II=167&amp;ND=3&amp;adjacent=true&amp;locale=en_EP&amp;FT=D&amp;date=20180417&amp;CC=CN&amp;NR=207237223U&amp;KC=U</v>
      </c>
    </row>
    <row r="170" spans="3:5" x14ac:dyDescent="0.25">
      <c r="C170" t="s">
        <v>334</v>
      </c>
      <c r="D170" t="s">
        <v>335</v>
      </c>
      <c r="E170" t="str">
        <f>HYPERLINK("https://worldwide.espacenet.com/publicationDetails/biblio?II=168&amp;ND=3&amp;adjacent=true&amp;locale=en_EP&amp;FT=D&amp;date=20180413&amp;CC=CN&amp;NR=207226948U&amp;KC=U")</f>
        <v>https://worldwide.espacenet.com/publicationDetails/biblio?II=168&amp;ND=3&amp;adjacent=true&amp;locale=en_EP&amp;FT=D&amp;date=20180413&amp;CC=CN&amp;NR=207226948U&amp;KC=U</v>
      </c>
    </row>
    <row r="171" spans="3:5" x14ac:dyDescent="0.25">
      <c r="C171" t="s">
        <v>336</v>
      </c>
      <c r="D171" t="s">
        <v>337</v>
      </c>
      <c r="E171" t="str">
        <f>HYPERLINK("https://worldwide.espacenet.com/publicationDetails/biblio?II=169&amp;ND=3&amp;adjacent=true&amp;locale=en_EP&amp;FT=D&amp;date=20180413&amp;CC=CN&amp;NR=207228503U&amp;KC=U")</f>
        <v>https://worldwide.espacenet.com/publicationDetails/biblio?II=169&amp;ND=3&amp;adjacent=true&amp;locale=en_EP&amp;FT=D&amp;date=20180413&amp;CC=CN&amp;NR=207228503U&amp;KC=U</v>
      </c>
    </row>
    <row r="172" spans="3:5" x14ac:dyDescent="0.25">
      <c r="C172" t="s">
        <v>338</v>
      </c>
      <c r="D172" t="s">
        <v>339</v>
      </c>
      <c r="E172" t="str">
        <f>HYPERLINK("https://worldwide.espacenet.com/publicationDetails/biblio?II=170&amp;ND=3&amp;adjacent=true&amp;locale=en_EP&amp;FT=D&amp;date=20180413&amp;CC=CN&amp;NR=207229310U&amp;KC=U")</f>
        <v>https://worldwide.espacenet.com/publicationDetails/biblio?II=170&amp;ND=3&amp;adjacent=true&amp;locale=en_EP&amp;FT=D&amp;date=20180413&amp;CC=CN&amp;NR=207229310U&amp;KC=U</v>
      </c>
    </row>
    <row r="173" spans="3:5" x14ac:dyDescent="0.25">
      <c r="C173" t="s">
        <v>340</v>
      </c>
      <c r="D173" t="s">
        <v>341</v>
      </c>
      <c r="E173" t="str">
        <f>HYPERLINK("https://worldwide.espacenet.com/publicationDetails/biblio?II=171&amp;ND=3&amp;adjacent=true&amp;locale=en_EP&amp;FT=D&amp;date=20180413&amp;CC=CN&amp;NR=107902004A&amp;KC=A")</f>
        <v>https://worldwide.espacenet.com/publicationDetails/biblio?II=171&amp;ND=3&amp;adjacent=true&amp;locale=en_EP&amp;FT=D&amp;date=20180413&amp;CC=CN&amp;NR=107902004A&amp;KC=A</v>
      </c>
    </row>
    <row r="174" spans="3:5" x14ac:dyDescent="0.25">
      <c r="C174" t="s">
        <v>342</v>
      </c>
      <c r="D174" t="s">
        <v>343</v>
      </c>
      <c r="E174" t="str">
        <f>HYPERLINK("https://worldwide.espacenet.com/publicationDetails/biblio?II=172&amp;ND=3&amp;adjacent=true&amp;locale=en_EP&amp;FT=D&amp;date=20180413&amp;CC=CN&amp;NR=107906961A&amp;KC=A")</f>
        <v>https://worldwide.espacenet.com/publicationDetails/biblio?II=172&amp;ND=3&amp;adjacent=true&amp;locale=en_EP&amp;FT=D&amp;date=20180413&amp;CC=CN&amp;NR=107906961A&amp;KC=A</v>
      </c>
    </row>
    <row r="175" spans="3:5" x14ac:dyDescent="0.25">
      <c r="C175" t="s">
        <v>344</v>
      </c>
      <c r="D175" t="s">
        <v>345</v>
      </c>
      <c r="E175" t="str">
        <f>HYPERLINK("https://worldwide.espacenet.com/publicationDetails/biblio?II=173&amp;ND=3&amp;adjacent=true&amp;locale=en_EP&amp;FT=D&amp;date=20170330&amp;CC=CA&amp;NR=2999062A1&amp;KC=A1")</f>
        <v>https://worldwide.espacenet.com/publicationDetails/biblio?II=173&amp;ND=3&amp;adjacent=true&amp;locale=en_EP&amp;FT=D&amp;date=20170330&amp;CC=CA&amp;NR=2999062A1&amp;KC=A1</v>
      </c>
    </row>
    <row r="176" spans="3:5" x14ac:dyDescent="0.25">
      <c r="C176" t="s">
        <v>346</v>
      </c>
      <c r="D176" t="s">
        <v>347</v>
      </c>
      <c r="E176" t="str">
        <f>HYPERLINK("https://worldwide.espacenet.com/publicationDetails/biblio?II=174&amp;ND=3&amp;adjacent=true&amp;locale=en_EP&amp;FT=D&amp;date=20180412&amp;CC=US&amp;NR=2018099720A1&amp;KC=A1")</f>
        <v>https://worldwide.espacenet.com/publicationDetails/biblio?II=174&amp;ND=3&amp;adjacent=true&amp;locale=en_EP&amp;FT=D&amp;date=20180412&amp;CC=US&amp;NR=2018099720A1&amp;KC=A1</v>
      </c>
    </row>
    <row r="177" spans="3:5" x14ac:dyDescent="0.25">
      <c r="C177" t="s">
        <v>348</v>
      </c>
      <c r="D177" t="s">
        <v>349</v>
      </c>
      <c r="E177" t="str">
        <f>HYPERLINK("https://worldwide.espacenet.com/publicationDetails/biblio?II=175&amp;ND=3&amp;adjacent=true&amp;locale=en_EP&amp;FT=D&amp;date=20180410&amp;CC=CN&amp;NR=207214243U&amp;KC=U")</f>
        <v>https://worldwide.espacenet.com/publicationDetails/biblio?II=175&amp;ND=3&amp;adjacent=true&amp;locale=en_EP&amp;FT=D&amp;date=20180410&amp;CC=CN&amp;NR=207214243U&amp;KC=U</v>
      </c>
    </row>
    <row r="178" spans="3:5" x14ac:dyDescent="0.25">
      <c r="C178" t="s">
        <v>350</v>
      </c>
      <c r="D178" t="s">
        <v>351</v>
      </c>
      <c r="E178" t="str">
        <f>HYPERLINK("https://worldwide.espacenet.com/publicationDetails/biblio?II=176&amp;ND=3&amp;adjacent=true&amp;locale=en_EP&amp;FT=D&amp;date=20180410&amp;CC=CN&amp;NR=207209820U&amp;KC=U")</f>
        <v>https://worldwide.espacenet.com/publicationDetails/biblio?II=176&amp;ND=3&amp;adjacent=true&amp;locale=en_EP&amp;FT=D&amp;date=20180410&amp;CC=CN&amp;NR=207209820U&amp;KC=U</v>
      </c>
    </row>
    <row r="179" spans="3:5" x14ac:dyDescent="0.25">
      <c r="C179" t="s">
        <v>352</v>
      </c>
      <c r="D179" t="s">
        <v>353</v>
      </c>
      <c r="E179" t="str">
        <f>HYPERLINK("https://worldwide.espacenet.com/publicationDetails/biblio?II=177&amp;ND=3&amp;adjacent=true&amp;locale=en_EP&amp;FT=D&amp;date=20180410&amp;CC=CN&amp;NR=207205308U&amp;KC=U")</f>
        <v>https://worldwide.espacenet.com/publicationDetails/biblio?II=177&amp;ND=3&amp;adjacent=true&amp;locale=en_EP&amp;FT=D&amp;date=20180410&amp;CC=CN&amp;NR=207205308U&amp;KC=U</v>
      </c>
    </row>
    <row r="180" spans="3:5" x14ac:dyDescent="0.25">
      <c r="C180" t="s">
        <v>354</v>
      </c>
      <c r="D180" t="s">
        <v>355</v>
      </c>
      <c r="E180" t="str">
        <f>HYPERLINK("https://worldwide.espacenet.com/publicationDetails/biblio?II=178&amp;ND=3&amp;adjacent=true&amp;locale=en_EP&amp;FT=D&amp;date=20180410&amp;CC=CN&amp;NR=107894362A&amp;KC=A")</f>
        <v>https://worldwide.espacenet.com/publicationDetails/biblio?II=178&amp;ND=3&amp;adjacent=true&amp;locale=en_EP&amp;FT=D&amp;date=20180410&amp;CC=CN&amp;NR=107894362A&amp;KC=A</v>
      </c>
    </row>
    <row r="181" spans="3:5" x14ac:dyDescent="0.25">
      <c r="C181" t="s">
        <v>356</v>
      </c>
      <c r="D181" t="s">
        <v>357</v>
      </c>
      <c r="E181" t="str">
        <f>HYPERLINK("https://worldwide.espacenet.com/publicationDetails/biblio?II=179&amp;ND=3&amp;adjacent=true&amp;locale=en_EP&amp;FT=D&amp;date=20180410&amp;CC=CN&amp;NR=107890396A&amp;KC=A")</f>
        <v>https://worldwide.espacenet.com/publicationDetails/biblio?II=179&amp;ND=3&amp;adjacent=true&amp;locale=en_EP&amp;FT=D&amp;date=20180410&amp;CC=CN&amp;NR=107890396A&amp;KC=A</v>
      </c>
    </row>
    <row r="182" spans="3:5" x14ac:dyDescent="0.25">
      <c r="C182" t="s">
        <v>358</v>
      </c>
      <c r="D182" t="s">
        <v>359</v>
      </c>
      <c r="E182" t="str">
        <f>HYPERLINK("https://worldwide.espacenet.com/publicationDetails/biblio?II=180&amp;ND=3&amp;adjacent=true&amp;locale=en_EP&amp;FT=D&amp;date=20180410&amp;CC=CN&amp;NR=107890726A&amp;KC=A")</f>
        <v>https://worldwide.espacenet.com/publicationDetails/biblio?II=180&amp;ND=3&amp;adjacent=true&amp;locale=en_EP&amp;FT=D&amp;date=20180410&amp;CC=CN&amp;NR=107890726A&amp;KC=A</v>
      </c>
    </row>
    <row r="183" spans="3:5" x14ac:dyDescent="0.25">
      <c r="C183" t="s">
        <v>360</v>
      </c>
      <c r="D183" t="s">
        <v>361</v>
      </c>
      <c r="E183" t="str">
        <f>HYPERLINK("https://worldwide.espacenet.com/publicationDetails/biblio?II=181&amp;ND=3&amp;adjacent=true&amp;locale=en_EP&amp;FT=D&amp;date=20180406&amp;CC=CN&amp;NR=207191269U&amp;KC=U")</f>
        <v>https://worldwide.espacenet.com/publicationDetails/biblio?II=181&amp;ND=3&amp;adjacent=true&amp;locale=en_EP&amp;FT=D&amp;date=20180406&amp;CC=CN&amp;NR=207191269U&amp;KC=U</v>
      </c>
    </row>
    <row r="184" spans="3:5" x14ac:dyDescent="0.25">
      <c r="C184" t="s">
        <v>362</v>
      </c>
      <c r="D184" t="s">
        <v>363</v>
      </c>
      <c r="E184" t="str">
        <f>HYPERLINK("https://worldwide.espacenet.com/publicationDetails/biblio?II=182&amp;ND=3&amp;adjacent=true&amp;locale=en_EP&amp;FT=D&amp;date=20180406&amp;CC=CN&amp;NR=207193233U&amp;KC=U")</f>
        <v>https://worldwide.espacenet.com/publicationDetails/biblio?II=182&amp;ND=3&amp;adjacent=true&amp;locale=en_EP&amp;FT=D&amp;date=20180406&amp;CC=CN&amp;NR=207193233U&amp;KC=U</v>
      </c>
    </row>
    <row r="185" spans="3:5" x14ac:dyDescent="0.25">
      <c r="C185" t="s">
        <v>364</v>
      </c>
      <c r="D185" t="s">
        <v>365</v>
      </c>
      <c r="E185" t="str">
        <f>HYPERLINK("https://worldwide.espacenet.com/publicationDetails/biblio?II=183&amp;ND=3&amp;adjacent=true&amp;locale=en_EP&amp;FT=D&amp;date=20180406&amp;CC=CN&amp;NR=107884292A&amp;KC=A")</f>
        <v>https://worldwide.espacenet.com/publicationDetails/biblio?II=183&amp;ND=3&amp;adjacent=true&amp;locale=en_EP&amp;FT=D&amp;date=20180406&amp;CC=CN&amp;NR=107884292A&amp;KC=A</v>
      </c>
    </row>
    <row r="186" spans="3:5" x14ac:dyDescent="0.25">
      <c r="C186" t="s">
        <v>366</v>
      </c>
      <c r="D186" t="s">
        <v>367</v>
      </c>
      <c r="E186" t="str">
        <f>HYPERLINK("https://worldwide.espacenet.com/publicationDetails/biblio?II=184&amp;ND=3&amp;adjacent=true&amp;locale=en_EP&amp;FT=D&amp;date=20180406&amp;CC=CN&amp;NR=107882653A&amp;KC=A")</f>
        <v>https://worldwide.espacenet.com/publicationDetails/biblio?II=184&amp;ND=3&amp;adjacent=true&amp;locale=en_EP&amp;FT=D&amp;date=20180406&amp;CC=CN&amp;NR=107882653A&amp;KC=A</v>
      </c>
    </row>
    <row r="187" spans="3:5" x14ac:dyDescent="0.25">
      <c r="C187" t="s">
        <v>368</v>
      </c>
      <c r="D187" t="s">
        <v>369</v>
      </c>
      <c r="E187" t="str">
        <f>HYPERLINK("https://worldwide.espacenet.com/publicationDetails/biblio?II=185&amp;ND=3&amp;adjacent=true&amp;locale=en_EP&amp;FT=D&amp;date=20180406&amp;CC=CN&amp;NR=107882684A&amp;KC=A")</f>
        <v>https://worldwide.espacenet.com/publicationDetails/biblio?II=185&amp;ND=3&amp;adjacent=true&amp;locale=en_EP&amp;FT=D&amp;date=20180406&amp;CC=CN&amp;NR=107882684A&amp;KC=A</v>
      </c>
    </row>
    <row r="188" spans="3:5" x14ac:dyDescent="0.25">
      <c r="C188" t="s">
        <v>370</v>
      </c>
      <c r="D188" t="s">
        <v>371</v>
      </c>
      <c r="E188" t="str">
        <f>HYPERLINK("https://worldwide.espacenet.com/publicationDetails/biblio?II=186&amp;ND=3&amp;adjacent=true&amp;locale=en_EP&amp;FT=D&amp;date=20180405&amp;CC=WO&amp;NR=2018058350A1&amp;KC=A1")</f>
        <v>https://worldwide.espacenet.com/publicationDetails/biblio?II=186&amp;ND=3&amp;adjacent=true&amp;locale=en_EP&amp;FT=D&amp;date=20180405&amp;CC=WO&amp;NR=2018058350A1&amp;KC=A1</v>
      </c>
    </row>
    <row r="189" spans="3:5" x14ac:dyDescent="0.25">
      <c r="C189" t="s">
        <v>372</v>
      </c>
      <c r="D189" t="s">
        <v>373</v>
      </c>
      <c r="E189" t="str">
        <f>HYPERLINK("https://worldwide.espacenet.com/publicationDetails/biblio?II=187&amp;ND=3&amp;adjacent=true&amp;locale=en_EP&amp;FT=D&amp;date=20180403&amp;CC=CN&amp;NR=207173821U&amp;KC=U")</f>
        <v>https://worldwide.espacenet.com/publicationDetails/biblio?II=187&amp;ND=3&amp;adjacent=true&amp;locale=en_EP&amp;FT=D&amp;date=20180403&amp;CC=CN&amp;NR=207173821U&amp;KC=U</v>
      </c>
    </row>
    <row r="190" spans="3:5" x14ac:dyDescent="0.25">
      <c r="C190" t="s">
        <v>374</v>
      </c>
      <c r="D190" t="s">
        <v>375</v>
      </c>
      <c r="E190" t="str">
        <f>HYPERLINK("https://worldwide.espacenet.com/publicationDetails/biblio?II=188&amp;ND=3&amp;adjacent=true&amp;locale=en_EP&amp;FT=D&amp;date=20180302&amp;CC=KR&amp;NR=101833740B1&amp;KC=B1")</f>
        <v>https://worldwide.espacenet.com/publicationDetails/biblio?II=188&amp;ND=3&amp;adjacent=true&amp;locale=en_EP&amp;FT=D&amp;date=20180302&amp;CC=KR&amp;NR=101833740B1&amp;KC=B1</v>
      </c>
    </row>
    <row r="191" spans="3:5" x14ac:dyDescent="0.25">
      <c r="C191" t="s">
        <v>376</v>
      </c>
      <c r="D191" t="s">
        <v>377</v>
      </c>
      <c r="E191" t="str">
        <f>HYPERLINK("https://worldwide.espacenet.com/publicationDetails/biblio?II=189&amp;ND=3&amp;adjacent=true&amp;locale=en_EP&amp;FT=D&amp;date=20180111&amp;CC=TW&amp;NR=I610706B&amp;KC=B")</f>
        <v>https://worldwide.espacenet.com/publicationDetails/biblio?II=189&amp;ND=3&amp;adjacent=true&amp;locale=en_EP&amp;FT=D&amp;date=20180111&amp;CC=TW&amp;NR=I610706B&amp;KC=B</v>
      </c>
    </row>
    <row r="192" spans="3:5" x14ac:dyDescent="0.25">
      <c r="C192" t="s">
        <v>378</v>
      </c>
      <c r="D192" t="s">
        <v>379</v>
      </c>
      <c r="E192" t="str">
        <f>HYPERLINK("https://worldwide.espacenet.com/publicationDetails/biblio?II=190&amp;ND=3&amp;adjacent=true&amp;locale=en_EP&amp;FT=D&amp;date=20180308&amp;CC=KR&amp;NR=101835735B1&amp;KC=B1")</f>
        <v>https://worldwide.espacenet.com/publicationDetails/biblio?II=190&amp;ND=3&amp;adjacent=true&amp;locale=en_EP&amp;FT=D&amp;date=20180308&amp;CC=KR&amp;NR=101835735B1&amp;KC=B1</v>
      </c>
    </row>
    <row r="193" spans="3:5" x14ac:dyDescent="0.25">
      <c r="C193" t="s">
        <v>380</v>
      </c>
      <c r="D193" t="s">
        <v>381</v>
      </c>
      <c r="E193" t="str">
        <f>HYPERLINK("https://worldwide.espacenet.com/publicationDetails/biblio?II=191&amp;ND=3&amp;adjacent=true&amp;locale=en_EP&amp;FT=D&amp;date=20180330&amp;CC=CN&amp;NR=207161854U&amp;KC=U")</f>
        <v>https://worldwide.espacenet.com/publicationDetails/biblio?II=191&amp;ND=3&amp;adjacent=true&amp;locale=en_EP&amp;FT=D&amp;date=20180330&amp;CC=CN&amp;NR=207161854U&amp;KC=U</v>
      </c>
    </row>
    <row r="194" spans="3:5" x14ac:dyDescent="0.25">
      <c r="C194" t="s">
        <v>382</v>
      </c>
      <c r="D194" t="s">
        <v>383</v>
      </c>
      <c r="E194" t="str">
        <f>HYPERLINK("https://worldwide.espacenet.com/publicationDetails/biblio?II=192&amp;ND=3&amp;adjacent=true&amp;locale=en_EP&amp;FT=D&amp;date=20180330&amp;CC=CN&amp;NR=207158082U&amp;KC=U")</f>
        <v>https://worldwide.espacenet.com/publicationDetails/biblio?II=192&amp;ND=3&amp;adjacent=true&amp;locale=en_EP&amp;FT=D&amp;date=20180330&amp;CC=CN&amp;NR=207158082U&amp;KC=U</v>
      </c>
    </row>
    <row r="195" spans="3:5" x14ac:dyDescent="0.25">
      <c r="C195" t="s">
        <v>384</v>
      </c>
      <c r="D195" t="s">
        <v>385</v>
      </c>
      <c r="E195" t="str">
        <f>HYPERLINK("https://worldwide.espacenet.com/publicationDetails/biblio?II=193&amp;ND=3&amp;adjacent=true&amp;locale=en_EP&amp;FT=D&amp;date=20180330&amp;CC=CN&amp;NR=207166148U&amp;KC=U")</f>
        <v>https://worldwide.espacenet.com/publicationDetails/biblio?II=193&amp;ND=3&amp;adjacent=true&amp;locale=en_EP&amp;FT=D&amp;date=20180330&amp;CC=CN&amp;NR=207166148U&amp;KC=U</v>
      </c>
    </row>
    <row r="196" spans="3:5" x14ac:dyDescent="0.25">
      <c r="C196" t="s">
        <v>386</v>
      </c>
      <c r="D196" t="s">
        <v>387</v>
      </c>
      <c r="E196" t="str">
        <f>HYPERLINK("https://worldwide.espacenet.com/publicationDetails/biblio?II=194&amp;ND=3&amp;adjacent=true&amp;locale=en_EP&amp;FT=D&amp;date=20180330&amp;CC=CN&amp;NR=207157414U&amp;KC=U")</f>
        <v>https://worldwide.espacenet.com/publicationDetails/biblio?II=194&amp;ND=3&amp;adjacent=true&amp;locale=en_EP&amp;FT=D&amp;date=20180330&amp;CC=CN&amp;NR=207157414U&amp;KC=U</v>
      </c>
    </row>
    <row r="197" spans="3:5" x14ac:dyDescent="0.25">
      <c r="C197" t="s">
        <v>388</v>
      </c>
      <c r="D197" t="s">
        <v>389</v>
      </c>
      <c r="E197" t="str">
        <f>HYPERLINK("https://worldwide.espacenet.com/publicationDetails/biblio?II=195&amp;ND=3&amp;adjacent=true&amp;locale=en_EP&amp;FT=D&amp;date=20180327&amp;CC=CN&amp;NR=107839816A&amp;KC=A")</f>
        <v>https://worldwide.espacenet.com/publicationDetails/biblio?II=195&amp;ND=3&amp;adjacent=true&amp;locale=en_EP&amp;FT=D&amp;date=20180327&amp;CC=CN&amp;NR=107839816A&amp;KC=A</v>
      </c>
    </row>
    <row r="198" spans="3:5" x14ac:dyDescent="0.25">
      <c r="C198" t="s">
        <v>390</v>
      </c>
      <c r="D198" t="s">
        <v>391</v>
      </c>
      <c r="E198" t="str">
        <f>HYPERLINK("https://worldwide.espacenet.com/publicationDetails/biblio?II=196&amp;ND=3&amp;adjacent=true&amp;locale=en_EP&amp;FT=D&amp;date=20180327&amp;CC=CN&amp;NR=207144957U&amp;KC=U")</f>
        <v>https://worldwide.espacenet.com/publicationDetails/biblio?II=196&amp;ND=3&amp;adjacent=true&amp;locale=en_EP&amp;FT=D&amp;date=20180327&amp;CC=CN&amp;NR=207144957U&amp;KC=U</v>
      </c>
    </row>
    <row r="199" spans="3:5" x14ac:dyDescent="0.25">
      <c r="C199" t="s">
        <v>392</v>
      </c>
      <c r="D199" t="s">
        <v>393</v>
      </c>
      <c r="E199" t="str">
        <f>HYPERLINK("https://worldwide.espacenet.com/publicationDetails/biblio?II=197&amp;ND=3&amp;adjacent=true&amp;locale=en_EP&amp;FT=D&amp;date=20180327&amp;CC=CN&amp;NR=207141261U&amp;KC=U")</f>
        <v>https://worldwide.espacenet.com/publicationDetails/biblio?II=197&amp;ND=3&amp;adjacent=true&amp;locale=en_EP&amp;FT=D&amp;date=20180327&amp;CC=CN&amp;NR=207141261U&amp;KC=U</v>
      </c>
    </row>
    <row r="200" spans="3:5" x14ac:dyDescent="0.25">
      <c r="C200" t="s">
        <v>394</v>
      </c>
      <c r="D200" t="s">
        <v>395</v>
      </c>
      <c r="E200" t="str">
        <f>HYPERLINK("https://worldwide.espacenet.com/publicationDetails/biblio?II=198&amp;ND=3&amp;adjacent=true&amp;locale=en_EP&amp;FT=D&amp;date=20180323&amp;CC=CN&amp;NR=107834435A&amp;KC=A")</f>
        <v>https://worldwide.espacenet.com/publicationDetails/biblio?II=198&amp;ND=3&amp;adjacent=true&amp;locale=en_EP&amp;FT=D&amp;date=20180323&amp;CC=CN&amp;NR=107834435A&amp;KC=A</v>
      </c>
    </row>
    <row r="201" spans="3:5" x14ac:dyDescent="0.25">
      <c r="C201" t="s">
        <v>396</v>
      </c>
      <c r="D201" t="s">
        <v>397</v>
      </c>
      <c r="E201" t="str">
        <f>HYPERLINK("https://worldwide.espacenet.com/publicationDetails/biblio?II=199&amp;ND=3&amp;adjacent=true&amp;locale=en_EP&amp;FT=D&amp;date=20180323&amp;CC=CN&amp;NR=107826195A&amp;KC=A")</f>
        <v>https://worldwide.espacenet.com/publicationDetails/biblio?II=199&amp;ND=3&amp;adjacent=true&amp;locale=en_EP&amp;FT=D&amp;date=20180323&amp;CC=CN&amp;NR=107826195A&amp;KC=A</v>
      </c>
    </row>
    <row r="202" spans="3:5" x14ac:dyDescent="0.25">
      <c r="C202" t="s">
        <v>398</v>
      </c>
      <c r="D202" t="s">
        <v>399</v>
      </c>
      <c r="E202" t="str">
        <f>HYPERLINK("https://worldwide.espacenet.com/publicationDetails/biblio?II=200&amp;ND=3&amp;adjacent=true&amp;locale=en_EP&amp;FT=D&amp;date=20180323&amp;CC=CN&amp;NR=207129071U&amp;KC=U")</f>
        <v>https://worldwide.espacenet.com/publicationDetails/biblio?II=200&amp;ND=3&amp;adjacent=true&amp;locale=en_EP&amp;FT=D&amp;date=20180323&amp;CC=CN&amp;NR=207129071U&amp;KC=U</v>
      </c>
    </row>
    <row r="203" spans="3:5" x14ac:dyDescent="0.25">
      <c r="C203" t="s">
        <v>400</v>
      </c>
      <c r="D203" t="s">
        <v>401</v>
      </c>
      <c r="E203" t="str">
        <f>HYPERLINK("https://worldwide.espacenet.com/publicationDetails/biblio?II=201&amp;ND=3&amp;adjacent=true&amp;locale=en_EP&amp;FT=D&amp;date=20180323&amp;CC=CN&amp;NR=207134947U&amp;KC=U")</f>
        <v>https://worldwide.espacenet.com/publicationDetails/biblio?II=201&amp;ND=3&amp;adjacent=true&amp;locale=en_EP&amp;FT=D&amp;date=20180323&amp;CC=CN&amp;NR=207134947U&amp;KC=U</v>
      </c>
    </row>
    <row r="204" spans="3:5" x14ac:dyDescent="0.25">
      <c r="C204" t="s">
        <v>402</v>
      </c>
      <c r="D204" t="s">
        <v>403</v>
      </c>
      <c r="E204" t="str">
        <f>HYPERLINK("https://worldwide.espacenet.com/publicationDetails/biblio?II=202&amp;ND=3&amp;adjacent=true&amp;locale=en_EP&amp;FT=D&amp;date=20180323&amp;CC=CN&amp;NR=207129043U&amp;KC=U")</f>
        <v>https://worldwide.espacenet.com/publicationDetails/biblio?II=202&amp;ND=3&amp;adjacent=true&amp;locale=en_EP&amp;FT=D&amp;date=20180323&amp;CC=CN&amp;NR=207129043U&amp;KC=U</v>
      </c>
    </row>
    <row r="205" spans="3:5" x14ac:dyDescent="0.25">
      <c r="C205" t="s">
        <v>404</v>
      </c>
      <c r="D205" t="s">
        <v>405</v>
      </c>
      <c r="E205" t="str">
        <f>HYPERLINK("https://worldwide.espacenet.com/publicationDetails/biblio?II=203&amp;ND=3&amp;adjacent=true&amp;locale=en_EP&amp;FT=D&amp;date=20180323&amp;CC=CN&amp;NR=207133129U&amp;KC=U")</f>
        <v>https://worldwide.espacenet.com/publicationDetails/biblio?II=203&amp;ND=3&amp;adjacent=true&amp;locale=en_EP&amp;FT=D&amp;date=20180323&amp;CC=CN&amp;NR=207133129U&amp;KC=U</v>
      </c>
    </row>
    <row r="206" spans="3:5" x14ac:dyDescent="0.25">
      <c r="C206" t="s">
        <v>406</v>
      </c>
      <c r="D206" t="s">
        <v>407</v>
      </c>
      <c r="E206" t="str">
        <f>HYPERLINK("https://worldwide.espacenet.com/publicationDetails/biblio?II=204&amp;ND=3&amp;adjacent=true&amp;locale=en_EP&amp;FT=D&amp;date=20180323&amp;CC=CN&amp;NR=207131381U&amp;KC=U")</f>
        <v>https://worldwide.espacenet.com/publicationDetails/biblio?II=204&amp;ND=3&amp;adjacent=true&amp;locale=en_EP&amp;FT=D&amp;date=20180323&amp;CC=CN&amp;NR=207131381U&amp;KC=U</v>
      </c>
    </row>
    <row r="207" spans="3:5" x14ac:dyDescent="0.25">
      <c r="C207" t="s">
        <v>408</v>
      </c>
      <c r="D207" t="s">
        <v>409</v>
      </c>
      <c r="E207" t="str">
        <f>HYPERLINK("https://worldwide.espacenet.com/publicationDetails/biblio?II=205&amp;ND=3&amp;adjacent=true&amp;locale=en_EP&amp;FT=D&amp;date=20180323&amp;CC=CN&amp;NR=207125863U&amp;KC=U")</f>
        <v>https://worldwide.espacenet.com/publicationDetails/biblio?II=205&amp;ND=3&amp;adjacent=true&amp;locale=en_EP&amp;FT=D&amp;date=20180323&amp;CC=CN&amp;NR=207125863U&amp;KC=U</v>
      </c>
    </row>
    <row r="208" spans="3:5" x14ac:dyDescent="0.25">
      <c r="C208" t="s">
        <v>410</v>
      </c>
      <c r="D208" t="s">
        <v>411</v>
      </c>
      <c r="E208" t="str">
        <f>HYPERLINK("https://worldwide.espacenet.com/publicationDetails/biblio?II=206&amp;ND=3&amp;adjacent=true&amp;locale=en_EP&amp;FT=D&amp;date=20180320&amp;CC=CN&amp;NR=207120824U&amp;KC=U")</f>
        <v>https://worldwide.espacenet.com/publicationDetails/biblio?II=206&amp;ND=3&amp;adjacent=true&amp;locale=en_EP&amp;FT=D&amp;date=20180320&amp;CC=CN&amp;NR=207120824U&amp;KC=U</v>
      </c>
    </row>
    <row r="209" spans="3:5" x14ac:dyDescent="0.25">
      <c r="C209" t="s">
        <v>412</v>
      </c>
      <c r="D209" t="s">
        <v>413</v>
      </c>
      <c r="E209" t="str">
        <f>HYPERLINK("https://worldwide.espacenet.com/publicationDetails/biblio?II=207&amp;ND=3&amp;adjacent=true&amp;locale=en_EP&amp;FT=D&amp;date=20180316&amp;CC=CN&amp;NR=207112376U&amp;KC=U")</f>
        <v>https://worldwide.espacenet.com/publicationDetails/biblio?II=207&amp;ND=3&amp;adjacent=true&amp;locale=en_EP&amp;FT=D&amp;date=20180316&amp;CC=CN&amp;NR=207112376U&amp;KC=U</v>
      </c>
    </row>
    <row r="210" spans="3:5" x14ac:dyDescent="0.25">
      <c r="C210" t="s">
        <v>414</v>
      </c>
      <c r="D210" t="s">
        <v>415</v>
      </c>
      <c r="E210" t="str">
        <f>HYPERLINK("https://worldwide.espacenet.com/publicationDetails/biblio?II=208&amp;ND=3&amp;adjacent=true&amp;locale=en_EP&amp;FT=D&amp;date=20180316&amp;CC=CN&amp;NR=207108965U&amp;KC=U")</f>
        <v>https://worldwide.espacenet.com/publicationDetails/biblio?II=208&amp;ND=3&amp;adjacent=true&amp;locale=en_EP&amp;FT=D&amp;date=20180316&amp;CC=CN&amp;NR=207108965U&amp;KC=U</v>
      </c>
    </row>
    <row r="211" spans="3:5" x14ac:dyDescent="0.25">
      <c r="C211" t="s">
        <v>416</v>
      </c>
      <c r="D211" t="s">
        <v>417</v>
      </c>
      <c r="E211" t="str">
        <f>HYPERLINK("https://worldwide.espacenet.com/publicationDetails/biblio?II=209&amp;ND=3&amp;adjacent=true&amp;locale=en_EP&amp;FT=D&amp;date=20180316&amp;CC=CN&amp;NR=207115868U&amp;KC=U")</f>
        <v>https://worldwide.espacenet.com/publicationDetails/biblio?II=209&amp;ND=3&amp;adjacent=true&amp;locale=en_EP&amp;FT=D&amp;date=20180316&amp;CC=CN&amp;NR=207115868U&amp;KC=U</v>
      </c>
    </row>
    <row r="212" spans="3:5" x14ac:dyDescent="0.25">
      <c r="C212" t="s">
        <v>418</v>
      </c>
      <c r="D212" t="s">
        <v>419</v>
      </c>
      <c r="E212" t="str">
        <f>HYPERLINK("https://worldwide.espacenet.com/publicationDetails/biblio?II=210&amp;ND=3&amp;adjacent=true&amp;locale=en_EP&amp;FT=D&amp;date=20180316&amp;CC=CN&amp;NR=207114312U&amp;KC=U")</f>
        <v>https://worldwide.espacenet.com/publicationDetails/biblio?II=210&amp;ND=3&amp;adjacent=true&amp;locale=en_EP&amp;FT=D&amp;date=20180316&amp;CC=CN&amp;NR=207114312U&amp;KC=U</v>
      </c>
    </row>
    <row r="213" spans="3:5" x14ac:dyDescent="0.25">
      <c r="C213" t="s">
        <v>79</v>
      </c>
      <c r="D213" t="s">
        <v>420</v>
      </c>
      <c r="E213" t="str">
        <f>HYPERLINK("https://worldwide.espacenet.com/publicationDetails/biblio?II=211&amp;ND=3&amp;adjacent=true&amp;locale=en_EP&amp;FT=D&amp;date=20180315&amp;CC=WO&amp;NR=2018045611A1&amp;KC=A1")</f>
        <v>https://worldwide.espacenet.com/publicationDetails/biblio?II=211&amp;ND=3&amp;adjacent=true&amp;locale=en_EP&amp;FT=D&amp;date=20180315&amp;CC=WO&amp;NR=2018045611A1&amp;KC=A1</v>
      </c>
    </row>
    <row r="214" spans="3:5" x14ac:dyDescent="0.25">
      <c r="C214" t="s">
        <v>421</v>
      </c>
      <c r="D214" t="s">
        <v>422</v>
      </c>
      <c r="E214" t="str">
        <f>HYPERLINK("https://worldwide.espacenet.com/publicationDetails/biblio?II=212&amp;ND=3&amp;adjacent=true&amp;locale=en_EP&amp;FT=D&amp;date=20180313&amp;CC=CN&amp;NR=207088285U&amp;KC=U")</f>
        <v>https://worldwide.espacenet.com/publicationDetails/biblio?II=212&amp;ND=3&amp;adjacent=true&amp;locale=en_EP&amp;FT=D&amp;date=20180313&amp;CC=CN&amp;NR=207088285U&amp;KC=U</v>
      </c>
    </row>
    <row r="215" spans="3:5" x14ac:dyDescent="0.25">
      <c r="C215" t="s">
        <v>423</v>
      </c>
      <c r="D215" t="s">
        <v>424</v>
      </c>
      <c r="E215" t="str">
        <f>HYPERLINK("https://worldwide.espacenet.com/publicationDetails/biblio?II=213&amp;ND=3&amp;adjacent=true&amp;locale=en_EP&amp;FT=D&amp;date=20180313&amp;CC=CN&amp;NR=107796286A&amp;KC=A")</f>
        <v>https://worldwide.espacenet.com/publicationDetails/biblio?II=213&amp;ND=3&amp;adjacent=true&amp;locale=en_EP&amp;FT=D&amp;date=20180313&amp;CC=CN&amp;NR=107796286A&amp;KC=A</v>
      </c>
    </row>
    <row r="216" spans="3:5" x14ac:dyDescent="0.25">
      <c r="C216" t="s">
        <v>425</v>
      </c>
      <c r="D216" t="s">
        <v>426</v>
      </c>
      <c r="E216" t="str">
        <f>HYPERLINK("https://worldwide.espacenet.com/publicationDetails/biblio?II=214&amp;ND=3&amp;adjacent=true&amp;locale=en_EP&amp;FT=D&amp;date=20180313&amp;CC=CN&amp;NR=107795273A&amp;KC=A")</f>
        <v>https://worldwide.espacenet.com/publicationDetails/biblio?II=214&amp;ND=3&amp;adjacent=true&amp;locale=en_EP&amp;FT=D&amp;date=20180313&amp;CC=CN&amp;NR=107795273A&amp;KC=A</v>
      </c>
    </row>
    <row r="217" spans="3:5" x14ac:dyDescent="0.25">
      <c r="C217" t="s">
        <v>427</v>
      </c>
      <c r="D217" t="s">
        <v>428</v>
      </c>
      <c r="E217" t="str">
        <f>HYPERLINK("https://worldwide.espacenet.com/publicationDetails/biblio?II=215&amp;ND=3&amp;adjacent=true&amp;locale=en_EP&amp;FT=D&amp;date=20180302&amp;CC=CN&amp;NR=207061498U&amp;KC=U")</f>
        <v>https://worldwide.espacenet.com/publicationDetails/biblio?II=215&amp;ND=3&amp;adjacent=true&amp;locale=en_EP&amp;FT=D&amp;date=20180302&amp;CC=CN&amp;NR=207061498U&amp;KC=U</v>
      </c>
    </row>
    <row r="218" spans="3:5" x14ac:dyDescent="0.25">
      <c r="C218" t="s">
        <v>429</v>
      </c>
      <c r="D218" t="s">
        <v>430</v>
      </c>
      <c r="E218" t="str">
        <f>HYPERLINK("https://worldwide.espacenet.com/publicationDetails/biblio?II=216&amp;ND=3&amp;adjacent=true&amp;locale=en_EP&amp;FT=D&amp;date=20180302&amp;CC=CN&amp;NR=207062594U&amp;KC=U")</f>
        <v>https://worldwide.espacenet.com/publicationDetails/biblio?II=216&amp;ND=3&amp;adjacent=true&amp;locale=en_EP&amp;FT=D&amp;date=20180302&amp;CC=CN&amp;NR=207062594U&amp;KC=U</v>
      </c>
    </row>
    <row r="219" spans="3:5" x14ac:dyDescent="0.25">
      <c r="C219" t="s">
        <v>431</v>
      </c>
      <c r="D219" t="s">
        <v>432</v>
      </c>
      <c r="E219" t="str">
        <f>HYPERLINK("https://worldwide.espacenet.com/publicationDetails/biblio?II=217&amp;ND=3&amp;adjacent=true&amp;locale=en_EP&amp;FT=D&amp;date=20180227&amp;CC=CN&amp;NR=207051108U&amp;KC=U")</f>
        <v>https://worldwide.espacenet.com/publicationDetails/biblio?II=217&amp;ND=3&amp;adjacent=true&amp;locale=en_EP&amp;FT=D&amp;date=20180227&amp;CC=CN&amp;NR=207051108U&amp;KC=U</v>
      </c>
    </row>
    <row r="220" spans="3:5" x14ac:dyDescent="0.25">
      <c r="C220" t="s">
        <v>433</v>
      </c>
      <c r="D220" t="s">
        <v>434</v>
      </c>
      <c r="E220" t="str">
        <f>HYPERLINK("https://worldwide.espacenet.com/publicationDetails/biblio?II=218&amp;ND=3&amp;adjacent=true&amp;locale=en_EP&amp;FT=D&amp;date=20180227&amp;CC=CN&amp;NR=207048293U&amp;KC=U")</f>
        <v>https://worldwide.espacenet.com/publicationDetails/biblio?II=218&amp;ND=3&amp;adjacent=true&amp;locale=en_EP&amp;FT=D&amp;date=20180227&amp;CC=CN&amp;NR=207048293U&amp;KC=U</v>
      </c>
    </row>
    <row r="221" spans="3:5" x14ac:dyDescent="0.25">
      <c r="C221" t="s">
        <v>435</v>
      </c>
      <c r="D221" t="s">
        <v>436</v>
      </c>
      <c r="E221" t="str">
        <f>HYPERLINK("https://worldwide.espacenet.com/publicationDetails/biblio?II=219&amp;ND=3&amp;adjacent=true&amp;locale=en_EP&amp;FT=D&amp;date=20180227&amp;CC=CN&amp;NR=207046700U&amp;KC=U")</f>
        <v>https://worldwide.espacenet.com/publicationDetails/biblio?II=219&amp;ND=3&amp;adjacent=true&amp;locale=en_EP&amp;FT=D&amp;date=20180227&amp;CC=CN&amp;NR=207046700U&amp;KC=U</v>
      </c>
    </row>
    <row r="222" spans="3:5" x14ac:dyDescent="0.25">
      <c r="C222" t="s">
        <v>437</v>
      </c>
      <c r="D222" t="s">
        <v>438</v>
      </c>
      <c r="E222" t="str">
        <f>HYPERLINK("https://worldwide.espacenet.com/publicationDetails/biblio?II=220&amp;ND=3&amp;adjacent=true&amp;locale=en_EP&amp;FT=D&amp;date=20180227&amp;CC=CN&amp;NR=207045538U&amp;KC=U")</f>
        <v>https://worldwide.espacenet.com/publicationDetails/biblio?II=220&amp;ND=3&amp;adjacent=true&amp;locale=en_EP&amp;FT=D&amp;date=20180227&amp;CC=CN&amp;NR=207045538U&amp;KC=U</v>
      </c>
    </row>
    <row r="223" spans="3:5" x14ac:dyDescent="0.25">
      <c r="C223" t="s">
        <v>439</v>
      </c>
      <c r="D223" t="s">
        <v>440</v>
      </c>
      <c r="E223" t="str">
        <f>HYPERLINK("https://worldwide.espacenet.com/publicationDetails/biblio?II=221&amp;ND=3&amp;adjacent=true&amp;locale=en_EP&amp;FT=D&amp;date=20180216&amp;CC=CN&amp;NR=207013713U&amp;KC=U")</f>
        <v>https://worldwide.espacenet.com/publicationDetails/biblio?II=221&amp;ND=3&amp;adjacent=true&amp;locale=en_EP&amp;FT=D&amp;date=20180216&amp;CC=CN&amp;NR=207013713U&amp;KC=U</v>
      </c>
    </row>
    <row r="224" spans="3:5" x14ac:dyDescent="0.25">
      <c r="C224" t="s">
        <v>441</v>
      </c>
      <c r="D224" t="s">
        <v>442</v>
      </c>
      <c r="E224" t="str">
        <f>HYPERLINK("https://worldwide.espacenet.com/publicationDetails/biblio?II=222&amp;ND=3&amp;adjacent=true&amp;locale=en_EP&amp;FT=D&amp;date=20180216&amp;CC=CN&amp;NR=207014351U&amp;KC=U")</f>
        <v>https://worldwide.espacenet.com/publicationDetails/biblio?II=222&amp;ND=3&amp;adjacent=true&amp;locale=en_EP&amp;FT=D&amp;date=20180216&amp;CC=CN&amp;NR=207014351U&amp;KC=U</v>
      </c>
    </row>
    <row r="225" spans="3:5" x14ac:dyDescent="0.25">
      <c r="C225" t="s">
        <v>443</v>
      </c>
      <c r="D225" t="s">
        <v>444</v>
      </c>
      <c r="E225" t="str">
        <f>HYPERLINK("https://worldwide.espacenet.com/publicationDetails/biblio?II=223&amp;ND=3&amp;adjacent=true&amp;locale=en_EP&amp;FT=D&amp;date=20180216&amp;CC=CN&amp;NR=207013711U&amp;KC=U")</f>
        <v>https://worldwide.espacenet.com/publicationDetails/biblio?II=223&amp;ND=3&amp;adjacent=true&amp;locale=en_EP&amp;FT=D&amp;date=20180216&amp;CC=CN&amp;NR=207013711U&amp;KC=U</v>
      </c>
    </row>
    <row r="226" spans="3:5" x14ac:dyDescent="0.25">
      <c r="C226" t="s">
        <v>445</v>
      </c>
      <c r="D226" t="s">
        <v>446</v>
      </c>
      <c r="E226" t="str">
        <f>HYPERLINK("https://worldwide.espacenet.com/publicationDetails/biblio?II=224&amp;ND=3&amp;adjacent=true&amp;locale=en_EP&amp;FT=D&amp;date=20180223&amp;CC=CN&amp;NR=207034292U&amp;KC=U")</f>
        <v>https://worldwide.espacenet.com/publicationDetails/biblio?II=224&amp;ND=3&amp;adjacent=true&amp;locale=en_EP&amp;FT=D&amp;date=20180223&amp;CC=CN&amp;NR=207034292U&amp;KC=U</v>
      </c>
    </row>
    <row r="227" spans="3:5" x14ac:dyDescent="0.25">
      <c r="C227" t="s">
        <v>447</v>
      </c>
      <c r="D227" t="s">
        <v>448</v>
      </c>
      <c r="E227" t="str">
        <f>HYPERLINK("https://worldwide.espacenet.com/publicationDetails/biblio?II=225&amp;ND=3&amp;adjacent=true&amp;locale=en_EP&amp;FT=D&amp;date=20180216&amp;CC=CN&amp;NR=207015504U&amp;KC=U")</f>
        <v>https://worldwide.espacenet.com/publicationDetails/biblio?II=225&amp;ND=3&amp;adjacent=true&amp;locale=en_EP&amp;FT=D&amp;date=20180216&amp;CC=CN&amp;NR=207015504U&amp;KC=U</v>
      </c>
    </row>
    <row r="228" spans="3:5" x14ac:dyDescent="0.25">
      <c r="C228" t="s">
        <v>449</v>
      </c>
      <c r="D228" t="s">
        <v>450</v>
      </c>
      <c r="E228" t="str">
        <f>HYPERLINK("https://worldwide.espacenet.com/publicationDetails/biblio?II=226&amp;ND=3&amp;adjacent=true&amp;locale=en_EP&amp;FT=D&amp;date=20180213&amp;CC=CN&amp;NR=207010156U&amp;KC=U")</f>
        <v>https://worldwide.espacenet.com/publicationDetails/biblio?II=226&amp;ND=3&amp;adjacent=true&amp;locale=en_EP&amp;FT=D&amp;date=20180213&amp;CC=CN&amp;NR=207010156U&amp;KC=U</v>
      </c>
    </row>
    <row r="229" spans="3:5" x14ac:dyDescent="0.25">
      <c r="C229" t="s">
        <v>451</v>
      </c>
      <c r="D229" t="s">
        <v>452</v>
      </c>
      <c r="E229" t="str">
        <f>HYPERLINK("https://worldwide.espacenet.com/publicationDetails/biblio?II=227&amp;ND=3&amp;adjacent=true&amp;locale=en_EP&amp;FT=D&amp;date=20180213&amp;CC=CN&amp;NR=207007619U&amp;KC=U")</f>
        <v>https://worldwide.espacenet.com/publicationDetails/biblio?II=227&amp;ND=3&amp;adjacent=true&amp;locale=en_EP&amp;FT=D&amp;date=20180213&amp;CC=CN&amp;NR=207007619U&amp;KC=U</v>
      </c>
    </row>
    <row r="230" spans="3:5" x14ac:dyDescent="0.25">
      <c r="C230" t="s">
        <v>453</v>
      </c>
      <c r="D230" t="s">
        <v>454</v>
      </c>
      <c r="E230" t="str">
        <f>HYPERLINK("https://worldwide.espacenet.com/publicationDetails/biblio?II=228&amp;ND=3&amp;adjacent=true&amp;locale=en_EP&amp;FT=D&amp;date=20180213&amp;CC=CN&amp;NR=207004833U&amp;KC=U")</f>
        <v>https://worldwide.espacenet.com/publicationDetails/biblio?II=228&amp;ND=3&amp;adjacent=true&amp;locale=en_EP&amp;FT=D&amp;date=20180213&amp;CC=CN&amp;NR=207004833U&amp;KC=U</v>
      </c>
    </row>
    <row r="231" spans="3:5" x14ac:dyDescent="0.25">
      <c r="C231" t="s">
        <v>455</v>
      </c>
      <c r="D231" t="s">
        <v>456</v>
      </c>
      <c r="E231" t="str">
        <f>HYPERLINK("https://worldwide.espacenet.com/publicationDetails/biblio?II=229&amp;ND=3&amp;adjacent=true&amp;locale=en_EP&amp;FT=D&amp;date=20180213&amp;CC=CN&amp;NR=207008930U&amp;KC=U")</f>
        <v>https://worldwide.espacenet.com/publicationDetails/biblio?II=229&amp;ND=3&amp;adjacent=true&amp;locale=en_EP&amp;FT=D&amp;date=20180213&amp;CC=CN&amp;NR=207008930U&amp;KC=U</v>
      </c>
    </row>
    <row r="232" spans="3:5" x14ac:dyDescent="0.25">
      <c r="C232" t="s">
        <v>457</v>
      </c>
      <c r="D232" t="s">
        <v>458</v>
      </c>
      <c r="E232" t="str">
        <f>HYPERLINK("https://worldwide.espacenet.com/publicationDetails/biblio?II=230&amp;ND=3&amp;adjacent=true&amp;locale=en_EP&amp;FT=D&amp;date=20180309&amp;CC=CN&amp;NR=107776436A&amp;KC=A")</f>
        <v>https://worldwide.espacenet.com/publicationDetails/biblio?II=230&amp;ND=3&amp;adjacent=true&amp;locale=en_EP&amp;FT=D&amp;date=20180309&amp;CC=CN&amp;NR=107776436A&amp;KC=A</v>
      </c>
    </row>
    <row r="233" spans="3:5" x14ac:dyDescent="0.25">
      <c r="C233" t="s">
        <v>459</v>
      </c>
      <c r="D233" t="s">
        <v>460</v>
      </c>
      <c r="E233" t="str">
        <f>HYPERLINK("https://worldwide.espacenet.com/publicationDetails/biblio?II=231&amp;ND=3&amp;adjacent=true&amp;locale=en_EP&amp;FT=D&amp;date=20180309&amp;CC=CN&amp;NR=207081675U&amp;KC=U")</f>
        <v>https://worldwide.espacenet.com/publicationDetails/biblio?II=231&amp;ND=3&amp;adjacent=true&amp;locale=en_EP&amp;FT=D&amp;date=20180309&amp;CC=CN&amp;NR=207081675U&amp;KC=U</v>
      </c>
    </row>
    <row r="234" spans="3:5" x14ac:dyDescent="0.25">
      <c r="C234" t="s">
        <v>461</v>
      </c>
      <c r="D234" t="s">
        <v>462</v>
      </c>
      <c r="E234" t="str">
        <f>HYPERLINK("https://worldwide.espacenet.com/publicationDetails/biblio?II=232&amp;ND=3&amp;adjacent=true&amp;locale=en_EP&amp;FT=D&amp;date=20180309&amp;CC=CN&amp;NR=107776795A&amp;KC=A")</f>
        <v>https://worldwide.espacenet.com/publicationDetails/biblio?II=232&amp;ND=3&amp;adjacent=true&amp;locale=en_EP&amp;FT=D&amp;date=20180309&amp;CC=CN&amp;NR=107776795A&amp;KC=A</v>
      </c>
    </row>
    <row r="235" spans="3:5" x14ac:dyDescent="0.25">
      <c r="C235" t="s">
        <v>463</v>
      </c>
      <c r="D235" t="s">
        <v>464</v>
      </c>
      <c r="E235" t="str">
        <f>HYPERLINK("https://worldwide.espacenet.com/publicationDetails/biblio?II=233&amp;ND=3&amp;adjacent=true&amp;locale=en_EP&amp;FT=D&amp;date=20180309&amp;CC=CN&amp;NR=207080666U&amp;KC=U")</f>
        <v>https://worldwide.espacenet.com/publicationDetails/biblio?II=233&amp;ND=3&amp;adjacent=true&amp;locale=en_EP&amp;FT=D&amp;date=20180309&amp;CC=CN&amp;NR=207080666U&amp;KC=U</v>
      </c>
    </row>
    <row r="236" spans="3:5" x14ac:dyDescent="0.25">
      <c r="C236" t="s">
        <v>465</v>
      </c>
      <c r="D236" t="s">
        <v>466</v>
      </c>
      <c r="E236" t="str">
        <f>HYPERLINK("https://worldwide.espacenet.com/publicationDetails/biblio?II=234&amp;ND=3&amp;adjacent=true&amp;locale=en_EP&amp;FT=D&amp;date=20180209&amp;CC=CN&amp;NR=206979135U&amp;KC=U")</f>
        <v>https://worldwide.espacenet.com/publicationDetails/biblio?II=234&amp;ND=3&amp;adjacent=true&amp;locale=en_EP&amp;FT=D&amp;date=20180209&amp;CC=CN&amp;NR=206979135U&amp;KC=U</v>
      </c>
    </row>
    <row r="237" spans="3:5" x14ac:dyDescent="0.25">
      <c r="C237" t="s">
        <v>467</v>
      </c>
      <c r="D237" t="s">
        <v>468</v>
      </c>
      <c r="E237" t="str">
        <f>HYPERLINK("https://worldwide.espacenet.com/publicationDetails/biblio?II=235&amp;ND=3&amp;adjacent=true&amp;locale=en_EP&amp;FT=D&amp;date=20180209&amp;CC=CN&amp;NR=206987063U&amp;KC=U")</f>
        <v>https://worldwide.espacenet.com/publicationDetails/biblio?II=235&amp;ND=3&amp;adjacent=true&amp;locale=en_EP&amp;FT=D&amp;date=20180209&amp;CC=CN&amp;NR=206987063U&amp;KC=U</v>
      </c>
    </row>
    <row r="238" spans="3:5" x14ac:dyDescent="0.25">
      <c r="C238" t="s">
        <v>469</v>
      </c>
      <c r="D238" t="s">
        <v>470</v>
      </c>
      <c r="E238" t="str">
        <f>HYPERLINK("https://worldwide.espacenet.com/publicationDetails/biblio?II=236&amp;ND=3&amp;adjacent=true&amp;locale=en_EP&amp;FT=D&amp;date=20180206&amp;CC=CN&amp;NR=206974799U&amp;KC=U")</f>
        <v>https://worldwide.espacenet.com/publicationDetails/biblio?II=236&amp;ND=3&amp;adjacent=true&amp;locale=en_EP&amp;FT=D&amp;date=20180206&amp;CC=CN&amp;NR=206974799U&amp;KC=U</v>
      </c>
    </row>
    <row r="239" spans="3:5" x14ac:dyDescent="0.25">
      <c r="C239" t="s">
        <v>471</v>
      </c>
      <c r="D239" t="s">
        <v>472</v>
      </c>
      <c r="E239" t="str">
        <f>HYPERLINK("https://worldwide.espacenet.com/publicationDetails/biblio?II=237&amp;ND=3&amp;adjacent=true&amp;locale=en_EP&amp;FT=D&amp;date=20180206&amp;CC=CN&amp;NR=206970441U&amp;KC=U")</f>
        <v>https://worldwide.espacenet.com/publicationDetails/biblio?II=237&amp;ND=3&amp;adjacent=true&amp;locale=en_EP&amp;FT=D&amp;date=20180206&amp;CC=CN&amp;NR=206970441U&amp;KC=U</v>
      </c>
    </row>
    <row r="240" spans="3:5" x14ac:dyDescent="0.25">
      <c r="C240" t="s">
        <v>473</v>
      </c>
      <c r="D240" t="s">
        <v>474</v>
      </c>
      <c r="E240" t="str">
        <f>HYPERLINK("https://worldwide.espacenet.com/publicationDetails/biblio?II=238&amp;ND=3&amp;adjacent=true&amp;locale=en_EP&amp;FT=D&amp;date=20180206&amp;CC=CN&amp;NR=206968889U&amp;KC=U")</f>
        <v>https://worldwide.espacenet.com/publicationDetails/biblio?II=238&amp;ND=3&amp;adjacent=true&amp;locale=en_EP&amp;FT=D&amp;date=20180206&amp;CC=CN&amp;NR=206968889U&amp;KC=U</v>
      </c>
    </row>
    <row r="241" spans="3:5" x14ac:dyDescent="0.25">
      <c r="C241" t="s">
        <v>475</v>
      </c>
      <c r="D241" t="s">
        <v>476</v>
      </c>
      <c r="E241" t="str">
        <f>HYPERLINK("https://worldwide.espacenet.com/publicationDetails/biblio?II=239&amp;ND=3&amp;adjacent=true&amp;locale=en_EP&amp;FT=D&amp;date=20180206&amp;CC=CN&amp;NR=206973001U&amp;KC=U")</f>
        <v>https://worldwide.espacenet.com/publicationDetails/biblio?II=239&amp;ND=3&amp;adjacent=true&amp;locale=en_EP&amp;FT=D&amp;date=20180206&amp;CC=CN&amp;NR=206973001U&amp;KC=U</v>
      </c>
    </row>
    <row r="242" spans="3:5" x14ac:dyDescent="0.25">
      <c r="C242" t="s">
        <v>477</v>
      </c>
      <c r="D242" t="s">
        <v>478</v>
      </c>
      <c r="E242" t="str">
        <f>HYPERLINK("https://worldwide.espacenet.com/publicationDetails/biblio?II=240&amp;ND=3&amp;adjacent=true&amp;locale=en_EP&amp;FT=D&amp;date=20180206&amp;CC=CN&amp;NR=206968890U&amp;KC=U")</f>
        <v>https://worldwide.espacenet.com/publicationDetails/biblio?II=240&amp;ND=3&amp;adjacent=true&amp;locale=en_EP&amp;FT=D&amp;date=20180206&amp;CC=CN&amp;NR=206968890U&amp;KC=U</v>
      </c>
    </row>
    <row r="243" spans="3:5" x14ac:dyDescent="0.25">
      <c r="C243" t="s">
        <v>479</v>
      </c>
      <c r="D243" t="s">
        <v>480</v>
      </c>
      <c r="E243" t="str">
        <f>HYPERLINK("https://worldwide.espacenet.com/publicationDetails/biblio?II=241&amp;ND=3&amp;adjacent=true&amp;locale=en_EP&amp;FT=D&amp;date=20180206&amp;CC=CN&amp;NR=206970001U&amp;KC=U")</f>
        <v>https://worldwide.espacenet.com/publicationDetails/biblio?II=241&amp;ND=3&amp;adjacent=true&amp;locale=en_EP&amp;FT=D&amp;date=20180206&amp;CC=CN&amp;NR=206970001U&amp;KC=U</v>
      </c>
    </row>
    <row r="244" spans="3:5" x14ac:dyDescent="0.25">
      <c r="C244" t="s">
        <v>481</v>
      </c>
      <c r="D244" t="s">
        <v>482</v>
      </c>
      <c r="E244" t="str">
        <f>HYPERLINK("https://worldwide.espacenet.com/publicationDetails/biblio?II=242&amp;ND=3&amp;adjacent=true&amp;locale=en_EP&amp;FT=D&amp;date=20180202&amp;CC=CN&amp;NR=206954408U&amp;KC=U")</f>
        <v>https://worldwide.espacenet.com/publicationDetails/biblio?II=242&amp;ND=3&amp;adjacent=true&amp;locale=en_EP&amp;FT=D&amp;date=20180202&amp;CC=CN&amp;NR=206954408U&amp;KC=U</v>
      </c>
    </row>
    <row r="245" spans="3:5" x14ac:dyDescent="0.25">
      <c r="C245" t="s">
        <v>483</v>
      </c>
      <c r="D245" t="s">
        <v>484</v>
      </c>
      <c r="E245" t="str">
        <f>HYPERLINK("https://worldwide.espacenet.com/publicationDetails/biblio?II=243&amp;ND=3&amp;adjacent=true&amp;locale=en_EP&amp;FT=D&amp;date=20180202&amp;CC=CN&amp;NR=206957446U&amp;KC=U")</f>
        <v>https://worldwide.espacenet.com/publicationDetails/biblio?II=243&amp;ND=3&amp;adjacent=true&amp;locale=en_EP&amp;FT=D&amp;date=20180202&amp;CC=CN&amp;NR=206957446U&amp;KC=U</v>
      </c>
    </row>
    <row r="246" spans="3:5" x14ac:dyDescent="0.25">
      <c r="C246" t="s">
        <v>485</v>
      </c>
      <c r="D246" t="s">
        <v>486</v>
      </c>
      <c r="E246" t="str">
        <f>HYPERLINK("https://worldwide.espacenet.com/publicationDetails/biblio?II=244&amp;ND=3&amp;adjacent=true&amp;locale=en_EP&amp;FT=D&amp;date=20180202&amp;CC=CN&amp;NR=206954391U&amp;KC=U")</f>
        <v>https://worldwide.espacenet.com/publicationDetails/biblio?II=244&amp;ND=3&amp;adjacent=true&amp;locale=en_EP&amp;FT=D&amp;date=20180202&amp;CC=CN&amp;NR=206954391U&amp;KC=U</v>
      </c>
    </row>
    <row r="247" spans="3:5" x14ac:dyDescent="0.25">
      <c r="C247" t="s">
        <v>485</v>
      </c>
      <c r="D247" t="s">
        <v>487</v>
      </c>
      <c r="E247" t="str">
        <f>HYPERLINK("https://worldwide.espacenet.com/publicationDetails/biblio?II=245&amp;ND=3&amp;adjacent=true&amp;locale=en_EP&amp;FT=D&amp;date=20180202&amp;CC=CN&amp;NR=206954392U&amp;KC=U")</f>
        <v>https://worldwide.espacenet.com/publicationDetails/biblio?II=245&amp;ND=3&amp;adjacent=true&amp;locale=en_EP&amp;FT=D&amp;date=20180202&amp;CC=CN&amp;NR=206954392U&amp;KC=U</v>
      </c>
    </row>
    <row r="248" spans="3:5" x14ac:dyDescent="0.25">
      <c r="C248" t="s">
        <v>488</v>
      </c>
      <c r="D248" t="s">
        <v>489</v>
      </c>
      <c r="E248" t="str">
        <f>HYPERLINK("https://worldwide.espacenet.com/publicationDetails/biblio?II=246&amp;ND=3&amp;adjacent=true&amp;locale=en_EP&amp;FT=D&amp;date=20180130&amp;CC=CN&amp;NR=206940213U&amp;KC=U")</f>
        <v>https://worldwide.espacenet.com/publicationDetails/biblio?II=246&amp;ND=3&amp;adjacent=true&amp;locale=en_EP&amp;FT=D&amp;date=20180130&amp;CC=CN&amp;NR=206940213U&amp;KC=U</v>
      </c>
    </row>
    <row r="249" spans="3:5" x14ac:dyDescent="0.25">
      <c r="C249" t="s">
        <v>490</v>
      </c>
      <c r="D249" t="s">
        <v>491</v>
      </c>
      <c r="E249" t="str">
        <f>HYPERLINK("https://worldwide.espacenet.com/publicationDetails/biblio?II=247&amp;ND=3&amp;adjacent=true&amp;locale=en_EP&amp;FT=D&amp;date=20180130&amp;CC=CN&amp;NR=206938947U&amp;KC=U")</f>
        <v>https://worldwide.espacenet.com/publicationDetails/biblio?II=247&amp;ND=3&amp;adjacent=true&amp;locale=en_EP&amp;FT=D&amp;date=20180130&amp;CC=CN&amp;NR=206938947U&amp;KC=U</v>
      </c>
    </row>
    <row r="250" spans="3:5" x14ac:dyDescent="0.25">
      <c r="C250" t="s">
        <v>492</v>
      </c>
      <c r="D250" t="s">
        <v>493</v>
      </c>
      <c r="E250" t="str">
        <f>HYPERLINK("https://worldwide.espacenet.com/publicationDetails/biblio?II=248&amp;ND=3&amp;adjacent=true&amp;locale=en_EP&amp;FT=D&amp;date=20180126&amp;CC=CN&amp;NR=206929083U&amp;KC=U")</f>
        <v>https://worldwide.espacenet.com/publicationDetails/biblio?II=248&amp;ND=3&amp;adjacent=true&amp;locale=en_EP&amp;FT=D&amp;date=20180126&amp;CC=CN&amp;NR=206929083U&amp;KC=U</v>
      </c>
    </row>
    <row r="251" spans="3:5" x14ac:dyDescent="0.25">
      <c r="C251" t="s">
        <v>494</v>
      </c>
      <c r="D251" t="s">
        <v>495</v>
      </c>
      <c r="E251" t="str">
        <f>HYPERLINK("https://worldwide.espacenet.com/publicationDetails/biblio?II=249&amp;ND=3&amp;adjacent=true&amp;locale=en_EP&amp;FT=D&amp;date=20180123&amp;CC=CN&amp;NR=206915670U&amp;KC=U")</f>
        <v>https://worldwide.espacenet.com/publicationDetails/biblio?II=249&amp;ND=3&amp;adjacent=true&amp;locale=en_EP&amp;FT=D&amp;date=20180123&amp;CC=CN&amp;NR=206915670U&amp;KC=U</v>
      </c>
    </row>
    <row r="252" spans="3:5" x14ac:dyDescent="0.25">
      <c r="C252" t="s">
        <v>496</v>
      </c>
      <c r="D252" t="s">
        <v>497</v>
      </c>
      <c r="E252" t="str">
        <f>HYPERLINK("https://worldwide.espacenet.com/publicationDetails/biblio?II=250&amp;ND=3&amp;adjacent=true&amp;locale=en_EP&amp;FT=D&amp;date=20180112&amp;CC=CN&amp;NR=206874808U&amp;KC=U")</f>
        <v>https://worldwide.espacenet.com/publicationDetails/biblio?II=250&amp;ND=3&amp;adjacent=true&amp;locale=en_EP&amp;FT=D&amp;date=20180112&amp;CC=CN&amp;NR=206874808U&amp;KC=U</v>
      </c>
    </row>
    <row r="253" spans="3:5" x14ac:dyDescent="0.25">
      <c r="C253" t="s">
        <v>498</v>
      </c>
      <c r="D253" t="s">
        <v>499</v>
      </c>
      <c r="E253" t="str">
        <f>HYPERLINK("https://worldwide.espacenet.com/publicationDetails/biblio?II=251&amp;ND=3&amp;adjacent=true&amp;locale=en_EP&amp;FT=D&amp;date=20180112&amp;CC=CN&amp;NR=206874809U&amp;KC=U")</f>
        <v>https://worldwide.espacenet.com/publicationDetails/biblio?II=251&amp;ND=3&amp;adjacent=true&amp;locale=en_EP&amp;FT=D&amp;date=20180112&amp;CC=CN&amp;NR=206874809U&amp;KC=U</v>
      </c>
    </row>
    <row r="254" spans="3:5" x14ac:dyDescent="0.25">
      <c r="C254" t="s">
        <v>500</v>
      </c>
      <c r="D254" t="s">
        <v>501</v>
      </c>
      <c r="E254" t="str">
        <f>HYPERLINK("https://worldwide.espacenet.com/publicationDetails/biblio?II=252&amp;ND=3&amp;adjacent=true&amp;locale=en_EP&amp;FT=D&amp;date=20180112&amp;CC=CN&amp;NR=206876163U&amp;KC=U")</f>
        <v>https://worldwide.espacenet.com/publicationDetails/biblio?II=252&amp;ND=3&amp;adjacent=true&amp;locale=en_EP&amp;FT=D&amp;date=20180112&amp;CC=CN&amp;NR=206876163U&amp;KC=U</v>
      </c>
    </row>
    <row r="255" spans="3:5" x14ac:dyDescent="0.25">
      <c r="C255" t="s">
        <v>502</v>
      </c>
      <c r="D255" t="s">
        <v>503</v>
      </c>
      <c r="E255" t="str">
        <f>HYPERLINK("https://worldwide.espacenet.com/publicationDetails/biblio?II=253&amp;ND=3&amp;adjacent=true&amp;locale=en_EP&amp;FT=D&amp;date=20180112&amp;CC=CN&amp;NR=206876489U&amp;KC=U")</f>
        <v>https://worldwide.espacenet.com/publicationDetails/biblio?II=253&amp;ND=3&amp;adjacent=true&amp;locale=en_EP&amp;FT=D&amp;date=20180112&amp;CC=CN&amp;NR=206876489U&amp;KC=U</v>
      </c>
    </row>
    <row r="256" spans="3:5" x14ac:dyDescent="0.25">
      <c r="C256" t="s">
        <v>504</v>
      </c>
      <c r="D256" t="s">
        <v>505</v>
      </c>
      <c r="E256" t="str">
        <f>HYPERLINK("https://worldwide.espacenet.com/publicationDetails/biblio?II=254&amp;ND=3&amp;adjacent=true&amp;locale=en_EP&amp;FT=D&amp;date=20180116&amp;CC=CN&amp;NR=206880789U&amp;KC=U")</f>
        <v>https://worldwide.espacenet.com/publicationDetails/biblio?II=254&amp;ND=3&amp;adjacent=true&amp;locale=en_EP&amp;FT=D&amp;date=20180116&amp;CC=CN&amp;NR=206880789U&amp;KC=U</v>
      </c>
    </row>
    <row r="257" spans="3:5" x14ac:dyDescent="0.25">
      <c r="C257" t="s">
        <v>506</v>
      </c>
      <c r="D257" t="s">
        <v>507</v>
      </c>
      <c r="E257" t="str">
        <f>HYPERLINK("https://worldwide.espacenet.com/publicationDetails/biblio?II=255&amp;ND=3&amp;adjacent=true&amp;locale=en_EP&amp;FT=D&amp;date=20180116&amp;CC=CN&amp;NR=206891635U&amp;KC=U")</f>
        <v>https://worldwide.espacenet.com/publicationDetails/biblio?II=255&amp;ND=3&amp;adjacent=true&amp;locale=en_EP&amp;FT=D&amp;date=20180116&amp;CC=CN&amp;NR=206891635U&amp;KC=U</v>
      </c>
    </row>
    <row r="258" spans="3:5" x14ac:dyDescent="0.25">
      <c r="C258" t="s">
        <v>508</v>
      </c>
      <c r="D258" t="s">
        <v>509</v>
      </c>
      <c r="E258" t="str">
        <f>HYPERLINK("https://worldwide.espacenet.com/publicationDetails/biblio?II=256&amp;ND=3&amp;adjacent=true&amp;locale=en_EP&amp;FT=D&amp;date=20180116&amp;CC=CN&amp;NR=206885272U&amp;KC=U")</f>
        <v>https://worldwide.espacenet.com/publicationDetails/biblio?II=256&amp;ND=3&amp;adjacent=true&amp;locale=en_EP&amp;FT=D&amp;date=20180116&amp;CC=CN&amp;NR=206885272U&amp;KC=U</v>
      </c>
    </row>
    <row r="259" spans="3:5" x14ac:dyDescent="0.25">
      <c r="C259" t="s">
        <v>510</v>
      </c>
      <c r="D259" t="s">
        <v>511</v>
      </c>
      <c r="E259" t="str">
        <f>HYPERLINK("https://worldwide.espacenet.com/publicationDetails/biblio?II=257&amp;ND=3&amp;adjacent=true&amp;locale=en_EP&amp;FT=D&amp;date=20180116&amp;CC=CN&amp;NR=206889363U&amp;KC=U")</f>
        <v>https://worldwide.espacenet.com/publicationDetails/biblio?II=257&amp;ND=3&amp;adjacent=true&amp;locale=en_EP&amp;FT=D&amp;date=20180116&amp;CC=CN&amp;NR=206889363U&amp;KC=U</v>
      </c>
    </row>
    <row r="260" spans="3:5" x14ac:dyDescent="0.25">
      <c r="C260" t="s">
        <v>512</v>
      </c>
      <c r="D260" t="s">
        <v>513</v>
      </c>
      <c r="E260" t="str">
        <f>HYPERLINK("https://worldwide.espacenet.com/publicationDetails/biblio?II=258&amp;ND=3&amp;adjacent=true&amp;locale=en_EP&amp;FT=D&amp;date=20180123&amp;CC=CN&amp;NR=206914379U&amp;KC=U")</f>
        <v>https://worldwide.espacenet.com/publicationDetails/biblio?II=258&amp;ND=3&amp;adjacent=true&amp;locale=en_EP&amp;FT=D&amp;date=20180123&amp;CC=CN&amp;NR=206914379U&amp;KC=U</v>
      </c>
    </row>
    <row r="261" spans="3:5" x14ac:dyDescent="0.25">
      <c r="C261" t="s">
        <v>514</v>
      </c>
      <c r="D261" t="s">
        <v>515</v>
      </c>
      <c r="E261" t="str">
        <f>HYPERLINK("https://worldwide.espacenet.com/publicationDetails/biblio?II=259&amp;ND=3&amp;adjacent=true&amp;locale=en_EP&amp;FT=D&amp;date=20180308&amp;CC=WO&amp;NR=2018040991A1&amp;KC=A1")</f>
        <v>https://worldwide.espacenet.com/publicationDetails/biblio?II=259&amp;ND=3&amp;adjacent=true&amp;locale=en_EP&amp;FT=D&amp;date=20180308&amp;CC=WO&amp;NR=2018040991A1&amp;KC=A1</v>
      </c>
    </row>
    <row r="262" spans="3:5" x14ac:dyDescent="0.25">
      <c r="C262" t="s">
        <v>516</v>
      </c>
      <c r="D262" t="s">
        <v>517</v>
      </c>
      <c r="E262" t="str">
        <f>HYPERLINK("https://worldwide.espacenet.com/publicationDetails/biblio?II=260&amp;ND=3&amp;adjacent=true&amp;locale=en_EP&amp;FT=D&amp;date=20180308&amp;CC=WO&amp;NR=2018040084A1&amp;KC=A1")</f>
        <v>https://worldwide.espacenet.com/publicationDetails/biblio?II=260&amp;ND=3&amp;adjacent=true&amp;locale=en_EP&amp;FT=D&amp;date=20180308&amp;CC=WO&amp;NR=2018040084A1&amp;KC=A1</v>
      </c>
    </row>
    <row r="263" spans="3:5" x14ac:dyDescent="0.25">
      <c r="C263" t="s">
        <v>516</v>
      </c>
      <c r="D263" t="s">
        <v>518</v>
      </c>
      <c r="E263" t="str">
        <f>HYPERLINK("https://worldwide.espacenet.com/publicationDetails/biblio?II=261&amp;ND=3&amp;adjacent=true&amp;locale=en_EP&amp;FT=D&amp;date=20180308&amp;CC=WO&amp;NR=2018040083A1&amp;KC=A1")</f>
        <v>https://worldwide.espacenet.com/publicationDetails/biblio?II=261&amp;ND=3&amp;adjacent=true&amp;locale=en_EP&amp;FT=D&amp;date=20180308&amp;CC=WO&amp;NR=2018040083A1&amp;KC=A1</v>
      </c>
    </row>
    <row r="264" spans="3:5" x14ac:dyDescent="0.25">
      <c r="C264" t="s">
        <v>516</v>
      </c>
      <c r="D264" t="s">
        <v>519</v>
      </c>
      <c r="E264" t="str">
        <f>HYPERLINK("https://worldwide.espacenet.com/publicationDetails/biblio?II=262&amp;ND=3&amp;adjacent=true&amp;locale=en_EP&amp;FT=D&amp;date=20180308&amp;CC=WO&amp;NR=2018040082A1&amp;KC=A1")</f>
        <v>https://worldwide.espacenet.com/publicationDetails/biblio?II=262&amp;ND=3&amp;adjacent=true&amp;locale=en_EP&amp;FT=D&amp;date=20180308&amp;CC=WO&amp;NR=2018040082A1&amp;KC=A1</v>
      </c>
    </row>
    <row r="265" spans="3:5" x14ac:dyDescent="0.25">
      <c r="C265" t="s">
        <v>516</v>
      </c>
      <c r="D265" t="s">
        <v>520</v>
      </c>
      <c r="E265" t="str">
        <f>HYPERLINK("https://worldwide.espacenet.com/publicationDetails/biblio?II=263&amp;ND=3&amp;adjacent=true&amp;locale=en_EP&amp;FT=D&amp;date=20180308&amp;CC=WO&amp;NR=2018040086A1&amp;KC=A1")</f>
        <v>https://worldwide.espacenet.com/publicationDetails/biblio?II=263&amp;ND=3&amp;adjacent=true&amp;locale=en_EP&amp;FT=D&amp;date=20180308&amp;CC=WO&amp;NR=2018040086A1&amp;KC=A1</v>
      </c>
    </row>
    <row r="266" spans="3:5" x14ac:dyDescent="0.25">
      <c r="C266" t="s">
        <v>516</v>
      </c>
      <c r="D266" t="s">
        <v>521</v>
      </c>
      <c r="E266" t="str">
        <f>HYPERLINK("https://worldwide.espacenet.com/publicationDetails/biblio?II=264&amp;ND=3&amp;adjacent=true&amp;locale=en_EP&amp;FT=D&amp;date=20180308&amp;CC=WO&amp;NR=2018040081A1&amp;KC=A1")</f>
        <v>https://worldwide.espacenet.com/publicationDetails/biblio?II=264&amp;ND=3&amp;adjacent=true&amp;locale=en_EP&amp;FT=D&amp;date=20180308&amp;CC=WO&amp;NR=2018040081A1&amp;KC=A1</v>
      </c>
    </row>
    <row r="267" spans="3:5" x14ac:dyDescent="0.25">
      <c r="C267" t="s">
        <v>516</v>
      </c>
      <c r="D267" t="s">
        <v>522</v>
      </c>
      <c r="E267" t="str">
        <f>HYPERLINK("https://worldwide.espacenet.com/publicationDetails/biblio?II=265&amp;ND=3&amp;adjacent=true&amp;locale=en_EP&amp;FT=D&amp;date=20180308&amp;CC=WO&amp;NR=2018040087A1&amp;KC=A1")</f>
        <v>https://worldwide.espacenet.com/publicationDetails/biblio?II=265&amp;ND=3&amp;adjacent=true&amp;locale=en_EP&amp;FT=D&amp;date=20180308&amp;CC=WO&amp;NR=2018040087A1&amp;KC=A1</v>
      </c>
    </row>
    <row r="268" spans="3:5" x14ac:dyDescent="0.25">
      <c r="C268" t="s">
        <v>516</v>
      </c>
      <c r="D268" t="s">
        <v>523</v>
      </c>
      <c r="E268" t="str">
        <f>HYPERLINK("https://worldwide.espacenet.com/publicationDetails/biblio?II=266&amp;ND=3&amp;adjacent=true&amp;locale=en_EP&amp;FT=D&amp;date=20180308&amp;CC=WO&amp;NR=2018040085A1&amp;KC=A1")</f>
        <v>https://worldwide.espacenet.com/publicationDetails/biblio?II=266&amp;ND=3&amp;adjacent=true&amp;locale=en_EP&amp;FT=D&amp;date=20180308&amp;CC=WO&amp;NR=2018040085A1&amp;KC=A1</v>
      </c>
    </row>
    <row r="269" spans="3:5" x14ac:dyDescent="0.25">
      <c r="C269" t="s">
        <v>524</v>
      </c>
      <c r="D269" t="s">
        <v>525</v>
      </c>
      <c r="E269" t="str">
        <f>HYPERLINK("https://worldwide.espacenet.com/publicationDetails/biblio?II=267&amp;ND=3&amp;adjacent=true&amp;locale=en_EP&amp;FT=D&amp;date=20180308&amp;CC=WO&amp;NR=2018040088A1&amp;KC=A1")</f>
        <v>https://worldwide.espacenet.com/publicationDetails/biblio?II=267&amp;ND=3&amp;adjacent=true&amp;locale=en_EP&amp;FT=D&amp;date=20180308&amp;CC=WO&amp;NR=2018040088A1&amp;KC=A1</v>
      </c>
    </row>
    <row r="270" spans="3:5" x14ac:dyDescent="0.25">
      <c r="C270" t="s">
        <v>526</v>
      </c>
      <c r="D270" t="s">
        <v>527</v>
      </c>
      <c r="E270" t="str">
        <f>HYPERLINK("https://worldwide.espacenet.com/publicationDetails/biblio?II=268&amp;ND=3&amp;adjacent=true&amp;locale=en_EP&amp;FT=D&amp;date=20180308&amp;CC=WO&amp;NR=2018040089A1&amp;KC=A1")</f>
        <v>https://worldwide.espacenet.com/publicationDetails/biblio?II=268&amp;ND=3&amp;adjacent=true&amp;locale=en_EP&amp;FT=D&amp;date=20180308&amp;CC=WO&amp;NR=2018040089A1&amp;KC=A1</v>
      </c>
    </row>
    <row r="271" spans="3:5" x14ac:dyDescent="0.25">
      <c r="C271" t="s">
        <v>528</v>
      </c>
      <c r="D271" t="s">
        <v>529</v>
      </c>
      <c r="E271" t="str">
        <f>HYPERLINK("https://worldwide.espacenet.com/publicationDetails/biblio?II=269&amp;ND=3&amp;adjacent=true&amp;locale=en_EP&amp;FT=D&amp;date=20180119&amp;CC=CN&amp;NR=206899963U&amp;KC=U")</f>
        <v>https://worldwide.espacenet.com/publicationDetails/biblio?II=269&amp;ND=3&amp;adjacent=true&amp;locale=en_EP&amp;FT=D&amp;date=20180119&amp;CC=CN&amp;NR=206899963U&amp;KC=U</v>
      </c>
    </row>
    <row r="272" spans="3:5" x14ac:dyDescent="0.25">
      <c r="C272" t="s">
        <v>530</v>
      </c>
      <c r="D272" t="s">
        <v>531</v>
      </c>
      <c r="E272" t="str">
        <f>HYPERLINK("https://worldwide.espacenet.com/publicationDetails/biblio?II=270&amp;ND=3&amp;adjacent=true&amp;locale=en_EP&amp;FT=D&amp;date=20180306&amp;CC=CN&amp;NR=107758964A&amp;KC=A")</f>
        <v>https://worldwide.espacenet.com/publicationDetails/biblio?II=270&amp;ND=3&amp;adjacent=true&amp;locale=en_EP&amp;FT=D&amp;date=20180306&amp;CC=CN&amp;NR=107758964A&amp;KC=A</v>
      </c>
    </row>
    <row r="273" spans="3:5" x14ac:dyDescent="0.25">
      <c r="C273" t="s">
        <v>532</v>
      </c>
      <c r="D273" t="s">
        <v>533</v>
      </c>
      <c r="E273" t="str">
        <f>HYPERLINK("https://worldwide.espacenet.com/publicationDetails/biblio?II=271&amp;ND=3&amp;adjacent=true&amp;locale=en_EP&amp;FT=D&amp;date=20180306&amp;CC=CN&amp;NR=107757737A&amp;KC=A")</f>
        <v>https://worldwide.espacenet.com/publicationDetails/biblio?II=271&amp;ND=3&amp;adjacent=true&amp;locale=en_EP&amp;FT=D&amp;date=20180306&amp;CC=CN&amp;NR=107757737A&amp;KC=A</v>
      </c>
    </row>
    <row r="274" spans="3:5" x14ac:dyDescent="0.25">
      <c r="C274" t="s">
        <v>534</v>
      </c>
      <c r="D274" t="s">
        <v>535</v>
      </c>
      <c r="E274" t="str">
        <f>HYPERLINK("https://worldwide.espacenet.com/publicationDetails/biblio?II=272&amp;ND=3&amp;adjacent=true&amp;locale=en_EP&amp;FT=D&amp;date=20180306&amp;CC=CN&amp;NR=107757673A&amp;KC=A")</f>
        <v>https://worldwide.espacenet.com/publicationDetails/biblio?II=272&amp;ND=3&amp;adjacent=true&amp;locale=en_EP&amp;FT=D&amp;date=20180306&amp;CC=CN&amp;NR=107757673A&amp;KC=A</v>
      </c>
    </row>
    <row r="275" spans="3:5" x14ac:dyDescent="0.25">
      <c r="C275" t="s">
        <v>536</v>
      </c>
      <c r="D275" t="s">
        <v>537</v>
      </c>
      <c r="E275" t="str">
        <f>HYPERLINK("https://worldwide.espacenet.com/publicationDetails/biblio?II=273&amp;ND=3&amp;adjacent=true&amp;locale=en_EP&amp;FT=D&amp;date=20180302&amp;CC=CN&amp;NR=107745443A&amp;KC=A")</f>
        <v>https://worldwide.espacenet.com/publicationDetails/biblio?II=273&amp;ND=3&amp;adjacent=true&amp;locale=en_EP&amp;FT=D&amp;date=20180302&amp;CC=CN&amp;NR=107745443A&amp;KC=A</v>
      </c>
    </row>
    <row r="276" spans="3:5" x14ac:dyDescent="0.25">
      <c r="C276" t="s">
        <v>538</v>
      </c>
      <c r="D276" t="s">
        <v>539</v>
      </c>
      <c r="E276" t="str">
        <f>HYPERLINK("https://worldwide.espacenet.com/publicationDetails/biblio?II=274&amp;ND=3&amp;adjacent=true&amp;locale=en_EP&amp;FT=D&amp;date=20180301&amp;CC=WO&amp;NR=2018035715A1&amp;KC=A1")</f>
        <v>https://worldwide.espacenet.com/publicationDetails/biblio?II=274&amp;ND=3&amp;adjacent=true&amp;locale=en_EP&amp;FT=D&amp;date=20180301&amp;CC=WO&amp;NR=2018035715A1&amp;KC=A1</v>
      </c>
    </row>
    <row r="277" spans="3:5" x14ac:dyDescent="0.25">
      <c r="C277" t="s">
        <v>540</v>
      </c>
      <c r="D277" t="s">
        <v>541</v>
      </c>
      <c r="E277" t="str">
        <f>HYPERLINK("https://worldwide.espacenet.com/publicationDetails/biblio?II=275&amp;ND=3&amp;adjacent=true&amp;locale=en_EP&amp;FT=D&amp;date=20180301&amp;CC=WO&amp;NR=2018035798A1&amp;KC=A1")</f>
        <v>https://worldwide.espacenet.com/publicationDetails/biblio?II=275&amp;ND=3&amp;adjacent=true&amp;locale=en_EP&amp;FT=D&amp;date=20180301&amp;CC=WO&amp;NR=2018035798A1&amp;KC=A1</v>
      </c>
    </row>
    <row r="278" spans="3:5" x14ac:dyDescent="0.25">
      <c r="C278" t="s">
        <v>538</v>
      </c>
      <c r="D278" t="s">
        <v>542</v>
      </c>
      <c r="E278" t="str">
        <f>HYPERLINK("https://worldwide.espacenet.com/publicationDetails/biblio?II=276&amp;ND=3&amp;adjacent=true&amp;locale=en_EP&amp;FT=D&amp;date=20180301&amp;CC=WO&amp;NR=2018035714A1&amp;KC=A1")</f>
        <v>https://worldwide.espacenet.com/publicationDetails/biblio?II=276&amp;ND=3&amp;adjacent=true&amp;locale=en_EP&amp;FT=D&amp;date=20180301&amp;CC=WO&amp;NR=2018035714A1&amp;KC=A1</v>
      </c>
    </row>
    <row r="279" spans="3:5" x14ac:dyDescent="0.25">
      <c r="C279" t="s">
        <v>543</v>
      </c>
      <c r="D279" t="s">
        <v>544</v>
      </c>
      <c r="E279" t="str">
        <f>HYPERLINK("https://worldwide.espacenet.com/publicationDetails/biblio?II=277&amp;ND=3&amp;adjacent=true&amp;locale=en_EP&amp;FT=D&amp;date=20180223&amp;CC=CN&amp;NR=107719544A&amp;KC=A")</f>
        <v>https://worldwide.espacenet.com/publicationDetails/biblio?II=277&amp;ND=3&amp;adjacent=true&amp;locale=en_EP&amp;FT=D&amp;date=20180223&amp;CC=CN&amp;NR=107719544A&amp;KC=A</v>
      </c>
    </row>
    <row r="280" spans="3:5" x14ac:dyDescent="0.25">
      <c r="C280" t="s">
        <v>545</v>
      </c>
      <c r="D280" t="s">
        <v>546</v>
      </c>
      <c r="E280" t="str">
        <f>HYPERLINK("https://worldwide.espacenet.com/publicationDetails/biblio?II=278&amp;ND=3&amp;adjacent=true&amp;locale=en_EP&amp;FT=D&amp;date=20180223&amp;CC=CN&amp;NR=107728636A&amp;KC=A")</f>
        <v>https://worldwide.espacenet.com/publicationDetails/biblio?II=278&amp;ND=3&amp;adjacent=true&amp;locale=en_EP&amp;FT=D&amp;date=20180223&amp;CC=CN&amp;NR=107728636A&amp;KC=A</v>
      </c>
    </row>
    <row r="281" spans="3:5" x14ac:dyDescent="0.25">
      <c r="C281" t="s">
        <v>547</v>
      </c>
      <c r="D281" t="s">
        <v>548</v>
      </c>
      <c r="E281" t="str">
        <f>HYPERLINK("https://worldwide.espacenet.com/publicationDetails/biblio?II=279&amp;ND=3&amp;adjacent=true&amp;locale=en_EP&amp;FT=D&amp;date=20180223&amp;CC=CN&amp;NR=107725254A&amp;KC=A")</f>
        <v>https://worldwide.espacenet.com/publicationDetails/biblio?II=279&amp;ND=3&amp;adjacent=true&amp;locale=en_EP&amp;FT=D&amp;date=20180223&amp;CC=CN&amp;NR=107725254A&amp;KC=A</v>
      </c>
    </row>
    <row r="282" spans="3:5" x14ac:dyDescent="0.25">
      <c r="C282" t="s">
        <v>549</v>
      </c>
      <c r="D282" t="s">
        <v>550</v>
      </c>
      <c r="E282" t="str">
        <f>HYPERLINK("https://worldwide.espacenet.com/publicationDetails/biblio?II=280&amp;ND=3&amp;adjacent=true&amp;locale=en_EP&amp;FT=D&amp;date=20180223&amp;CC=CN&amp;NR=107717942A&amp;KC=A")</f>
        <v>https://worldwide.espacenet.com/publicationDetails/biblio?II=280&amp;ND=3&amp;adjacent=true&amp;locale=en_EP&amp;FT=D&amp;date=20180223&amp;CC=CN&amp;NR=107717942A&amp;KC=A</v>
      </c>
    </row>
    <row r="283" spans="3:5" x14ac:dyDescent="0.25">
      <c r="C283" t="s">
        <v>167</v>
      </c>
      <c r="D283" t="s">
        <v>551</v>
      </c>
      <c r="E283" t="str">
        <f>HYPERLINK("https://worldwide.espacenet.com/publicationDetails/biblio?II=281&amp;ND=3&amp;adjacent=true&amp;locale=en_EP&amp;FT=D&amp;date=20180223&amp;CC=CN&amp;NR=107719549A&amp;KC=A")</f>
        <v>https://worldwide.espacenet.com/publicationDetails/biblio?II=281&amp;ND=3&amp;adjacent=true&amp;locale=en_EP&amp;FT=D&amp;date=20180223&amp;CC=CN&amp;NR=107719549A&amp;KC=A</v>
      </c>
    </row>
    <row r="284" spans="3:5" x14ac:dyDescent="0.25">
      <c r="C284" t="s">
        <v>552</v>
      </c>
      <c r="D284" t="s">
        <v>553</v>
      </c>
      <c r="E284" t="str">
        <f>HYPERLINK("https://worldwide.espacenet.com/publicationDetails/biblio?II=282&amp;ND=3&amp;adjacent=true&amp;locale=en_EP&amp;FT=D&amp;date=20180222&amp;CC=WO&amp;NR=2018032584A1&amp;KC=A1")</f>
        <v>https://worldwide.espacenet.com/publicationDetails/biblio?II=282&amp;ND=3&amp;adjacent=true&amp;locale=en_EP&amp;FT=D&amp;date=20180222&amp;CC=WO&amp;NR=2018032584A1&amp;KC=A1</v>
      </c>
    </row>
    <row r="285" spans="3:5" x14ac:dyDescent="0.25">
      <c r="C285" t="s">
        <v>554</v>
      </c>
      <c r="D285" t="s">
        <v>555</v>
      </c>
      <c r="E285" t="str">
        <f>HYPERLINK("https://worldwide.espacenet.com/publicationDetails/biblio?II=283&amp;ND=3&amp;adjacent=true&amp;locale=en_EP&amp;FT=D&amp;date=20180222&amp;CC=WO&amp;NR=2018032401A1&amp;KC=A1")</f>
        <v>https://worldwide.espacenet.com/publicationDetails/biblio?II=283&amp;ND=3&amp;adjacent=true&amp;locale=en_EP&amp;FT=D&amp;date=20180222&amp;CC=WO&amp;NR=2018032401A1&amp;KC=A1</v>
      </c>
    </row>
    <row r="286" spans="3:5" x14ac:dyDescent="0.25">
      <c r="C286" t="s">
        <v>554</v>
      </c>
      <c r="D286" t="s">
        <v>556</v>
      </c>
      <c r="E286" t="str">
        <f>HYPERLINK("https://worldwide.espacenet.com/publicationDetails/biblio?II=284&amp;ND=3&amp;adjacent=true&amp;locale=en_EP&amp;FT=D&amp;date=20180222&amp;CC=WO&amp;NR=2018032397A1&amp;KC=A1")</f>
        <v>https://worldwide.espacenet.com/publicationDetails/biblio?II=284&amp;ND=3&amp;adjacent=true&amp;locale=en_EP&amp;FT=D&amp;date=20180222&amp;CC=WO&amp;NR=2018032397A1&amp;KC=A1</v>
      </c>
    </row>
    <row r="287" spans="3:5" x14ac:dyDescent="0.25">
      <c r="C287" t="s">
        <v>554</v>
      </c>
      <c r="D287" t="s">
        <v>557</v>
      </c>
      <c r="E287" t="str">
        <f>HYPERLINK("https://worldwide.espacenet.com/publicationDetails/biblio?II=285&amp;ND=3&amp;adjacent=true&amp;locale=en_EP&amp;FT=D&amp;date=20180222&amp;CC=WO&amp;NR=2018032400A1&amp;KC=A1")</f>
        <v>https://worldwide.espacenet.com/publicationDetails/biblio?II=285&amp;ND=3&amp;adjacent=true&amp;locale=en_EP&amp;FT=D&amp;date=20180222&amp;CC=WO&amp;NR=2018032400A1&amp;KC=A1</v>
      </c>
    </row>
    <row r="288" spans="3:5" x14ac:dyDescent="0.25">
      <c r="C288" t="s">
        <v>554</v>
      </c>
      <c r="D288" t="s">
        <v>558</v>
      </c>
      <c r="E288" t="str">
        <f>HYPERLINK("https://worldwide.espacenet.com/publicationDetails/biblio?II=286&amp;ND=3&amp;adjacent=true&amp;locale=en_EP&amp;FT=D&amp;date=20180222&amp;CC=WO&amp;NR=2018032404A1&amp;KC=A1")</f>
        <v>https://worldwide.espacenet.com/publicationDetails/biblio?II=286&amp;ND=3&amp;adjacent=true&amp;locale=en_EP&amp;FT=D&amp;date=20180222&amp;CC=WO&amp;NR=2018032404A1&amp;KC=A1</v>
      </c>
    </row>
    <row r="289" spans="3:5" x14ac:dyDescent="0.25">
      <c r="C289" t="s">
        <v>554</v>
      </c>
      <c r="D289" t="s">
        <v>559</v>
      </c>
      <c r="E289" t="str">
        <f>HYPERLINK("https://worldwide.espacenet.com/publicationDetails/biblio?II=287&amp;ND=3&amp;adjacent=true&amp;locale=en_EP&amp;FT=D&amp;date=20180222&amp;CC=WO&amp;NR=2018032398A1&amp;KC=A1")</f>
        <v>https://worldwide.espacenet.com/publicationDetails/biblio?II=287&amp;ND=3&amp;adjacent=true&amp;locale=en_EP&amp;FT=D&amp;date=20180222&amp;CC=WO&amp;NR=2018032398A1&amp;KC=A1</v>
      </c>
    </row>
    <row r="290" spans="3:5" x14ac:dyDescent="0.25">
      <c r="C290" t="s">
        <v>560</v>
      </c>
      <c r="D290" t="s">
        <v>561</v>
      </c>
      <c r="E290" t="str">
        <f>HYPERLINK("https://worldwide.espacenet.com/publicationDetails/biblio?II=288&amp;ND=3&amp;adjacent=true&amp;locale=en_EP&amp;FT=D&amp;date=20180220&amp;CC=US&amp;NR=D810618S&amp;KC=S")</f>
        <v>https://worldwide.espacenet.com/publicationDetails/biblio?II=288&amp;ND=3&amp;adjacent=true&amp;locale=en_EP&amp;FT=D&amp;date=20180220&amp;CC=US&amp;NR=D810618S&amp;KC=S</v>
      </c>
    </row>
    <row r="291" spans="3:5" x14ac:dyDescent="0.25">
      <c r="C291" t="s">
        <v>562</v>
      </c>
      <c r="D291" t="s">
        <v>563</v>
      </c>
      <c r="E291" t="str">
        <f>HYPERLINK("https://worldwide.espacenet.com/publicationDetails/biblio?II=289&amp;ND=3&amp;adjacent=true&amp;locale=en_EP&amp;FT=D&amp;date=20180216&amp;CC=CN&amp;NR=107693987A&amp;KC=A")</f>
        <v>https://worldwide.espacenet.com/publicationDetails/biblio?II=289&amp;ND=3&amp;adjacent=true&amp;locale=en_EP&amp;FT=D&amp;date=20180216&amp;CC=CN&amp;NR=107693987A&amp;KC=A</v>
      </c>
    </row>
    <row r="292" spans="3:5" x14ac:dyDescent="0.25">
      <c r="C292" t="s">
        <v>564</v>
      </c>
      <c r="D292" t="s">
        <v>565</v>
      </c>
      <c r="E292" t="str">
        <f>HYPERLINK("https://worldwide.espacenet.com/publicationDetails/biblio?II=290&amp;ND=3&amp;adjacent=true&amp;locale=en_EP&amp;FT=D&amp;date=20180216&amp;CC=CN&amp;NR=107702691A&amp;KC=A")</f>
        <v>https://worldwide.espacenet.com/publicationDetails/biblio?II=290&amp;ND=3&amp;adjacent=true&amp;locale=en_EP&amp;FT=D&amp;date=20180216&amp;CC=CN&amp;NR=107702691A&amp;KC=A</v>
      </c>
    </row>
    <row r="293" spans="3:5" x14ac:dyDescent="0.25">
      <c r="C293" t="s">
        <v>566</v>
      </c>
      <c r="D293" t="s">
        <v>567</v>
      </c>
      <c r="E293" t="str">
        <f>HYPERLINK("https://worldwide.espacenet.com/publicationDetails/biblio?II=291&amp;ND=3&amp;adjacent=true&amp;locale=en_EP&amp;FT=D&amp;date=20180216&amp;CC=CN&amp;NR=107697139A&amp;KC=A")</f>
        <v>https://worldwide.espacenet.com/publicationDetails/biblio?II=291&amp;ND=3&amp;adjacent=true&amp;locale=en_EP&amp;FT=D&amp;date=20180216&amp;CC=CN&amp;NR=107697139A&amp;KC=A</v>
      </c>
    </row>
    <row r="294" spans="3:5" x14ac:dyDescent="0.25">
      <c r="C294" t="s">
        <v>568</v>
      </c>
      <c r="D294" t="s">
        <v>569</v>
      </c>
      <c r="E294" t="str">
        <f>HYPERLINK("https://worldwide.espacenet.com/publicationDetails/biblio?II=292&amp;ND=3&amp;adjacent=true&amp;locale=en_EP&amp;FT=D&amp;date=20180216&amp;CC=CN&amp;NR=107700520A&amp;KC=A")</f>
        <v>https://worldwide.espacenet.com/publicationDetails/biblio?II=292&amp;ND=3&amp;adjacent=true&amp;locale=en_EP&amp;FT=D&amp;date=20180216&amp;CC=CN&amp;NR=107700520A&amp;KC=A</v>
      </c>
    </row>
    <row r="295" spans="3:5" x14ac:dyDescent="0.25">
      <c r="C295" t="s">
        <v>570</v>
      </c>
      <c r="D295" t="s">
        <v>571</v>
      </c>
      <c r="E295" t="str">
        <f>HYPERLINK("https://worldwide.espacenet.com/publicationDetails/biblio?II=293&amp;ND=3&amp;adjacent=true&amp;locale=en_EP&amp;FT=D&amp;date=20180215&amp;CC=US&amp;NR=2018042797A1&amp;KC=A1")</f>
        <v>https://worldwide.espacenet.com/publicationDetails/biblio?II=293&amp;ND=3&amp;adjacent=true&amp;locale=en_EP&amp;FT=D&amp;date=20180215&amp;CC=US&amp;NR=2018042797A1&amp;KC=A1</v>
      </c>
    </row>
    <row r="296" spans="3:5" x14ac:dyDescent="0.25">
      <c r="C296" t="s">
        <v>572</v>
      </c>
      <c r="D296" t="s">
        <v>573</v>
      </c>
      <c r="E296" t="str">
        <f>HYPERLINK("https://worldwide.espacenet.com/publicationDetails/biblio?II=294&amp;ND=3&amp;adjacent=true&amp;locale=en_EP&amp;FT=D&amp;date=20180213&amp;CC=CN&amp;NR=107686065A&amp;KC=A")</f>
        <v>https://worldwide.espacenet.com/publicationDetails/biblio?II=294&amp;ND=3&amp;adjacent=true&amp;locale=en_EP&amp;FT=D&amp;date=20180213&amp;CC=CN&amp;NR=107686065A&amp;KC=A</v>
      </c>
    </row>
    <row r="297" spans="3:5" x14ac:dyDescent="0.25">
      <c r="C297" t="s">
        <v>574</v>
      </c>
      <c r="D297" t="s">
        <v>575</v>
      </c>
      <c r="E297" t="str">
        <f>HYPERLINK("https://worldwide.espacenet.com/publicationDetails/biblio?II=295&amp;ND=3&amp;adjacent=true&amp;locale=en_EP&amp;FT=D&amp;date=20180213&amp;CC=CN&amp;NR=107684882A&amp;KC=A")</f>
        <v>https://worldwide.espacenet.com/publicationDetails/biblio?II=295&amp;ND=3&amp;adjacent=true&amp;locale=en_EP&amp;FT=D&amp;date=20180213&amp;CC=CN&amp;NR=107684882A&amp;KC=A</v>
      </c>
    </row>
    <row r="298" spans="3:5" x14ac:dyDescent="0.25">
      <c r="C298" t="s">
        <v>576</v>
      </c>
      <c r="D298" t="s">
        <v>577</v>
      </c>
      <c r="E298" t="str">
        <f>HYPERLINK("https://worldwide.espacenet.com/publicationDetails/biblio?II=296&amp;ND=3&amp;adjacent=true&amp;locale=en_EP&amp;FT=D&amp;date=20180213&amp;CC=CN&amp;NR=107685325A&amp;KC=A")</f>
        <v>https://worldwide.espacenet.com/publicationDetails/biblio?II=296&amp;ND=3&amp;adjacent=true&amp;locale=en_EP&amp;FT=D&amp;date=20180213&amp;CC=CN&amp;NR=107685325A&amp;KC=A</v>
      </c>
    </row>
    <row r="299" spans="3:5" x14ac:dyDescent="0.25">
      <c r="C299" t="s">
        <v>578</v>
      </c>
      <c r="D299" t="s">
        <v>579</v>
      </c>
      <c r="E299" t="str">
        <f>HYPERLINK("https://worldwide.espacenet.com/publicationDetails/biblio?II=297&amp;ND=3&amp;adjacent=true&amp;locale=en_EP&amp;FT=D&amp;date=20180206&amp;CC=CN&amp;NR=107662521A&amp;KC=A")</f>
        <v>https://worldwide.espacenet.com/publicationDetails/biblio?II=297&amp;ND=3&amp;adjacent=true&amp;locale=en_EP&amp;FT=D&amp;date=20180206&amp;CC=CN&amp;NR=107662521A&amp;KC=A</v>
      </c>
    </row>
    <row r="300" spans="3:5" x14ac:dyDescent="0.25">
      <c r="C300" t="s">
        <v>580</v>
      </c>
      <c r="D300" t="s">
        <v>581</v>
      </c>
      <c r="E300" t="str">
        <f>HYPERLINK("https://worldwide.espacenet.com/publicationDetails/biblio?II=298&amp;ND=3&amp;adjacent=true&amp;locale=en_EP&amp;FT=D&amp;date=20180209&amp;CC=CN&amp;NR=107673239A&amp;KC=A")</f>
        <v>https://worldwide.espacenet.com/publicationDetails/biblio?II=298&amp;ND=3&amp;adjacent=true&amp;locale=en_EP&amp;FT=D&amp;date=20180209&amp;CC=CN&amp;NR=107673239A&amp;KC=A</v>
      </c>
    </row>
    <row r="301" spans="3:5" x14ac:dyDescent="0.25">
      <c r="C301" t="s">
        <v>582</v>
      </c>
      <c r="D301" t="s">
        <v>583</v>
      </c>
      <c r="E301" t="str">
        <f>HYPERLINK("https://worldwide.espacenet.com/publicationDetails/biblio?II=299&amp;ND=3&amp;adjacent=true&amp;locale=en_EP&amp;FT=D&amp;date=20180209&amp;CC=CN&amp;NR=107675922A&amp;KC=A")</f>
        <v>https://worldwide.espacenet.com/publicationDetails/biblio?II=299&amp;ND=3&amp;adjacent=true&amp;locale=en_EP&amp;FT=D&amp;date=20180209&amp;CC=CN&amp;NR=107675922A&amp;KC=A</v>
      </c>
    </row>
    <row r="302" spans="3:5" x14ac:dyDescent="0.25">
      <c r="C302" t="s">
        <v>584</v>
      </c>
      <c r="D302" t="s">
        <v>585</v>
      </c>
      <c r="E302" t="str">
        <f>HYPERLINK("https://worldwide.espacenet.com/publicationDetails/biblio?II=300&amp;ND=3&amp;adjacent=true&amp;locale=en_EP&amp;FT=D&amp;date=20180209&amp;CC=CN&amp;NR=107681886A&amp;KC=A")</f>
        <v>https://worldwide.espacenet.com/publicationDetails/biblio?II=300&amp;ND=3&amp;adjacent=true&amp;locale=en_EP&amp;FT=D&amp;date=20180209&amp;CC=CN&amp;NR=107681886A&amp;KC=A</v>
      </c>
    </row>
    <row r="303" spans="3:5" x14ac:dyDescent="0.25">
      <c r="C303" t="s">
        <v>586</v>
      </c>
      <c r="D303" t="s">
        <v>587</v>
      </c>
      <c r="E303" t="str">
        <f>HYPERLINK("https://worldwide.espacenet.com/publicationDetails/biblio?II=301&amp;ND=3&amp;adjacent=true&amp;locale=en_EP&amp;FT=D&amp;date=20180209&amp;CC=CN&amp;NR=107679019A&amp;KC=A")</f>
        <v>https://worldwide.espacenet.com/publicationDetails/biblio?II=301&amp;ND=3&amp;adjacent=true&amp;locale=en_EP&amp;FT=D&amp;date=20180209&amp;CC=CN&amp;NR=107679019A&amp;KC=A</v>
      </c>
    </row>
    <row r="304" spans="3:5" x14ac:dyDescent="0.25">
      <c r="C304" t="s">
        <v>588</v>
      </c>
      <c r="D304" t="s">
        <v>589</v>
      </c>
      <c r="E304" t="str">
        <f>HYPERLINK("https://worldwide.espacenet.com/publicationDetails/biblio?II=302&amp;ND=3&amp;adjacent=true&amp;locale=en_EP&amp;FT=D&amp;date=20180209&amp;CC=CN&amp;NR=107672718A&amp;KC=A")</f>
        <v>https://worldwide.espacenet.com/publicationDetails/biblio?II=302&amp;ND=3&amp;adjacent=true&amp;locale=en_EP&amp;FT=D&amp;date=20180209&amp;CC=CN&amp;NR=107672718A&amp;KC=A</v>
      </c>
    </row>
    <row r="305" spans="3:5" x14ac:dyDescent="0.25">
      <c r="C305" t="s">
        <v>590</v>
      </c>
      <c r="D305" t="s">
        <v>591</v>
      </c>
      <c r="E305" t="str">
        <f>HYPERLINK("https://worldwide.espacenet.com/publicationDetails/biblio?II=303&amp;ND=3&amp;adjacent=true&amp;locale=en_EP&amp;FT=D&amp;date=20180202&amp;CC=CN&amp;NR=107656993A&amp;KC=A")</f>
        <v>https://worldwide.espacenet.com/publicationDetails/biblio?II=303&amp;ND=3&amp;adjacent=true&amp;locale=en_EP&amp;FT=D&amp;date=20180202&amp;CC=CN&amp;NR=107656993A&amp;KC=A</v>
      </c>
    </row>
    <row r="306" spans="3:5" x14ac:dyDescent="0.25">
      <c r="C306" t="s">
        <v>592</v>
      </c>
      <c r="D306" t="s">
        <v>593</v>
      </c>
      <c r="E306" t="str">
        <f>HYPERLINK("https://worldwide.espacenet.com/publicationDetails/biblio?II=304&amp;ND=3&amp;adjacent=true&amp;locale=en_EP&amp;FT=D&amp;date=20180202&amp;CC=CN&amp;NR=107658869A&amp;KC=A")</f>
        <v>https://worldwide.espacenet.com/publicationDetails/biblio?II=304&amp;ND=3&amp;adjacent=true&amp;locale=en_EP&amp;FT=D&amp;date=20180202&amp;CC=CN&amp;NR=107658869A&amp;KC=A</v>
      </c>
    </row>
    <row r="307" spans="3:5" x14ac:dyDescent="0.25">
      <c r="C307" t="s">
        <v>594</v>
      </c>
      <c r="D307" t="s">
        <v>595</v>
      </c>
      <c r="E307" t="str">
        <f>HYPERLINK("https://worldwide.espacenet.com/publicationDetails/biblio?II=305&amp;ND=3&amp;adjacent=true&amp;locale=en_EP&amp;FT=D&amp;date=20180130&amp;CC=CN&amp;NR=107642587A&amp;KC=A")</f>
        <v>https://worldwide.espacenet.com/publicationDetails/biblio?II=305&amp;ND=3&amp;adjacent=true&amp;locale=en_EP&amp;FT=D&amp;date=20180130&amp;CC=CN&amp;NR=107642587A&amp;KC=A</v>
      </c>
    </row>
    <row r="308" spans="3:5" x14ac:dyDescent="0.25">
      <c r="C308" t="s">
        <v>596</v>
      </c>
      <c r="D308" t="s">
        <v>597</v>
      </c>
      <c r="E308" t="str">
        <f>HYPERLINK("https://worldwide.espacenet.com/publicationDetails/biblio?II=306&amp;ND=3&amp;adjacent=true&amp;locale=en_EP&amp;FT=D&amp;date=20180126&amp;CC=CN&amp;NR=107628175A&amp;KC=A")</f>
        <v>https://worldwide.espacenet.com/publicationDetails/biblio?II=306&amp;ND=3&amp;adjacent=true&amp;locale=en_EP&amp;FT=D&amp;date=20180126&amp;CC=CN&amp;NR=107628175A&amp;KC=A</v>
      </c>
    </row>
    <row r="309" spans="3:5" x14ac:dyDescent="0.25">
      <c r="C309" t="s">
        <v>598</v>
      </c>
      <c r="D309" t="s">
        <v>599</v>
      </c>
      <c r="E309" t="str">
        <f>HYPERLINK("https://worldwide.espacenet.com/publicationDetails/biblio?II=307&amp;ND=3&amp;adjacent=true&amp;locale=en_EP&amp;FT=D&amp;date=20180126&amp;CC=CN&amp;NR=107628174A&amp;KC=A")</f>
        <v>https://worldwide.espacenet.com/publicationDetails/biblio?II=307&amp;ND=3&amp;adjacent=true&amp;locale=en_EP&amp;FT=D&amp;date=20180126&amp;CC=CN&amp;NR=107628174A&amp;KC=A</v>
      </c>
    </row>
    <row r="310" spans="3:5" x14ac:dyDescent="0.25">
      <c r="C310" t="s">
        <v>600</v>
      </c>
      <c r="D310" t="s">
        <v>601</v>
      </c>
      <c r="E310" t="str">
        <f>HYPERLINK("https://worldwide.espacenet.com/publicationDetails/biblio?II=308&amp;ND=3&amp;adjacent=true&amp;locale=en_EP&amp;FT=D&amp;date=20180126&amp;CC=CN&amp;NR=107627745A&amp;KC=A")</f>
        <v>https://worldwide.espacenet.com/publicationDetails/biblio?II=308&amp;ND=3&amp;adjacent=true&amp;locale=en_EP&amp;FT=D&amp;date=20180126&amp;CC=CN&amp;NR=107627745A&amp;KC=A</v>
      </c>
    </row>
    <row r="311" spans="3:5" x14ac:dyDescent="0.25">
      <c r="C311" t="s">
        <v>602</v>
      </c>
      <c r="D311" t="s">
        <v>603</v>
      </c>
      <c r="E311" t="str">
        <f>HYPERLINK("https://worldwide.espacenet.com/publicationDetails/biblio?II=309&amp;ND=3&amp;adjacent=true&amp;locale=en_EP&amp;FT=D&amp;date=20180122&amp;CC=KR&amp;NR=20180007208A&amp;KC=A")</f>
        <v>https://worldwide.espacenet.com/publicationDetails/biblio?II=309&amp;ND=3&amp;adjacent=true&amp;locale=en_EP&amp;FT=D&amp;date=20180122&amp;CC=KR&amp;NR=20180007208A&amp;KC=A</v>
      </c>
    </row>
    <row r="312" spans="3:5" x14ac:dyDescent="0.25">
      <c r="C312" t="s">
        <v>604</v>
      </c>
      <c r="D312" t="s">
        <v>605</v>
      </c>
      <c r="E312" t="str">
        <f>HYPERLINK("https://worldwide.espacenet.com/publicationDetails/biblio?II=310&amp;ND=3&amp;adjacent=true&amp;locale=en_EP&amp;FT=D&amp;date=20180123&amp;CC=CN&amp;NR=107618613A&amp;KC=A")</f>
        <v>https://worldwide.espacenet.com/publicationDetails/biblio?II=310&amp;ND=3&amp;adjacent=true&amp;locale=en_EP&amp;FT=D&amp;date=20180123&amp;CC=CN&amp;NR=107618613A&amp;KC=A</v>
      </c>
    </row>
    <row r="313" spans="3:5" x14ac:dyDescent="0.25">
      <c r="C313" t="s">
        <v>606</v>
      </c>
      <c r="D313" t="s">
        <v>607</v>
      </c>
      <c r="E313" t="str">
        <f>HYPERLINK("https://worldwide.espacenet.com/publicationDetails/biblio?II=311&amp;ND=3&amp;adjacent=true&amp;locale=en_EP&amp;FT=D&amp;date=20180123&amp;CC=CN&amp;NR=107622666A&amp;KC=A")</f>
        <v>https://worldwide.espacenet.com/publicationDetails/biblio?II=311&amp;ND=3&amp;adjacent=true&amp;locale=en_EP&amp;FT=D&amp;date=20180123&amp;CC=CN&amp;NR=107622666A&amp;KC=A</v>
      </c>
    </row>
    <row r="314" spans="3:5" x14ac:dyDescent="0.25">
      <c r="C314" t="s">
        <v>608</v>
      </c>
      <c r="D314" t="s">
        <v>609</v>
      </c>
      <c r="E314" t="str">
        <f>HYPERLINK("https://worldwide.espacenet.com/publicationDetails/biblio?II=312&amp;ND=3&amp;adjacent=true&amp;locale=en_EP&amp;FT=D&amp;date=20180123&amp;CC=CN&amp;NR=107618961A&amp;KC=A")</f>
        <v>https://worldwide.espacenet.com/publicationDetails/biblio?II=312&amp;ND=3&amp;adjacent=true&amp;locale=en_EP&amp;FT=D&amp;date=20180123&amp;CC=CN&amp;NR=107618961A&amp;KC=A</v>
      </c>
    </row>
    <row r="315" spans="3:5" x14ac:dyDescent="0.25">
      <c r="C315" t="s">
        <v>610</v>
      </c>
      <c r="D315" t="s">
        <v>611</v>
      </c>
      <c r="E315" t="str">
        <f>HYPERLINK("https://worldwide.espacenet.com/publicationDetails/biblio?II=313&amp;ND=3&amp;adjacent=true&amp;locale=en_EP&amp;FT=D&amp;date=20180119&amp;CC=CN&amp;NR=107601300A&amp;KC=A")</f>
        <v>https://worldwide.espacenet.com/publicationDetails/biblio?II=313&amp;ND=3&amp;adjacent=true&amp;locale=en_EP&amp;FT=D&amp;date=20180119&amp;CC=CN&amp;NR=107601300A&amp;KC=A</v>
      </c>
    </row>
    <row r="316" spans="3:5" x14ac:dyDescent="0.25">
      <c r="C316" t="s">
        <v>612</v>
      </c>
      <c r="D316" t="s">
        <v>613</v>
      </c>
      <c r="E316" t="str">
        <f>HYPERLINK("https://worldwide.espacenet.com/publicationDetails/biblio?II=314&amp;ND=3&amp;adjacent=true&amp;locale=en_EP&amp;FT=D&amp;date=20180208&amp;CC=WO&amp;NR=2018026595A1&amp;KC=A1")</f>
        <v>https://worldwide.espacenet.com/publicationDetails/biblio?II=314&amp;ND=3&amp;adjacent=true&amp;locale=en_EP&amp;FT=D&amp;date=20180208&amp;CC=WO&amp;NR=2018026595A1&amp;KC=A1</v>
      </c>
    </row>
    <row r="317" spans="3:5" x14ac:dyDescent="0.25">
      <c r="C317" t="s">
        <v>614</v>
      </c>
      <c r="D317" t="s">
        <v>615</v>
      </c>
      <c r="E317" t="str">
        <f>HYPERLINK("https://worldwide.espacenet.com/publicationDetails/biblio?II=315&amp;ND=3&amp;adjacent=true&amp;locale=en_EP&amp;FT=D&amp;date=20180208&amp;CC=US&amp;NR=2018037293A1&amp;KC=A1")</f>
        <v>https://worldwide.espacenet.com/publicationDetails/biblio?II=315&amp;ND=3&amp;adjacent=true&amp;locale=en_EP&amp;FT=D&amp;date=20180208&amp;CC=US&amp;NR=2018037293A1&amp;KC=A1</v>
      </c>
    </row>
    <row r="318" spans="3:5" x14ac:dyDescent="0.25">
      <c r="C318" t="s">
        <v>616</v>
      </c>
      <c r="D318" t="s">
        <v>617</v>
      </c>
      <c r="E318" t="str">
        <f>HYPERLINK("https://worldwide.espacenet.com/publicationDetails/biblio?II=316&amp;ND=3&amp;adjacent=true&amp;locale=en_EP&amp;FT=D&amp;date=20180119&amp;CC=CN&amp;NR=107605430A&amp;KC=A")</f>
        <v>https://worldwide.espacenet.com/publicationDetails/biblio?II=316&amp;ND=3&amp;adjacent=true&amp;locale=en_EP&amp;FT=D&amp;date=20180119&amp;CC=CN&amp;NR=107605430A&amp;KC=A</v>
      </c>
    </row>
    <row r="319" spans="3:5" x14ac:dyDescent="0.25">
      <c r="C319" t="s">
        <v>618</v>
      </c>
      <c r="D319" t="s">
        <v>619</v>
      </c>
      <c r="E319" t="str">
        <f>HYPERLINK("https://worldwide.espacenet.com/publicationDetails/biblio?II=317&amp;ND=3&amp;adjacent=true&amp;locale=en_EP&amp;FT=D&amp;date=20180119&amp;CC=CN&amp;NR=107605731A&amp;KC=A")</f>
        <v>https://worldwide.espacenet.com/publicationDetails/biblio?II=317&amp;ND=3&amp;adjacent=true&amp;locale=en_EP&amp;FT=D&amp;date=20180119&amp;CC=CN&amp;NR=107605731A&amp;KC=A</v>
      </c>
    </row>
    <row r="320" spans="3:5" x14ac:dyDescent="0.25">
      <c r="C320" t="s">
        <v>620</v>
      </c>
      <c r="D320" t="s">
        <v>621</v>
      </c>
      <c r="E320" t="str">
        <f>HYPERLINK("https://worldwide.espacenet.com/publicationDetails/biblio?II=318&amp;ND=3&amp;adjacent=true&amp;locale=en_EP&amp;FT=D&amp;date=20180116&amp;CC=CN&amp;NR=107585720A&amp;KC=A")</f>
        <v>https://worldwide.espacenet.com/publicationDetails/biblio?II=318&amp;ND=3&amp;adjacent=true&amp;locale=en_EP&amp;FT=D&amp;date=20180116&amp;CC=CN&amp;NR=107585720A&amp;KC=A</v>
      </c>
    </row>
    <row r="321" spans="3:5" x14ac:dyDescent="0.25">
      <c r="C321" t="s">
        <v>622</v>
      </c>
      <c r="D321" t="s">
        <v>623</v>
      </c>
      <c r="E321" t="str">
        <f>HYPERLINK("https://worldwide.espacenet.com/publicationDetails/biblio?II=319&amp;ND=3&amp;adjacent=true&amp;locale=en_EP&amp;FT=D&amp;date=20180112&amp;CC=CN&amp;NR=107569336A&amp;KC=A")</f>
        <v>https://worldwide.espacenet.com/publicationDetails/biblio?II=319&amp;ND=3&amp;adjacent=true&amp;locale=en_EP&amp;FT=D&amp;date=20180112&amp;CC=CN&amp;NR=107569336A&amp;KC=A</v>
      </c>
    </row>
    <row r="322" spans="3:5" x14ac:dyDescent="0.25">
      <c r="C322" t="s">
        <v>624</v>
      </c>
      <c r="D322" t="s">
        <v>625</v>
      </c>
      <c r="E322" t="str">
        <f>HYPERLINK("https://worldwide.espacenet.com/publicationDetails/biblio?II=320&amp;ND=3&amp;adjacent=true&amp;locale=en_EP&amp;FT=D&amp;date=20180112&amp;CC=CN&amp;NR=107572432A&amp;KC=A")</f>
        <v>https://worldwide.espacenet.com/publicationDetails/biblio?II=320&amp;ND=3&amp;adjacent=true&amp;locale=en_EP&amp;FT=D&amp;date=20180112&amp;CC=CN&amp;NR=107572432A&amp;KC=A</v>
      </c>
    </row>
    <row r="323" spans="3:5" x14ac:dyDescent="0.25">
      <c r="C323" t="s">
        <v>626</v>
      </c>
      <c r="D323" t="s">
        <v>627</v>
      </c>
      <c r="E323" t="str">
        <f>HYPERLINK("https://worldwide.espacenet.com/publicationDetails/biblio?II=321&amp;ND=3&amp;adjacent=true&amp;locale=en_EP&amp;FT=D&amp;date=20180112&amp;CC=CN&amp;NR=107571989A&amp;KC=A")</f>
        <v>https://worldwide.espacenet.com/publicationDetails/biblio?II=321&amp;ND=3&amp;adjacent=true&amp;locale=en_EP&amp;FT=D&amp;date=20180112&amp;CC=CN&amp;NR=107571989A&amp;KC=A</v>
      </c>
    </row>
    <row r="324" spans="3:5" x14ac:dyDescent="0.25">
      <c r="C324" t="s">
        <v>628</v>
      </c>
      <c r="D324" t="s">
        <v>629</v>
      </c>
      <c r="E324" t="str">
        <f>HYPERLINK("https://worldwide.espacenet.com/publicationDetails/biblio?II=322&amp;ND=3&amp;adjacent=true&amp;locale=en_EP&amp;FT=D&amp;date=20180112&amp;CC=CN&amp;NR=107580437A&amp;KC=A")</f>
        <v>https://worldwide.espacenet.com/publicationDetails/biblio?II=322&amp;ND=3&amp;adjacent=true&amp;locale=en_EP&amp;FT=D&amp;date=20180112&amp;CC=CN&amp;NR=107580437A&amp;KC=A</v>
      </c>
    </row>
    <row r="325" spans="3:5" x14ac:dyDescent="0.25">
      <c r="C325" t="s">
        <v>630</v>
      </c>
      <c r="D325" t="s">
        <v>631</v>
      </c>
      <c r="E325" t="str">
        <f>HYPERLINK("https://worldwide.espacenet.com/publicationDetails/biblio?II=323&amp;ND=3&amp;adjacent=true&amp;locale=en_EP&amp;FT=D&amp;date=20171001&amp;CC=TW&amp;NR=201733844A&amp;KC=A")</f>
        <v>https://worldwide.espacenet.com/publicationDetails/biblio?II=323&amp;ND=3&amp;adjacent=true&amp;locale=en_EP&amp;FT=D&amp;date=20171001&amp;CC=TW&amp;NR=201733844A&amp;KC=A</v>
      </c>
    </row>
    <row r="326" spans="3:5" x14ac:dyDescent="0.25">
      <c r="C326" t="s">
        <v>632</v>
      </c>
      <c r="D326" t="s">
        <v>633</v>
      </c>
      <c r="E326" t="str">
        <f>HYPERLINK("https://worldwide.espacenet.com/publicationDetails/biblio?II=324&amp;ND=3&amp;adjacent=true&amp;locale=en_EP&amp;FT=D&amp;date=20180201&amp;CC=US&amp;NR=2018029661A1&amp;KC=A1")</f>
        <v>https://worldwide.espacenet.com/publicationDetails/biblio?II=324&amp;ND=3&amp;adjacent=true&amp;locale=en_EP&amp;FT=D&amp;date=20180201&amp;CC=US&amp;NR=2018029661A1&amp;KC=A1</v>
      </c>
    </row>
    <row r="327" spans="3:5" x14ac:dyDescent="0.25">
      <c r="C327" t="s">
        <v>554</v>
      </c>
      <c r="D327" t="s">
        <v>634</v>
      </c>
      <c r="E327" t="str">
        <f>HYPERLINK("https://worldwide.espacenet.com/publicationDetails/biblio?II=325&amp;ND=3&amp;adjacent=true&amp;locale=en_EP&amp;FT=D&amp;date=20180125&amp;CC=WO&amp;NR=2018014279A1&amp;KC=A1")</f>
        <v>https://worldwide.espacenet.com/publicationDetails/biblio?II=325&amp;ND=3&amp;adjacent=true&amp;locale=en_EP&amp;FT=D&amp;date=20180125&amp;CC=WO&amp;NR=2018014279A1&amp;KC=A1</v>
      </c>
    </row>
    <row r="328" spans="3:5" x14ac:dyDescent="0.25">
      <c r="C328" t="s">
        <v>538</v>
      </c>
      <c r="D328" t="s">
        <v>635</v>
      </c>
      <c r="E328" t="str">
        <f>HYPERLINK("https://worldwide.espacenet.com/publicationDetails/biblio?II=326&amp;ND=3&amp;adjacent=true&amp;locale=en_EP&amp;FT=D&amp;date=20180125&amp;CC=WO&amp;NR=2018014280A1&amp;KC=A1")</f>
        <v>https://worldwide.espacenet.com/publicationDetails/biblio?II=326&amp;ND=3&amp;adjacent=true&amp;locale=en_EP&amp;FT=D&amp;date=20180125&amp;CC=WO&amp;NR=2018014280A1&amp;KC=A1</v>
      </c>
    </row>
    <row r="329" spans="3:5" x14ac:dyDescent="0.25">
      <c r="C329" t="s">
        <v>636</v>
      </c>
      <c r="D329" t="s">
        <v>637</v>
      </c>
      <c r="E329" t="str">
        <f>HYPERLINK("https://worldwide.espacenet.com/publicationDetails/biblio?II=327&amp;ND=3&amp;adjacent=true&amp;locale=en_EP&amp;FT=D&amp;date=20180125&amp;CC=WO&amp;NR=2018014321A1&amp;KC=A1")</f>
        <v>https://worldwide.espacenet.com/publicationDetails/biblio?II=327&amp;ND=3&amp;adjacent=true&amp;locale=en_EP&amp;FT=D&amp;date=20180125&amp;CC=WO&amp;NR=2018014321A1&amp;KC=A1</v>
      </c>
    </row>
    <row r="330" spans="3:5" x14ac:dyDescent="0.25">
      <c r="C330" t="s">
        <v>638</v>
      </c>
      <c r="D330" t="s">
        <v>639</v>
      </c>
      <c r="E330" t="str">
        <f>HYPERLINK("https://worldwide.espacenet.com/publicationDetails/biblio?II=328&amp;ND=3&amp;adjacent=true&amp;locale=en_EP&amp;FT=D&amp;date=20180125&amp;CC=WO&amp;NR=2018014278A1&amp;KC=A1")</f>
        <v>https://worldwide.espacenet.com/publicationDetails/biblio?II=328&amp;ND=3&amp;adjacent=true&amp;locale=en_EP&amp;FT=D&amp;date=20180125&amp;CC=WO&amp;NR=2018014278A1&amp;KC=A1</v>
      </c>
    </row>
    <row r="331" spans="3:5" x14ac:dyDescent="0.25">
      <c r="C331" t="s">
        <v>538</v>
      </c>
      <c r="D331" t="s">
        <v>640</v>
      </c>
      <c r="E331" t="str">
        <f>HYPERLINK("https://worldwide.espacenet.com/publicationDetails/biblio?II=329&amp;ND=3&amp;adjacent=true&amp;locale=en_EP&amp;FT=D&amp;date=20180125&amp;CC=WO&amp;NR=2018014177A1&amp;KC=A1")</f>
        <v>https://worldwide.espacenet.com/publicationDetails/biblio?II=329&amp;ND=3&amp;adjacent=true&amp;locale=en_EP&amp;FT=D&amp;date=20180125&amp;CC=WO&amp;NR=2018014177A1&amp;KC=A1</v>
      </c>
    </row>
    <row r="332" spans="3:5" x14ac:dyDescent="0.25">
      <c r="C332" t="s">
        <v>538</v>
      </c>
      <c r="D332" t="s">
        <v>641</v>
      </c>
      <c r="E332" t="str">
        <f>HYPERLINK("https://worldwide.espacenet.com/publicationDetails/biblio?II=330&amp;ND=3&amp;adjacent=true&amp;locale=en_EP&amp;FT=D&amp;date=20180125&amp;CC=WO&amp;NR=2018014176A1&amp;KC=A1")</f>
        <v>https://worldwide.espacenet.com/publicationDetails/biblio?II=330&amp;ND=3&amp;adjacent=true&amp;locale=en_EP&amp;FT=D&amp;date=20180125&amp;CC=WO&amp;NR=2018014176A1&amp;KC=A1</v>
      </c>
    </row>
    <row r="333" spans="3:5" x14ac:dyDescent="0.25">
      <c r="C333" t="s">
        <v>538</v>
      </c>
      <c r="D333" t="s">
        <v>642</v>
      </c>
      <c r="E333" t="str">
        <f>HYPERLINK("https://worldwide.espacenet.com/publicationDetails/biblio?II=331&amp;ND=3&amp;adjacent=true&amp;locale=en_EP&amp;FT=D&amp;date=20180125&amp;CC=WO&amp;NR=2018014175A1&amp;KC=A1")</f>
        <v>https://worldwide.espacenet.com/publicationDetails/biblio?II=331&amp;ND=3&amp;adjacent=true&amp;locale=en_EP&amp;FT=D&amp;date=20180125&amp;CC=WO&amp;NR=2018014175A1&amp;KC=A1</v>
      </c>
    </row>
    <row r="334" spans="3:5" x14ac:dyDescent="0.25">
      <c r="C334" t="s">
        <v>643</v>
      </c>
      <c r="D334" t="s">
        <v>644</v>
      </c>
      <c r="E334" t="str">
        <f>HYPERLINK("https://worldwide.espacenet.com/publicationDetails/biblio?II=332&amp;ND=3&amp;adjacent=true&amp;locale=en_EP&amp;FT=D&amp;date=20180125&amp;CC=WO&amp;NR=2018014182A1&amp;KC=A1")</f>
        <v>https://worldwide.espacenet.com/publicationDetails/biblio?II=332&amp;ND=3&amp;adjacent=true&amp;locale=en_EP&amp;FT=D&amp;date=20180125&amp;CC=WO&amp;NR=2018014182A1&amp;KC=A1</v>
      </c>
    </row>
    <row r="335" spans="3:5" x14ac:dyDescent="0.25">
      <c r="C335" t="s">
        <v>538</v>
      </c>
      <c r="D335" t="s">
        <v>645</v>
      </c>
      <c r="E335" t="str">
        <f>HYPERLINK("https://worldwide.espacenet.com/publicationDetails/biblio?II=333&amp;ND=3&amp;adjacent=true&amp;locale=en_EP&amp;FT=D&amp;date=20180125&amp;CC=WO&amp;NR=2018014180A1&amp;KC=A1")</f>
        <v>https://worldwide.espacenet.com/publicationDetails/biblio?II=333&amp;ND=3&amp;adjacent=true&amp;locale=en_EP&amp;FT=D&amp;date=20180125&amp;CC=WO&amp;NR=2018014180A1&amp;KC=A1</v>
      </c>
    </row>
    <row r="336" spans="3:5" x14ac:dyDescent="0.25">
      <c r="C336" t="s">
        <v>646</v>
      </c>
      <c r="D336" t="s">
        <v>647</v>
      </c>
      <c r="E336" t="str">
        <f>HYPERLINK("https://worldwide.espacenet.com/publicationDetails/biblio?II=334&amp;ND=3&amp;adjacent=true&amp;locale=en_EP&amp;FT=D&amp;date=20180726&amp;CC=WO&amp;NR=2018134276A1&amp;KC=A1")</f>
        <v>https://worldwide.espacenet.com/publicationDetails/biblio?II=334&amp;ND=3&amp;adjacent=true&amp;locale=en_EP&amp;FT=D&amp;date=20180726&amp;CC=WO&amp;NR=2018134276A1&amp;KC=A1</v>
      </c>
    </row>
    <row r="337" spans="3:5" x14ac:dyDescent="0.25">
      <c r="C337" t="s">
        <v>648</v>
      </c>
      <c r="D337" t="s">
        <v>649</v>
      </c>
      <c r="E337" t="str">
        <f>HYPERLINK("https://worldwide.espacenet.com/publicationDetails/biblio?II=335&amp;ND=3&amp;adjacent=true&amp;locale=en_EP&amp;FT=D&amp;date=20180109&amp;CC=CN&amp;NR=107554663A&amp;KC=A")</f>
        <v>https://worldwide.espacenet.com/publicationDetails/biblio?II=335&amp;ND=3&amp;adjacent=true&amp;locale=en_EP&amp;FT=D&amp;date=20180109&amp;CC=CN&amp;NR=107554663A&amp;KC=A</v>
      </c>
    </row>
    <row r="338" spans="3:5" x14ac:dyDescent="0.25">
      <c r="C338" t="s">
        <v>650</v>
      </c>
      <c r="D338" t="s">
        <v>651</v>
      </c>
      <c r="E338" t="str">
        <f>HYPERLINK("https://worldwide.espacenet.com/publicationDetails/biblio?II=336&amp;ND=3&amp;adjacent=true&amp;locale=en_EP&amp;FT=D&amp;date=20180109&amp;CC=CN&amp;NR=107554665A&amp;KC=A")</f>
        <v>https://worldwide.espacenet.com/publicationDetails/biblio?II=336&amp;ND=3&amp;adjacent=true&amp;locale=en_EP&amp;FT=D&amp;date=20180109&amp;CC=CN&amp;NR=107554665A&amp;KC=A</v>
      </c>
    </row>
    <row r="339" spans="3:5" x14ac:dyDescent="0.25">
      <c r="C339" t="s">
        <v>652</v>
      </c>
      <c r="D339" t="s">
        <v>653</v>
      </c>
      <c r="E339" t="str">
        <f>HYPERLINK("https://worldwide.espacenet.com/publicationDetails/biblio?II=337&amp;ND=3&amp;adjacent=true&amp;locale=en_EP&amp;FT=D&amp;date=20180105&amp;CC=CN&amp;NR=107537168A&amp;KC=A")</f>
        <v>https://worldwide.espacenet.com/publicationDetails/biblio?II=337&amp;ND=3&amp;adjacent=true&amp;locale=en_EP&amp;FT=D&amp;date=20180105&amp;CC=CN&amp;NR=107537168A&amp;KC=A</v>
      </c>
    </row>
    <row r="340" spans="3:5" x14ac:dyDescent="0.25">
      <c r="C340" t="s">
        <v>654</v>
      </c>
      <c r="D340" t="s">
        <v>655</v>
      </c>
      <c r="E340" t="str">
        <f>HYPERLINK("https://worldwide.espacenet.com/publicationDetails/biblio?II=338&amp;ND=3&amp;adjacent=true&amp;locale=en_EP&amp;FT=D&amp;date=20180105&amp;CC=CN&amp;NR=107539204A&amp;KC=A")</f>
        <v>https://worldwide.espacenet.com/publicationDetails/biblio?II=338&amp;ND=3&amp;adjacent=true&amp;locale=en_EP&amp;FT=D&amp;date=20180105&amp;CC=CN&amp;NR=107539204A&amp;KC=A</v>
      </c>
    </row>
    <row r="341" spans="3:5" x14ac:dyDescent="0.25">
      <c r="C341" t="s">
        <v>656</v>
      </c>
      <c r="D341" t="s">
        <v>657</v>
      </c>
      <c r="E341" t="str">
        <f>HYPERLINK("https://worldwide.espacenet.com/publicationDetails/biblio?II=339&amp;ND=3&amp;adjacent=true&amp;locale=en_EP&amp;FT=D&amp;date=20180105&amp;CC=CN&amp;NR=107539205A&amp;KC=A")</f>
        <v>https://worldwide.espacenet.com/publicationDetails/biblio?II=339&amp;ND=3&amp;adjacent=true&amp;locale=en_EP&amp;FT=D&amp;date=20180105&amp;CC=CN&amp;NR=107539205A&amp;KC=A</v>
      </c>
    </row>
    <row r="342" spans="3:5" x14ac:dyDescent="0.25">
      <c r="C342" t="s">
        <v>658</v>
      </c>
      <c r="D342" t="s">
        <v>659</v>
      </c>
      <c r="E342" t="str">
        <f>HYPERLINK("https://worldwide.espacenet.com/publicationDetails/biblio?II=340&amp;ND=3&amp;adjacent=true&amp;locale=en_EP&amp;FT=D&amp;date=20180118&amp;CC=WO&amp;NR=2018010115A1&amp;KC=A1")</f>
        <v>https://worldwide.espacenet.com/publicationDetails/biblio?II=340&amp;ND=3&amp;adjacent=true&amp;locale=en_EP&amp;FT=D&amp;date=20180118&amp;CC=WO&amp;NR=2018010115A1&amp;KC=A1</v>
      </c>
    </row>
    <row r="343" spans="3:5" x14ac:dyDescent="0.25">
      <c r="C343" t="s">
        <v>660</v>
      </c>
      <c r="D343" t="s">
        <v>661</v>
      </c>
      <c r="E343" t="str">
        <f>HYPERLINK("https://worldwide.espacenet.com/publicationDetails/biblio?II=341&amp;ND=3&amp;adjacent=true&amp;locale=en_EP&amp;FT=D&amp;date=20180118&amp;CC=WO&amp;NR=2018010121A1&amp;KC=A1")</f>
        <v>https://worldwide.espacenet.com/publicationDetails/biblio?II=341&amp;ND=3&amp;adjacent=true&amp;locale=en_EP&amp;FT=D&amp;date=20180118&amp;CC=WO&amp;NR=2018010121A1&amp;KC=A1</v>
      </c>
    </row>
    <row r="344" spans="3:5" x14ac:dyDescent="0.25">
      <c r="C344" t="s">
        <v>662</v>
      </c>
      <c r="D344" t="s">
        <v>663</v>
      </c>
      <c r="E344" t="str">
        <f>HYPERLINK("https://worldwide.espacenet.com/publicationDetails/biblio?II=342&amp;ND=3&amp;adjacent=true&amp;locale=en_EP&amp;FT=D&amp;date=20180118&amp;CC=WO&amp;NR=2018010120A1&amp;KC=A1")</f>
        <v>https://worldwide.espacenet.com/publicationDetails/biblio?II=342&amp;ND=3&amp;adjacent=true&amp;locale=en_EP&amp;FT=D&amp;date=20180118&amp;CC=WO&amp;NR=2018010120A1&amp;KC=A1</v>
      </c>
    </row>
    <row r="345" spans="3:5" x14ac:dyDescent="0.25">
      <c r="C345" t="s">
        <v>664</v>
      </c>
      <c r="D345" t="s">
        <v>665</v>
      </c>
      <c r="E345" t="str">
        <f>HYPERLINK("https://worldwide.espacenet.com/publicationDetails/biblio?II=343&amp;ND=3&amp;adjacent=true&amp;locale=en_EP&amp;FT=D&amp;date=20180118&amp;CC=WO&amp;NR=2018010116A1&amp;KC=A1")</f>
        <v>https://worldwide.espacenet.com/publicationDetails/biblio?II=343&amp;ND=3&amp;adjacent=true&amp;locale=en_EP&amp;FT=D&amp;date=20180118&amp;CC=WO&amp;NR=2018010116A1&amp;KC=A1</v>
      </c>
    </row>
    <row r="346" spans="3:5" x14ac:dyDescent="0.25">
      <c r="C346" t="s">
        <v>666</v>
      </c>
      <c r="D346" t="s">
        <v>667</v>
      </c>
      <c r="E346" t="str">
        <f>HYPERLINK("https://worldwide.espacenet.com/publicationDetails/biblio?II=344&amp;ND=3&amp;adjacent=true&amp;locale=en_EP&amp;FT=D&amp;date=20180118&amp;CC=WO&amp;NR=2018010112A1&amp;KC=A1")</f>
        <v>https://worldwide.espacenet.com/publicationDetails/biblio?II=344&amp;ND=3&amp;adjacent=true&amp;locale=en_EP&amp;FT=D&amp;date=20180118&amp;CC=WO&amp;NR=2018010112A1&amp;KC=A1</v>
      </c>
    </row>
    <row r="347" spans="3:5" x14ac:dyDescent="0.25">
      <c r="C347" t="s">
        <v>668</v>
      </c>
      <c r="D347" t="s">
        <v>669</v>
      </c>
      <c r="E347" t="str">
        <f>HYPERLINK("https://worldwide.espacenet.com/publicationDetails/biblio?II=345&amp;ND=3&amp;adjacent=true&amp;locale=en_EP&amp;FT=D&amp;date=20180118&amp;CC=WO&amp;NR=2018010113A1&amp;KC=A1")</f>
        <v>https://worldwide.espacenet.com/publicationDetails/biblio?II=345&amp;ND=3&amp;adjacent=true&amp;locale=en_EP&amp;FT=D&amp;date=20180118&amp;CC=WO&amp;NR=2018010113A1&amp;KC=A1</v>
      </c>
    </row>
    <row r="348" spans="3:5" x14ac:dyDescent="0.25">
      <c r="C348" t="s">
        <v>670</v>
      </c>
      <c r="D348" t="s">
        <v>671</v>
      </c>
      <c r="E348" t="str">
        <f>HYPERLINK("https://worldwide.espacenet.com/publicationDetails/biblio?II=346&amp;ND=3&amp;adjacent=true&amp;locale=en_EP&amp;FT=D&amp;date=20180118&amp;CC=WO&amp;NR=2018010110A1&amp;KC=A1")</f>
        <v>https://worldwide.espacenet.com/publicationDetails/biblio?II=346&amp;ND=3&amp;adjacent=true&amp;locale=en_EP&amp;FT=D&amp;date=20180118&amp;CC=WO&amp;NR=2018010110A1&amp;KC=A1</v>
      </c>
    </row>
    <row r="349" spans="3:5" x14ac:dyDescent="0.25">
      <c r="C349" t="s">
        <v>672</v>
      </c>
      <c r="D349" t="s">
        <v>673</v>
      </c>
      <c r="E349" t="str">
        <f>HYPERLINK("https://worldwide.espacenet.com/publicationDetails/biblio?II=347&amp;ND=3&amp;adjacent=true&amp;locale=en_EP&amp;FT=D&amp;date=20171228&amp;CC=KR&amp;NR=101813143B1&amp;KC=B1")</f>
        <v>https://worldwide.espacenet.com/publicationDetails/biblio?II=347&amp;ND=3&amp;adjacent=true&amp;locale=en_EP&amp;FT=D&amp;date=20171228&amp;CC=KR&amp;NR=101813143B1&amp;KC=B1</v>
      </c>
    </row>
    <row r="350" spans="3:5" x14ac:dyDescent="0.25">
      <c r="C350" t="s">
        <v>81</v>
      </c>
      <c r="D350" t="s">
        <v>674</v>
      </c>
      <c r="E350" t="str">
        <f>HYPERLINK("https://worldwide.espacenet.com/publicationDetails/biblio?II=348&amp;ND=3&amp;adjacent=true&amp;locale=en_EP&amp;FT=D&amp;date=20180628&amp;CC=WO&amp;NR=2018118856A2&amp;KC=A2")</f>
        <v>https://worldwide.espacenet.com/publicationDetails/biblio?II=348&amp;ND=3&amp;adjacent=true&amp;locale=en_EP&amp;FT=D&amp;date=20180628&amp;CC=WO&amp;NR=2018118856A2&amp;KC=A2</v>
      </c>
    </row>
    <row r="351" spans="3:5" x14ac:dyDescent="0.25">
      <c r="C351" t="s">
        <v>675</v>
      </c>
      <c r="D351" t="s">
        <v>676</v>
      </c>
      <c r="E351" t="str">
        <f>HYPERLINK("https://worldwide.espacenet.com/publicationDetails/biblio?II=349&amp;ND=3&amp;adjacent=true&amp;locale=en_EP&amp;FT=D&amp;date=20180111&amp;CC=WO&amp;NR=2018006298A1&amp;KC=A1")</f>
        <v>https://worldwide.espacenet.com/publicationDetails/biblio?II=349&amp;ND=3&amp;adjacent=true&amp;locale=en_EP&amp;FT=D&amp;date=20180111&amp;CC=WO&amp;NR=2018006298A1&amp;KC=A1</v>
      </c>
    </row>
    <row r="352" spans="3:5" x14ac:dyDescent="0.25">
      <c r="C352" t="s">
        <v>677</v>
      </c>
      <c r="D352" t="s">
        <v>678</v>
      </c>
      <c r="E352" t="str">
        <f>HYPERLINK("https://worldwide.espacenet.com/publicationDetails/biblio?II=350&amp;ND=3&amp;adjacent=true&amp;locale=en_EP&amp;FT=D&amp;date=20180111&amp;CC=WO&amp;NR=2018006301A1&amp;KC=A1")</f>
        <v>https://worldwide.espacenet.com/publicationDetails/biblio?II=350&amp;ND=3&amp;adjacent=true&amp;locale=en_EP&amp;FT=D&amp;date=20180111&amp;CC=WO&amp;NR=2018006301A1&amp;KC=A1</v>
      </c>
    </row>
    <row r="353" spans="3:5" x14ac:dyDescent="0.25">
      <c r="C353" t="s">
        <v>679</v>
      </c>
      <c r="D353" t="s">
        <v>680</v>
      </c>
      <c r="E353" t="str">
        <f>HYPERLINK("https://worldwide.espacenet.com/publicationDetails/biblio?II=351&amp;ND=3&amp;adjacent=true&amp;locale=en_EP&amp;FT=D&amp;date=20180111&amp;CC=WO&amp;NR=2018006300A1&amp;KC=A1")</f>
        <v>https://worldwide.espacenet.com/publicationDetails/biblio?II=351&amp;ND=3&amp;adjacent=true&amp;locale=en_EP&amp;FT=D&amp;date=20180111&amp;CC=WO&amp;NR=2018006300A1&amp;KC=A1</v>
      </c>
    </row>
    <row r="354" spans="3:5" x14ac:dyDescent="0.25">
      <c r="C354" t="s">
        <v>681</v>
      </c>
      <c r="D354" t="s">
        <v>682</v>
      </c>
      <c r="E354" t="str">
        <f>HYPERLINK("https://worldwide.espacenet.com/publicationDetails/biblio?II=352&amp;ND=3&amp;adjacent=true&amp;locale=en_EP&amp;FT=D&amp;date=20180111&amp;CC=WO&amp;NR=2018006299A1&amp;KC=A1")</f>
        <v>https://worldwide.espacenet.com/publicationDetails/biblio?II=352&amp;ND=3&amp;adjacent=true&amp;locale=en_EP&amp;FT=D&amp;date=20180111&amp;CC=WO&amp;NR=2018006299A1&amp;KC=A1</v>
      </c>
    </row>
    <row r="355" spans="3:5" x14ac:dyDescent="0.25">
      <c r="C355" t="s">
        <v>683</v>
      </c>
      <c r="D355" t="s">
        <v>684</v>
      </c>
      <c r="E355" t="str">
        <f>HYPERLINK("https://worldwide.espacenet.com/publicationDetails/biblio?II=353&amp;ND=3&amp;adjacent=true&amp;locale=en_EP&amp;FT=D&amp;date=20180109&amp;CC=CN&amp;NR=206854288U&amp;KC=U")</f>
        <v>https://worldwide.espacenet.com/publicationDetails/biblio?II=353&amp;ND=3&amp;adjacent=true&amp;locale=en_EP&amp;FT=D&amp;date=20180109&amp;CC=CN&amp;NR=206854288U&amp;KC=U</v>
      </c>
    </row>
    <row r="356" spans="3:5" x14ac:dyDescent="0.25">
      <c r="C356" t="s">
        <v>685</v>
      </c>
      <c r="D356" t="s">
        <v>686</v>
      </c>
      <c r="E356" t="str">
        <f>HYPERLINK("https://worldwide.espacenet.com/publicationDetails/biblio?II=354&amp;ND=3&amp;adjacent=true&amp;locale=en_EP&amp;FT=D&amp;date=20180109&amp;CC=CN&amp;NR=206863590U&amp;KC=U")</f>
        <v>https://worldwide.espacenet.com/publicationDetails/biblio?II=354&amp;ND=3&amp;adjacent=true&amp;locale=en_EP&amp;FT=D&amp;date=20180109&amp;CC=CN&amp;NR=206863590U&amp;KC=U</v>
      </c>
    </row>
    <row r="357" spans="3:5" x14ac:dyDescent="0.25">
      <c r="C357" t="s">
        <v>687</v>
      </c>
      <c r="D357" t="s">
        <v>688</v>
      </c>
      <c r="E357" t="str">
        <f>HYPERLINK("https://worldwide.espacenet.com/publicationDetails/biblio?II=355&amp;ND=3&amp;adjacent=true&amp;locale=en_EP&amp;FT=D&amp;date=20180109&amp;CC=CN&amp;NR=206856870U&amp;KC=U")</f>
        <v>https://worldwide.espacenet.com/publicationDetails/biblio?II=355&amp;ND=3&amp;adjacent=true&amp;locale=en_EP&amp;FT=D&amp;date=20180109&amp;CC=CN&amp;NR=206856870U&amp;KC=U</v>
      </c>
    </row>
    <row r="358" spans="3:5" x14ac:dyDescent="0.25">
      <c r="C358" t="s">
        <v>689</v>
      </c>
      <c r="D358" t="s">
        <v>690</v>
      </c>
      <c r="E358" t="str">
        <f>HYPERLINK("https://worldwide.espacenet.com/publicationDetails/biblio?II=356&amp;ND=3&amp;adjacent=true&amp;locale=en_EP&amp;FT=D&amp;date=20180109&amp;CC=CN&amp;NR=206854653U&amp;KC=U")</f>
        <v>https://worldwide.espacenet.com/publicationDetails/biblio?II=356&amp;ND=3&amp;adjacent=true&amp;locale=en_EP&amp;FT=D&amp;date=20180109&amp;CC=CN&amp;NR=206854653U&amp;KC=U</v>
      </c>
    </row>
    <row r="359" spans="3:5" x14ac:dyDescent="0.25">
      <c r="C359" t="s">
        <v>691</v>
      </c>
      <c r="D359" t="s">
        <v>692</v>
      </c>
      <c r="E359" t="str">
        <f>HYPERLINK("https://worldwide.espacenet.com/publicationDetails/biblio?II=357&amp;ND=3&amp;adjacent=true&amp;locale=en_EP&amp;FT=D&amp;date=20180109&amp;CC=CN&amp;NR=206864148U&amp;KC=U")</f>
        <v>https://worldwide.espacenet.com/publicationDetails/biblio?II=357&amp;ND=3&amp;adjacent=true&amp;locale=en_EP&amp;FT=D&amp;date=20180109&amp;CC=CN&amp;NR=206864148U&amp;KC=U</v>
      </c>
    </row>
    <row r="360" spans="3:5" x14ac:dyDescent="0.25">
      <c r="C360" t="s">
        <v>693</v>
      </c>
      <c r="D360" t="s">
        <v>694</v>
      </c>
      <c r="E360" t="str">
        <f>HYPERLINK("https://worldwide.espacenet.com/publicationDetails/biblio?II=358&amp;ND=3&amp;adjacent=true&amp;locale=en_EP&amp;FT=D&amp;date=20180109&amp;CC=CN&amp;NR=206863066U&amp;KC=U")</f>
        <v>https://worldwide.espacenet.com/publicationDetails/biblio?II=358&amp;ND=3&amp;adjacent=true&amp;locale=en_EP&amp;FT=D&amp;date=20180109&amp;CC=CN&amp;NR=206863066U&amp;KC=U</v>
      </c>
    </row>
    <row r="361" spans="3:5" x14ac:dyDescent="0.25">
      <c r="C361" t="s">
        <v>695</v>
      </c>
      <c r="D361" t="s">
        <v>696</v>
      </c>
      <c r="E361" t="str">
        <f>HYPERLINK("https://worldwide.espacenet.com/publicationDetails/biblio?II=359&amp;ND=3&amp;adjacent=true&amp;locale=en_EP&amp;FT=D&amp;date=20180109&amp;CC=CN&amp;NR=206856878U&amp;KC=U")</f>
        <v>https://worldwide.espacenet.com/publicationDetails/biblio?II=359&amp;ND=3&amp;adjacent=true&amp;locale=en_EP&amp;FT=D&amp;date=20180109&amp;CC=CN&amp;NR=206856878U&amp;KC=U</v>
      </c>
    </row>
    <row r="362" spans="3:5" x14ac:dyDescent="0.25">
      <c r="C362" t="s">
        <v>697</v>
      </c>
      <c r="D362" t="s">
        <v>698</v>
      </c>
      <c r="E362" t="str">
        <f>HYPERLINK("https://worldwide.espacenet.com/publicationDetails/biblio?II=360&amp;ND=3&amp;adjacent=true&amp;locale=en_EP&amp;FT=D&amp;date=20180105&amp;CC=CN&amp;NR=206838324U&amp;KC=U")</f>
        <v>https://worldwide.espacenet.com/publicationDetails/biblio?II=360&amp;ND=3&amp;adjacent=true&amp;locale=en_EP&amp;FT=D&amp;date=20180105&amp;CC=CN&amp;NR=206838324U&amp;KC=U</v>
      </c>
    </row>
    <row r="363" spans="3:5" x14ac:dyDescent="0.25">
      <c r="C363" t="s">
        <v>699</v>
      </c>
      <c r="D363" t="s">
        <v>700</v>
      </c>
      <c r="E363" t="str">
        <f>HYPERLINK("https://worldwide.espacenet.com/publicationDetails/biblio?II=361&amp;ND=3&amp;adjacent=true&amp;locale=en_EP&amp;FT=D&amp;date=20180105&amp;CC=CN&amp;NR=206838323U&amp;KC=U")</f>
        <v>https://worldwide.espacenet.com/publicationDetails/biblio?II=361&amp;ND=3&amp;adjacent=true&amp;locale=en_EP&amp;FT=D&amp;date=20180105&amp;CC=CN&amp;NR=206838323U&amp;KC=U</v>
      </c>
    </row>
    <row r="364" spans="3:5" x14ac:dyDescent="0.25">
      <c r="C364" t="s">
        <v>701</v>
      </c>
      <c r="D364" t="s">
        <v>702</v>
      </c>
      <c r="E364" t="str">
        <f>HYPERLINK("https://worldwide.espacenet.com/publicationDetails/biblio?II=362&amp;ND=3&amp;adjacent=true&amp;locale=en_EP&amp;FT=D&amp;date=20180105&amp;CC=CN&amp;NR=206835586U&amp;KC=U")</f>
        <v>https://worldwide.espacenet.com/publicationDetails/biblio?II=362&amp;ND=3&amp;adjacent=true&amp;locale=en_EP&amp;FT=D&amp;date=20180105&amp;CC=CN&amp;NR=206835586U&amp;KC=U</v>
      </c>
    </row>
    <row r="365" spans="3:5" x14ac:dyDescent="0.25">
      <c r="C365" t="s">
        <v>703</v>
      </c>
      <c r="D365" t="s">
        <v>704</v>
      </c>
      <c r="E365" t="str">
        <f>HYPERLINK("https://worldwide.espacenet.com/publicationDetails/biblio?II=363&amp;ND=3&amp;adjacent=true&amp;locale=en_EP&amp;FT=D&amp;date=20180105&amp;CC=CN&amp;NR=206842794U&amp;KC=U")</f>
        <v>https://worldwide.espacenet.com/publicationDetails/biblio?II=363&amp;ND=3&amp;adjacent=true&amp;locale=en_EP&amp;FT=D&amp;date=20180105&amp;CC=CN&amp;NR=206842794U&amp;KC=U</v>
      </c>
    </row>
    <row r="366" spans="3:5" x14ac:dyDescent="0.25">
      <c r="C366" t="s">
        <v>705</v>
      </c>
      <c r="D366" t="s">
        <v>706</v>
      </c>
      <c r="E366" t="str">
        <f>HYPERLINK("https://worldwide.espacenet.com/publicationDetails/biblio?II=364&amp;ND=3&amp;adjacent=true&amp;locale=en_EP&amp;FT=D&amp;date=20180105&amp;CC=CN&amp;NR=206841563U&amp;KC=U")</f>
        <v>https://worldwide.espacenet.com/publicationDetails/biblio?II=364&amp;ND=3&amp;adjacent=true&amp;locale=en_EP&amp;FT=D&amp;date=20180105&amp;CC=CN&amp;NR=206841563U&amp;KC=U</v>
      </c>
    </row>
    <row r="367" spans="3:5" x14ac:dyDescent="0.25">
      <c r="C367" t="s">
        <v>707</v>
      </c>
      <c r="D367" t="s">
        <v>708</v>
      </c>
      <c r="E367" t="str">
        <f>HYPERLINK("https://worldwide.espacenet.com/publicationDetails/biblio?II=365&amp;ND=3&amp;adjacent=true&amp;locale=en_EP&amp;FT=D&amp;date=20180105&amp;CC=CN&amp;NR=206841644U&amp;KC=U")</f>
        <v>https://worldwide.espacenet.com/publicationDetails/biblio?II=365&amp;ND=3&amp;adjacent=true&amp;locale=en_EP&amp;FT=D&amp;date=20180105&amp;CC=CN&amp;NR=206841644U&amp;KC=U</v>
      </c>
    </row>
    <row r="368" spans="3:5" x14ac:dyDescent="0.25">
      <c r="C368" t="s">
        <v>709</v>
      </c>
      <c r="D368" t="s">
        <v>710</v>
      </c>
      <c r="E368" t="str">
        <f>HYPERLINK("https://worldwide.espacenet.com/publicationDetails/biblio?II=366&amp;ND=3&amp;adjacent=true&amp;locale=en_EP&amp;FT=D&amp;date=20171228&amp;CC=WO&amp;NR=2017219714A1&amp;KC=A1")</f>
        <v>https://worldwide.espacenet.com/publicationDetails/biblio?II=366&amp;ND=3&amp;adjacent=true&amp;locale=en_EP&amp;FT=D&amp;date=20171228&amp;CC=WO&amp;NR=2017219714A1&amp;KC=A1</v>
      </c>
    </row>
    <row r="369" spans="3:5" x14ac:dyDescent="0.25">
      <c r="C369" t="s">
        <v>711</v>
      </c>
      <c r="D369" t="s">
        <v>712</v>
      </c>
      <c r="E369" t="str">
        <f>HYPERLINK("https://worldwide.espacenet.com/publicationDetails/biblio?II=367&amp;ND=3&amp;adjacent=true&amp;locale=en_EP&amp;FT=D&amp;date=20171228&amp;CC=WO&amp;NR=2017219715A1&amp;KC=A1")</f>
        <v>https://worldwide.espacenet.com/publicationDetails/biblio?II=367&amp;ND=3&amp;adjacent=true&amp;locale=en_EP&amp;FT=D&amp;date=20171228&amp;CC=WO&amp;NR=2017219715A1&amp;KC=A1</v>
      </c>
    </row>
    <row r="370" spans="3:5" x14ac:dyDescent="0.25">
      <c r="C370" t="s">
        <v>713</v>
      </c>
      <c r="D370" t="s">
        <v>714</v>
      </c>
      <c r="E370" t="str">
        <f>HYPERLINK("https://worldwide.espacenet.com/publicationDetails/biblio?II=368&amp;ND=3&amp;adjacent=true&amp;locale=en_EP&amp;FT=D&amp;date=20180102&amp;CC=CN&amp;NR=206829735U&amp;KC=U")</f>
        <v>https://worldwide.espacenet.com/publicationDetails/biblio?II=368&amp;ND=3&amp;adjacent=true&amp;locale=en_EP&amp;FT=D&amp;date=20180102&amp;CC=CN&amp;NR=206829735U&amp;KC=U</v>
      </c>
    </row>
    <row r="371" spans="3:5" x14ac:dyDescent="0.25">
      <c r="C371" t="s">
        <v>715</v>
      </c>
      <c r="D371" t="s">
        <v>716</v>
      </c>
      <c r="E371" t="str">
        <f>HYPERLINK("https://worldwide.espacenet.com/publicationDetails/biblio?II=369&amp;ND=3&amp;adjacent=true&amp;locale=en_EP&amp;FT=D&amp;date=20171229&amp;CC=CN&amp;NR=206813318U&amp;KC=U")</f>
        <v>https://worldwide.espacenet.com/publicationDetails/biblio?II=369&amp;ND=3&amp;adjacent=true&amp;locale=en_EP&amp;FT=D&amp;date=20171229&amp;CC=CN&amp;NR=206813318U&amp;KC=U</v>
      </c>
    </row>
    <row r="372" spans="3:5" x14ac:dyDescent="0.25">
      <c r="C372" t="s">
        <v>717</v>
      </c>
      <c r="D372" t="s">
        <v>718</v>
      </c>
      <c r="E372" t="str">
        <f>HYPERLINK("https://worldwide.espacenet.com/publicationDetails/biblio?II=370&amp;ND=3&amp;adjacent=true&amp;locale=en_EP&amp;FT=D&amp;date=20171229&amp;CC=CN&amp;NR=206815202U&amp;KC=U")</f>
        <v>https://worldwide.espacenet.com/publicationDetails/biblio?II=370&amp;ND=3&amp;adjacent=true&amp;locale=en_EP&amp;FT=D&amp;date=20171229&amp;CC=CN&amp;NR=206815202U&amp;KC=U</v>
      </c>
    </row>
    <row r="373" spans="3:5" x14ac:dyDescent="0.25">
      <c r="C373" t="s">
        <v>719</v>
      </c>
      <c r="D373" t="s">
        <v>720</v>
      </c>
      <c r="E373" t="str">
        <f>HYPERLINK("https://worldwide.espacenet.com/publicationDetails/biblio?II=371&amp;ND=3&amp;adjacent=true&amp;locale=en_EP&amp;FT=D&amp;date=20171229&amp;CC=CN&amp;NR=206813194U&amp;KC=U")</f>
        <v>https://worldwide.espacenet.com/publicationDetails/biblio?II=371&amp;ND=3&amp;adjacent=true&amp;locale=en_EP&amp;FT=D&amp;date=20171229&amp;CC=CN&amp;NR=206813194U&amp;KC=U</v>
      </c>
    </row>
    <row r="374" spans="3:5" x14ac:dyDescent="0.25">
      <c r="C374" t="s">
        <v>721</v>
      </c>
      <c r="D374" t="s">
        <v>722</v>
      </c>
      <c r="E374" t="str">
        <f>HYPERLINK("https://worldwide.espacenet.com/publicationDetails/biblio?II=372&amp;ND=3&amp;adjacent=true&amp;locale=en_EP&amp;FT=D&amp;date=20171229&amp;CC=CN&amp;NR=107521597A&amp;KC=A")</f>
        <v>https://worldwide.espacenet.com/publicationDetails/biblio?II=372&amp;ND=3&amp;adjacent=true&amp;locale=en_EP&amp;FT=D&amp;date=20171229&amp;CC=CN&amp;NR=107521597A&amp;KC=A</v>
      </c>
    </row>
    <row r="375" spans="3:5" x14ac:dyDescent="0.25">
      <c r="C375" t="s">
        <v>723</v>
      </c>
      <c r="D375" t="s">
        <v>724</v>
      </c>
      <c r="E375" t="str">
        <f>HYPERLINK("https://worldwide.espacenet.com/publicationDetails/biblio?II=373&amp;ND=3&amp;adjacent=true&amp;locale=en_EP&amp;FT=D&amp;date=20171226&amp;CC=CN&amp;NR=206804451U&amp;KC=U")</f>
        <v>https://worldwide.espacenet.com/publicationDetails/biblio?II=373&amp;ND=3&amp;adjacent=true&amp;locale=en_EP&amp;FT=D&amp;date=20171226&amp;CC=CN&amp;NR=206804451U&amp;KC=U</v>
      </c>
    </row>
    <row r="376" spans="3:5" x14ac:dyDescent="0.25">
      <c r="C376" t="s">
        <v>725</v>
      </c>
      <c r="D376" t="s">
        <v>726</v>
      </c>
      <c r="E376" t="str">
        <f>HYPERLINK("https://worldwide.espacenet.com/publicationDetails/biblio?II=374&amp;ND=3&amp;adjacent=true&amp;locale=en_EP&amp;FT=D&amp;date=20171226&amp;CC=CN&amp;NR=206801938U&amp;KC=U")</f>
        <v>https://worldwide.espacenet.com/publicationDetails/biblio?II=374&amp;ND=3&amp;adjacent=true&amp;locale=en_EP&amp;FT=D&amp;date=20171226&amp;CC=CN&amp;NR=206801938U&amp;KC=U</v>
      </c>
    </row>
    <row r="377" spans="3:5" x14ac:dyDescent="0.25">
      <c r="C377" t="s">
        <v>727</v>
      </c>
      <c r="D377" t="s">
        <v>728</v>
      </c>
      <c r="E377" t="str">
        <f>HYPERLINK("https://worldwide.espacenet.com/publicationDetails/biblio?II=375&amp;ND=3&amp;adjacent=true&amp;locale=en_EP&amp;FT=D&amp;date=20171226&amp;CC=CN&amp;NR=206801536U&amp;KC=U")</f>
        <v>https://worldwide.espacenet.com/publicationDetails/biblio?II=375&amp;ND=3&amp;adjacent=true&amp;locale=en_EP&amp;FT=D&amp;date=20171226&amp;CC=CN&amp;NR=206801536U&amp;KC=U</v>
      </c>
    </row>
    <row r="378" spans="3:5" x14ac:dyDescent="0.25">
      <c r="C378" t="s">
        <v>729</v>
      </c>
      <c r="D378" t="s">
        <v>730</v>
      </c>
      <c r="E378" t="str">
        <f>HYPERLINK("https://worldwide.espacenet.com/publicationDetails/biblio?II=376&amp;ND=3&amp;adjacent=true&amp;locale=en_EP&amp;FT=D&amp;date=20171226&amp;CC=CN&amp;NR=206798959U&amp;KC=U")</f>
        <v>https://worldwide.espacenet.com/publicationDetails/biblio?II=376&amp;ND=3&amp;adjacent=true&amp;locale=en_EP&amp;FT=D&amp;date=20171226&amp;CC=CN&amp;NR=206798959U&amp;KC=U</v>
      </c>
    </row>
    <row r="379" spans="3:5" x14ac:dyDescent="0.25">
      <c r="C379" t="s">
        <v>731</v>
      </c>
      <c r="D379" t="s">
        <v>732</v>
      </c>
      <c r="E379" t="str">
        <f>HYPERLINK("https://worldwide.espacenet.com/publicationDetails/biblio?II=377&amp;ND=3&amp;adjacent=true&amp;locale=en_EP&amp;FT=D&amp;date=20171222&amp;CC=CN&amp;NR=206778581U&amp;KC=U")</f>
        <v>https://worldwide.espacenet.com/publicationDetails/biblio?II=377&amp;ND=3&amp;adjacent=true&amp;locale=en_EP&amp;FT=D&amp;date=20171222&amp;CC=CN&amp;NR=206778581U&amp;KC=U</v>
      </c>
    </row>
    <row r="380" spans="3:5" x14ac:dyDescent="0.25">
      <c r="C380" t="s">
        <v>733</v>
      </c>
      <c r="D380" t="s">
        <v>734</v>
      </c>
      <c r="E380" t="str">
        <f>HYPERLINK("https://worldwide.espacenet.com/publicationDetails/biblio?II=378&amp;ND=3&amp;adjacent=true&amp;locale=en_EP&amp;FT=D&amp;date=20171222&amp;CC=CN&amp;NR=206787816U&amp;KC=U")</f>
        <v>https://worldwide.espacenet.com/publicationDetails/biblio?II=378&amp;ND=3&amp;adjacent=true&amp;locale=en_EP&amp;FT=D&amp;date=20171222&amp;CC=CN&amp;NR=206787816U&amp;KC=U</v>
      </c>
    </row>
    <row r="381" spans="3:5" x14ac:dyDescent="0.25">
      <c r="C381" t="s">
        <v>735</v>
      </c>
      <c r="D381" t="s">
        <v>736</v>
      </c>
      <c r="E381" t="str">
        <f>HYPERLINK("https://worldwide.espacenet.com/publicationDetails/biblio?II=379&amp;ND=3&amp;adjacent=true&amp;locale=en_EP&amp;FT=D&amp;date=20171222&amp;CC=CN&amp;NR=107499393A&amp;KC=A")</f>
        <v>https://worldwide.espacenet.com/publicationDetails/biblio?II=379&amp;ND=3&amp;adjacent=true&amp;locale=en_EP&amp;FT=D&amp;date=20171222&amp;CC=CN&amp;NR=107499393A&amp;KC=A</v>
      </c>
    </row>
    <row r="382" spans="3:5" x14ac:dyDescent="0.25">
      <c r="C382" t="s">
        <v>737</v>
      </c>
      <c r="D382" t="s">
        <v>738</v>
      </c>
      <c r="E382" t="str">
        <f>HYPERLINK("https://worldwide.espacenet.com/publicationDetails/biblio?II=380&amp;ND=3&amp;adjacent=true&amp;locale=en_EP&amp;FT=D&amp;date=20171221&amp;CC=WO&amp;NR=2017215113A1&amp;KC=A1")</f>
        <v>https://worldwide.espacenet.com/publicationDetails/biblio?II=380&amp;ND=3&amp;adjacent=true&amp;locale=en_EP&amp;FT=D&amp;date=20171221&amp;CC=WO&amp;NR=2017215113A1&amp;KC=A1</v>
      </c>
    </row>
    <row r="383" spans="3:5" x14ac:dyDescent="0.25">
      <c r="C383" t="s">
        <v>739</v>
      </c>
      <c r="D383" t="s">
        <v>740</v>
      </c>
      <c r="E383" t="str">
        <f>HYPERLINK("https://worldwide.espacenet.com/publicationDetails/biblio?II=381&amp;ND=3&amp;adjacent=true&amp;locale=en_EP&amp;FT=D&amp;date=20171219&amp;CC=CN&amp;NR=206764791U&amp;KC=U")</f>
        <v>https://worldwide.espacenet.com/publicationDetails/biblio?II=381&amp;ND=3&amp;adjacent=true&amp;locale=en_EP&amp;FT=D&amp;date=20171219&amp;CC=CN&amp;NR=206764791U&amp;KC=U</v>
      </c>
    </row>
    <row r="384" spans="3:5" x14ac:dyDescent="0.25">
      <c r="C384" t="s">
        <v>741</v>
      </c>
      <c r="D384" t="s">
        <v>742</v>
      </c>
      <c r="E384" t="str">
        <f>HYPERLINK("https://worldwide.espacenet.com/publicationDetails/biblio?II=382&amp;ND=3&amp;adjacent=true&amp;locale=en_EP&amp;FT=D&amp;date=20171219&amp;CC=CN&amp;NR=107487409A&amp;KC=A")</f>
        <v>https://worldwide.espacenet.com/publicationDetails/biblio?II=382&amp;ND=3&amp;adjacent=true&amp;locale=en_EP&amp;FT=D&amp;date=20171219&amp;CC=CN&amp;NR=107487409A&amp;KC=A</v>
      </c>
    </row>
    <row r="385" spans="3:5" x14ac:dyDescent="0.25">
      <c r="C385" t="s">
        <v>743</v>
      </c>
      <c r="D385" t="s">
        <v>744</v>
      </c>
      <c r="E385" t="str">
        <f>HYPERLINK("https://worldwide.espacenet.com/publicationDetails/biblio?II=383&amp;ND=3&amp;adjacent=true&amp;locale=en_EP&amp;FT=D&amp;date=20171219&amp;CC=CN&amp;NR=206770985U&amp;KC=U")</f>
        <v>https://worldwide.espacenet.com/publicationDetails/biblio?II=383&amp;ND=3&amp;adjacent=true&amp;locale=en_EP&amp;FT=D&amp;date=20171219&amp;CC=CN&amp;NR=206770985U&amp;KC=U</v>
      </c>
    </row>
    <row r="386" spans="3:5" x14ac:dyDescent="0.25">
      <c r="C386" t="s">
        <v>745</v>
      </c>
      <c r="D386" t="s">
        <v>746</v>
      </c>
      <c r="E386" t="str">
        <f>HYPERLINK("https://worldwide.espacenet.com/publicationDetails/biblio?II=384&amp;ND=3&amp;adjacent=true&amp;locale=en_EP&amp;FT=D&amp;date=20171219&amp;CC=CN&amp;NR=206769356U&amp;KC=U")</f>
        <v>https://worldwide.espacenet.com/publicationDetails/biblio?II=384&amp;ND=3&amp;adjacent=true&amp;locale=en_EP&amp;FT=D&amp;date=20171219&amp;CC=CN&amp;NR=206769356U&amp;KC=U</v>
      </c>
    </row>
    <row r="387" spans="3:5" x14ac:dyDescent="0.25">
      <c r="C387" t="s">
        <v>111</v>
      </c>
      <c r="D387" t="s">
        <v>747</v>
      </c>
      <c r="E387" t="str">
        <f>HYPERLINK("https://worldwide.espacenet.com/publicationDetails/biblio?II=385&amp;ND=3&amp;adjacent=true&amp;locale=en_EP&amp;FT=D&amp;date=20171219&amp;CC=CN&amp;NR=206766003U&amp;KC=U")</f>
        <v>https://worldwide.espacenet.com/publicationDetails/biblio?II=385&amp;ND=3&amp;adjacent=true&amp;locale=en_EP&amp;FT=D&amp;date=20171219&amp;CC=CN&amp;NR=206766003U&amp;KC=U</v>
      </c>
    </row>
    <row r="388" spans="3:5" x14ac:dyDescent="0.25">
      <c r="C388" t="s">
        <v>748</v>
      </c>
      <c r="D388" t="s">
        <v>749</v>
      </c>
      <c r="E388" t="str">
        <f>HYPERLINK("https://worldwide.espacenet.com/publicationDetails/biblio?II=386&amp;ND=3&amp;adjacent=true&amp;locale=en_EP&amp;FT=D&amp;date=20171219&amp;CC=US&amp;NR=D805464S&amp;KC=S")</f>
        <v>https://worldwide.espacenet.com/publicationDetails/biblio?II=386&amp;ND=3&amp;adjacent=true&amp;locale=en_EP&amp;FT=D&amp;date=20171219&amp;CC=US&amp;NR=D805464S&amp;KC=S</v>
      </c>
    </row>
    <row r="389" spans="3:5" x14ac:dyDescent="0.25">
      <c r="C389" t="s">
        <v>750</v>
      </c>
      <c r="D389" t="s">
        <v>751</v>
      </c>
      <c r="E389" t="str">
        <f>HYPERLINK("https://worldwide.espacenet.com/publicationDetails/biblio?II=387&amp;ND=3&amp;adjacent=true&amp;locale=en_EP&amp;FT=D&amp;date=20171219&amp;CC=US&amp;NR=D805429S&amp;KC=S")</f>
        <v>https://worldwide.espacenet.com/publicationDetails/biblio?II=387&amp;ND=3&amp;adjacent=true&amp;locale=en_EP&amp;FT=D&amp;date=20171219&amp;CC=US&amp;NR=D805429S&amp;KC=S</v>
      </c>
    </row>
    <row r="390" spans="3:5" x14ac:dyDescent="0.25">
      <c r="C390" t="s">
        <v>752</v>
      </c>
      <c r="D390" t="s">
        <v>753</v>
      </c>
      <c r="E390" t="str">
        <f>HYPERLINK("https://worldwide.espacenet.com/publicationDetails/biblio?II=388&amp;ND=3&amp;adjacent=true&amp;locale=en_EP&amp;FT=D&amp;date=20171215&amp;CC=CN&amp;NR=206748440U&amp;KC=U")</f>
        <v>https://worldwide.espacenet.com/publicationDetails/biblio?II=388&amp;ND=3&amp;adjacent=true&amp;locale=en_EP&amp;FT=D&amp;date=20171215&amp;CC=CN&amp;NR=206748440U&amp;KC=U</v>
      </c>
    </row>
    <row r="391" spans="3:5" x14ac:dyDescent="0.25">
      <c r="C391" t="s">
        <v>754</v>
      </c>
      <c r="D391" t="s">
        <v>755</v>
      </c>
      <c r="E391" t="str">
        <f>HYPERLINK("https://worldwide.espacenet.com/publicationDetails/biblio?II=389&amp;ND=3&amp;adjacent=true&amp;locale=en_EP&amp;FT=D&amp;date=20171215&amp;CC=CN&amp;NR=206744776U&amp;KC=U")</f>
        <v>https://worldwide.espacenet.com/publicationDetails/biblio?II=389&amp;ND=3&amp;adjacent=true&amp;locale=en_EP&amp;FT=D&amp;date=20171215&amp;CC=CN&amp;NR=206744776U&amp;KC=U</v>
      </c>
    </row>
    <row r="392" spans="3:5" x14ac:dyDescent="0.25">
      <c r="C392" t="s">
        <v>756</v>
      </c>
      <c r="D392" t="s">
        <v>757</v>
      </c>
      <c r="E392" t="str">
        <f>HYPERLINK("https://worldwide.espacenet.com/publicationDetails/biblio?II=390&amp;ND=3&amp;adjacent=true&amp;locale=en_EP&amp;FT=D&amp;date=20171215&amp;CC=CN&amp;NR=206750011U&amp;KC=U")</f>
        <v>https://worldwide.espacenet.com/publicationDetails/biblio?II=390&amp;ND=3&amp;adjacent=true&amp;locale=en_EP&amp;FT=D&amp;date=20171215&amp;CC=CN&amp;NR=206750011U&amp;KC=U</v>
      </c>
    </row>
    <row r="393" spans="3:5" x14ac:dyDescent="0.25">
      <c r="C393" t="s">
        <v>758</v>
      </c>
      <c r="D393" t="s">
        <v>759</v>
      </c>
      <c r="E393" t="str">
        <f>HYPERLINK("https://worldwide.espacenet.com/publicationDetails/biblio?II=391&amp;ND=3&amp;adjacent=true&amp;locale=en_EP&amp;FT=D&amp;date=20171215&amp;CC=CN&amp;NR=107481816A&amp;KC=A")</f>
        <v>https://worldwide.espacenet.com/publicationDetails/biblio?II=391&amp;ND=3&amp;adjacent=true&amp;locale=en_EP&amp;FT=D&amp;date=20171215&amp;CC=CN&amp;NR=107481816A&amp;KC=A</v>
      </c>
    </row>
    <row r="394" spans="3:5" x14ac:dyDescent="0.25">
      <c r="C394" t="s">
        <v>760</v>
      </c>
      <c r="D394" t="s">
        <v>761</v>
      </c>
      <c r="E394" t="str">
        <f>HYPERLINK("https://worldwide.espacenet.com/publicationDetails/biblio?II=392&amp;ND=3&amp;adjacent=true&amp;locale=en_EP&amp;FT=D&amp;date=20171215&amp;CC=CN&amp;NR=107479556A&amp;KC=A")</f>
        <v>https://worldwide.espacenet.com/publicationDetails/biblio?II=392&amp;ND=3&amp;adjacent=true&amp;locale=en_EP&amp;FT=D&amp;date=20171215&amp;CC=CN&amp;NR=107479556A&amp;KC=A</v>
      </c>
    </row>
    <row r="395" spans="3:5" x14ac:dyDescent="0.25">
      <c r="C395" t="s">
        <v>762</v>
      </c>
      <c r="D395" t="s">
        <v>763</v>
      </c>
      <c r="E395" t="str">
        <f>HYPERLINK("https://worldwide.espacenet.com/publicationDetails/biblio?II=393&amp;ND=3&amp;adjacent=true&amp;locale=en_EP&amp;FT=D&amp;date=20171212&amp;CC=CN&amp;NR=206741864U&amp;KC=U")</f>
        <v>https://worldwide.espacenet.com/publicationDetails/biblio?II=393&amp;ND=3&amp;adjacent=true&amp;locale=en_EP&amp;FT=D&amp;date=20171212&amp;CC=CN&amp;NR=206741864U&amp;KC=U</v>
      </c>
    </row>
    <row r="396" spans="3:5" x14ac:dyDescent="0.25">
      <c r="C396" t="s">
        <v>764</v>
      </c>
      <c r="D396" t="s">
        <v>765</v>
      </c>
      <c r="E396" t="str">
        <f>HYPERLINK("https://worldwide.espacenet.com/publicationDetails/biblio?II=394&amp;ND=3&amp;adjacent=true&amp;locale=en_EP&amp;FT=D&amp;date=20171212&amp;CC=CN&amp;NR=206737212U&amp;KC=U")</f>
        <v>https://worldwide.espacenet.com/publicationDetails/biblio?II=394&amp;ND=3&amp;adjacent=true&amp;locale=en_EP&amp;FT=D&amp;date=20171212&amp;CC=CN&amp;NR=206737212U&amp;KC=U</v>
      </c>
    </row>
    <row r="397" spans="3:5" x14ac:dyDescent="0.25">
      <c r="C397" t="s">
        <v>766</v>
      </c>
      <c r="D397" t="s">
        <v>767</v>
      </c>
      <c r="E397" t="str">
        <f>HYPERLINK("https://worldwide.espacenet.com/publicationDetails/biblio?II=395&amp;ND=3&amp;adjacent=true&amp;locale=en_EP&amp;FT=D&amp;date=20171212&amp;CC=CN&amp;NR=107460111A&amp;KC=A")</f>
        <v>https://worldwide.espacenet.com/publicationDetails/biblio?II=395&amp;ND=3&amp;adjacent=true&amp;locale=en_EP&amp;FT=D&amp;date=20171212&amp;CC=CN&amp;NR=107460111A&amp;KC=A</v>
      </c>
    </row>
    <row r="398" spans="3:5" x14ac:dyDescent="0.25">
      <c r="C398" t="s">
        <v>768</v>
      </c>
      <c r="D398" t="s">
        <v>769</v>
      </c>
      <c r="E398" t="str">
        <f>HYPERLINK("https://worldwide.espacenet.com/publicationDetails/biblio?II=396&amp;ND=3&amp;adjacent=true&amp;locale=en_EP&amp;FT=D&amp;date=20171212&amp;CC=CN&amp;NR=107460956A&amp;KC=A")</f>
        <v>https://worldwide.espacenet.com/publicationDetails/biblio?II=396&amp;ND=3&amp;adjacent=true&amp;locale=en_EP&amp;FT=D&amp;date=20171212&amp;CC=CN&amp;NR=107460956A&amp;KC=A</v>
      </c>
    </row>
    <row r="399" spans="3:5" x14ac:dyDescent="0.25">
      <c r="C399" t="s">
        <v>770</v>
      </c>
      <c r="D399" t="s">
        <v>771</v>
      </c>
      <c r="E399" t="str">
        <f>HYPERLINK("https://worldwide.espacenet.com/publicationDetails/biblio?II=397&amp;ND=3&amp;adjacent=true&amp;locale=en_EP&amp;FT=D&amp;date=20171212&amp;CC=CN&amp;NR=107458093A&amp;KC=A")</f>
        <v>https://worldwide.espacenet.com/publicationDetails/biblio?II=397&amp;ND=3&amp;adjacent=true&amp;locale=en_EP&amp;FT=D&amp;date=20171212&amp;CC=CN&amp;NR=107458093A&amp;KC=A</v>
      </c>
    </row>
    <row r="400" spans="3:5" x14ac:dyDescent="0.25">
      <c r="C400" t="s">
        <v>772</v>
      </c>
      <c r="D400" t="s">
        <v>773</v>
      </c>
      <c r="E400" t="str">
        <f>HYPERLINK("https://worldwide.espacenet.com/publicationDetails/biblio?II=398&amp;ND=3&amp;adjacent=true&amp;locale=en_EP&amp;FT=D&amp;date=20171208&amp;CC=CN&amp;NR=206721940U&amp;KC=U")</f>
        <v>https://worldwide.espacenet.com/publicationDetails/biblio?II=398&amp;ND=3&amp;adjacent=true&amp;locale=en_EP&amp;FT=D&amp;date=20171208&amp;CC=CN&amp;NR=206721940U&amp;KC=U</v>
      </c>
    </row>
    <row r="401" spans="3:5" x14ac:dyDescent="0.25">
      <c r="C401" t="s">
        <v>774</v>
      </c>
      <c r="D401" t="s">
        <v>775</v>
      </c>
      <c r="E401" t="str">
        <f>HYPERLINK("https://worldwide.espacenet.com/publicationDetails/biblio?II=399&amp;ND=3&amp;adjacent=true&amp;locale=en_EP&amp;FT=D&amp;date=20171208&amp;CC=CN&amp;NR=206719381U&amp;KC=U")</f>
        <v>https://worldwide.espacenet.com/publicationDetails/biblio?II=399&amp;ND=3&amp;adjacent=true&amp;locale=en_EP&amp;FT=D&amp;date=20171208&amp;CC=CN&amp;NR=206719381U&amp;KC=U</v>
      </c>
    </row>
    <row r="402" spans="3:5" x14ac:dyDescent="0.25">
      <c r="C402" t="s">
        <v>776</v>
      </c>
      <c r="D402" t="s">
        <v>777</v>
      </c>
      <c r="E402" t="str">
        <f>HYPERLINK("https://worldwide.espacenet.com/publicationDetails/biblio?II=400&amp;ND=3&amp;adjacent=true&amp;locale=en_EP&amp;FT=D&amp;date=20171208&amp;CC=CN&amp;NR=206719414U&amp;KC=U")</f>
        <v>https://worldwide.espacenet.com/publicationDetails/biblio?II=400&amp;ND=3&amp;adjacent=true&amp;locale=en_EP&amp;FT=D&amp;date=20171208&amp;CC=CN&amp;NR=206719414U&amp;KC=U</v>
      </c>
    </row>
    <row r="403" spans="3:5" x14ac:dyDescent="0.25">
      <c r="C403" t="s">
        <v>778</v>
      </c>
      <c r="D403" t="s">
        <v>779</v>
      </c>
      <c r="E403" t="str">
        <f>HYPERLINK("https://worldwide.espacenet.com/publicationDetails/biblio?II=401&amp;ND=3&amp;adjacent=true&amp;locale=en_EP&amp;FT=D&amp;date=20171207&amp;CC=US&amp;NR=2017351551A1&amp;KC=A1")</f>
        <v>https://worldwide.espacenet.com/publicationDetails/biblio?II=401&amp;ND=3&amp;adjacent=true&amp;locale=en_EP&amp;FT=D&amp;date=20171207&amp;CC=US&amp;NR=2017351551A1&amp;KC=A1</v>
      </c>
    </row>
    <row r="404" spans="3:5" x14ac:dyDescent="0.25">
      <c r="C404" t="s">
        <v>780</v>
      </c>
      <c r="D404" t="s">
        <v>781</v>
      </c>
      <c r="E404" t="str">
        <f>HYPERLINK("https://worldwide.espacenet.com/publicationDetails/biblio?II=402&amp;ND=3&amp;adjacent=true&amp;locale=en_EP&amp;FT=D&amp;date=20171208&amp;CC=CN&amp;NR=206725559U&amp;KC=U")</f>
        <v>https://worldwide.espacenet.com/publicationDetails/biblio?II=402&amp;ND=3&amp;adjacent=true&amp;locale=en_EP&amp;FT=D&amp;date=20171208&amp;CC=CN&amp;NR=206725559U&amp;KC=U</v>
      </c>
    </row>
    <row r="405" spans="3:5" x14ac:dyDescent="0.25">
      <c r="C405" t="s">
        <v>782</v>
      </c>
      <c r="D405" t="s">
        <v>783</v>
      </c>
      <c r="E405" t="str">
        <f>HYPERLINK("https://worldwide.espacenet.com/publicationDetails/biblio?II=403&amp;ND=3&amp;adjacent=true&amp;locale=en_EP&amp;FT=D&amp;date=20171208&amp;CC=CN&amp;NR=206725842U&amp;KC=U")</f>
        <v>https://worldwide.espacenet.com/publicationDetails/biblio?II=403&amp;ND=3&amp;adjacent=true&amp;locale=en_EP&amp;FT=D&amp;date=20171208&amp;CC=CN&amp;NR=206725842U&amp;KC=U</v>
      </c>
    </row>
    <row r="406" spans="3:5" x14ac:dyDescent="0.25">
      <c r="C406" t="s">
        <v>784</v>
      </c>
      <c r="D406" t="s">
        <v>785</v>
      </c>
      <c r="E406" t="str">
        <f>HYPERLINK("https://worldwide.espacenet.com/publicationDetails/biblio?II=404&amp;ND=3&amp;adjacent=true&amp;locale=en_EP&amp;FT=D&amp;date=20171208&amp;CC=CN&amp;NR=206722808U&amp;KC=U")</f>
        <v>https://worldwide.espacenet.com/publicationDetails/biblio?II=404&amp;ND=3&amp;adjacent=true&amp;locale=en_EP&amp;FT=D&amp;date=20171208&amp;CC=CN&amp;NR=206722808U&amp;KC=U</v>
      </c>
    </row>
    <row r="407" spans="3:5" x14ac:dyDescent="0.25">
      <c r="C407" t="s">
        <v>786</v>
      </c>
      <c r="D407" t="s">
        <v>787</v>
      </c>
      <c r="E407" t="str">
        <f>HYPERLINK("https://worldwide.espacenet.com/publicationDetails/biblio?II=405&amp;ND=3&amp;adjacent=true&amp;locale=en_EP&amp;FT=D&amp;date=20171208&amp;CC=CN&amp;NR=206725073U&amp;KC=U")</f>
        <v>https://worldwide.espacenet.com/publicationDetails/biblio?II=405&amp;ND=3&amp;adjacent=true&amp;locale=en_EP&amp;FT=D&amp;date=20171208&amp;CC=CN&amp;NR=206725073U&amp;KC=U</v>
      </c>
    </row>
    <row r="408" spans="3:5" x14ac:dyDescent="0.25">
      <c r="C408" t="s">
        <v>788</v>
      </c>
      <c r="D408" t="s">
        <v>789</v>
      </c>
      <c r="E408" t="str">
        <f>HYPERLINK("https://worldwide.espacenet.com/publicationDetails/biblio?II=406&amp;ND=3&amp;adjacent=true&amp;locale=en_EP&amp;FT=D&amp;date=20171208&amp;CC=CN&amp;NR=107440846A&amp;KC=A")</f>
        <v>https://worldwide.espacenet.com/publicationDetails/biblio?II=406&amp;ND=3&amp;adjacent=true&amp;locale=en_EP&amp;FT=D&amp;date=20171208&amp;CC=CN&amp;NR=107440846A&amp;KC=A</v>
      </c>
    </row>
    <row r="409" spans="3:5" x14ac:dyDescent="0.25">
      <c r="C409" t="s">
        <v>790</v>
      </c>
      <c r="D409" t="s">
        <v>791</v>
      </c>
      <c r="E409" t="str">
        <f>HYPERLINK("https://worldwide.espacenet.com/publicationDetails/biblio?II=407&amp;ND=3&amp;adjacent=true&amp;locale=en_EP&amp;FT=D&amp;date=20171207&amp;CC=US&amp;NR=2017349231A1&amp;KC=A1")</f>
        <v>https://worldwide.espacenet.com/publicationDetails/biblio?II=407&amp;ND=3&amp;adjacent=true&amp;locale=en_EP&amp;FT=D&amp;date=20171207&amp;CC=US&amp;NR=2017349231A1&amp;KC=A1</v>
      </c>
    </row>
    <row r="410" spans="3:5" x14ac:dyDescent="0.25">
      <c r="C410" t="s">
        <v>792</v>
      </c>
      <c r="D410" t="s">
        <v>793</v>
      </c>
      <c r="E410" t="str">
        <f>HYPERLINK("https://worldwide.espacenet.com/publicationDetails/biblio?II=408&amp;ND=3&amp;adjacent=true&amp;locale=en_EP&amp;FT=D&amp;date=20171207&amp;CC=WO&amp;NR=2017210402A1&amp;KC=A1")</f>
        <v>https://worldwide.espacenet.com/publicationDetails/biblio?II=408&amp;ND=3&amp;adjacent=true&amp;locale=en_EP&amp;FT=D&amp;date=20171207&amp;CC=WO&amp;NR=2017210402A1&amp;KC=A1</v>
      </c>
    </row>
    <row r="411" spans="3:5" x14ac:dyDescent="0.25">
      <c r="C411" t="s">
        <v>794</v>
      </c>
      <c r="D411" t="s">
        <v>795</v>
      </c>
      <c r="E411" t="str">
        <f>HYPERLINK("https://worldwide.espacenet.com/publicationDetails/biblio?II=409&amp;ND=3&amp;adjacent=true&amp;locale=en_EP&amp;FT=D&amp;date=20171205&amp;CC=CN&amp;NR=206704343U&amp;KC=U")</f>
        <v>https://worldwide.espacenet.com/publicationDetails/biblio?II=409&amp;ND=3&amp;adjacent=true&amp;locale=en_EP&amp;FT=D&amp;date=20171205&amp;CC=CN&amp;NR=206704343U&amp;KC=U</v>
      </c>
    </row>
    <row r="412" spans="3:5" x14ac:dyDescent="0.25">
      <c r="C412" t="s">
        <v>796</v>
      </c>
      <c r="D412" t="s">
        <v>797</v>
      </c>
      <c r="E412" t="str">
        <f>HYPERLINK("https://worldwide.espacenet.com/publicationDetails/biblio?II=410&amp;ND=3&amp;adjacent=true&amp;locale=en_EP&amp;FT=D&amp;date=20171205&amp;CC=CN&amp;NR=206710171U&amp;KC=U")</f>
        <v>https://worldwide.espacenet.com/publicationDetails/biblio?II=410&amp;ND=3&amp;adjacent=true&amp;locale=en_EP&amp;FT=D&amp;date=20171205&amp;CC=CN&amp;NR=206710171U&amp;KC=U</v>
      </c>
    </row>
    <row r="413" spans="3:5" x14ac:dyDescent="0.25">
      <c r="C413" t="s">
        <v>798</v>
      </c>
      <c r="D413" t="s">
        <v>799</v>
      </c>
      <c r="E413" t="str">
        <f>HYPERLINK("https://worldwide.espacenet.com/publicationDetails/biblio?II=411&amp;ND=3&amp;adjacent=true&amp;locale=en_EP&amp;FT=D&amp;date=20171205&amp;CC=CN&amp;NR=206705616U&amp;KC=U")</f>
        <v>https://worldwide.espacenet.com/publicationDetails/biblio?II=411&amp;ND=3&amp;adjacent=true&amp;locale=en_EP&amp;FT=D&amp;date=20171205&amp;CC=CN&amp;NR=206705616U&amp;KC=U</v>
      </c>
    </row>
    <row r="414" spans="3:5" x14ac:dyDescent="0.25">
      <c r="C414" t="s">
        <v>800</v>
      </c>
      <c r="D414" t="s">
        <v>801</v>
      </c>
      <c r="E414" t="str">
        <f>HYPERLINK("https://worldwide.espacenet.com/publicationDetails/biblio?II=412&amp;ND=3&amp;adjacent=true&amp;locale=en_EP&amp;FT=D&amp;date=20171205&amp;CC=CN&amp;NR=206705485U&amp;KC=U")</f>
        <v>https://worldwide.espacenet.com/publicationDetails/biblio?II=412&amp;ND=3&amp;adjacent=true&amp;locale=en_EP&amp;FT=D&amp;date=20171205&amp;CC=CN&amp;NR=206705485U&amp;KC=U</v>
      </c>
    </row>
    <row r="415" spans="3:5" x14ac:dyDescent="0.25">
      <c r="C415" t="s">
        <v>802</v>
      </c>
      <c r="D415" t="s">
        <v>803</v>
      </c>
      <c r="E415" t="str">
        <f>HYPERLINK("https://worldwide.espacenet.com/publicationDetails/biblio?II=413&amp;ND=3&amp;adjacent=true&amp;locale=en_EP&amp;FT=D&amp;date=20171205&amp;CC=CN&amp;NR=206709830U&amp;KC=U")</f>
        <v>https://worldwide.espacenet.com/publicationDetails/biblio?II=413&amp;ND=3&amp;adjacent=true&amp;locale=en_EP&amp;FT=D&amp;date=20171205&amp;CC=CN&amp;NR=206709830U&amp;KC=U</v>
      </c>
    </row>
    <row r="416" spans="3:5" x14ac:dyDescent="0.25">
      <c r="C416" t="s">
        <v>804</v>
      </c>
      <c r="D416" t="s">
        <v>805</v>
      </c>
      <c r="E416" t="str">
        <f>HYPERLINK("https://worldwide.espacenet.com/publicationDetails/biblio?II=414&amp;ND=3&amp;adjacent=true&amp;locale=en_EP&amp;FT=D&amp;date=20171201&amp;CC=CN&amp;NR=206690137U&amp;KC=U")</f>
        <v>https://worldwide.espacenet.com/publicationDetails/biblio?II=414&amp;ND=3&amp;adjacent=true&amp;locale=en_EP&amp;FT=D&amp;date=20171201&amp;CC=CN&amp;NR=206690137U&amp;KC=U</v>
      </c>
    </row>
    <row r="417" spans="3:5" x14ac:dyDescent="0.25">
      <c r="C417" t="s">
        <v>806</v>
      </c>
      <c r="D417" t="s">
        <v>807</v>
      </c>
      <c r="E417" t="str">
        <f>HYPERLINK("https://worldwide.espacenet.com/publicationDetails/biblio?II=415&amp;ND=3&amp;adjacent=true&amp;locale=en_EP&amp;FT=D&amp;date=20171201&amp;CC=CN&amp;NR=206693811U&amp;KC=U")</f>
        <v>https://worldwide.espacenet.com/publicationDetails/biblio?II=415&amp;ND=3&amp;adjacent=true&amp;locale=en_EP&amp;FT=D&amp;date=20171201&amp;CC=CN&amp;NR=206693811U&amp;KC=U</v>
      </c>
    </row>
    <row r="418" spans="3:5" x14ac:dyDescent="0.25">
      <c r="C418" t="s">
        <v>808</v>
      </c>
      <c r="D418" t="s">
        <v>809</v>
      </c>
      <c r="E418" t="str">
        <f>HYPERLINK("https://worldwide.espacenet.com/publicationDetails/biblio?II=416&amp;ND=3&amp;adjacent=true&amp;locale=en_EP&amp;FT=D&amp;date=20171201&amp;CC=CN&amp;NR=206693279U&amp;KC=U")</f>
        <v>https://worldwide.espacenet.com/publicationDetails/biblio?II=416&amp;ND=3&amp;adjacent=true&amp;locale=en_EP&amp;FT=D&amp;date=20171201&amp;CC=CN&amp;NR=206693279U&amp;KC=U</v>
      </c>
    </row>
    <row r="419" spans="3:5" x14ac:dyDescent="0.25">
      <c r="C419" t="s">
        <v>810</v>
      </c>
      <c r="D419" t="s">
        <v>811</v>
      </c>
      <c r="E419" t="str">
        <f>HYPERLINK("https://worldwide.espacenet.com/publicationDetails/biblio?II=417&amp;ND=3&amp;adjacent=true&amp;locale=en_EP&amp;FT=D&amp;date=20171201&amp;CC=CN&amp;NR=107413636A&amp;KC=A")</f>
        <v>https://worldwide.espacenet.com/publicationDetails/biblio?II=417&amp;ND=3&amp;adjacent=true&amp;locale=en_EP&amp;FT=D&amp;date=20171201&amp;CC=CN&amp;NR=107413636A&amp;KC=A</v>
      </c>
    </row>
    <row r="420" spans="3:5" x14ac:dyDescent="0.25">
      <c r="C420" t="s">
        <v>812</v>
      </c>
      <c r="D420" t="s">
        <v>813</v>
      </c>
      <c r="E420" t="str">
        <f>HYPERLINK("https://worldwide.espacenet.com/publicationDetails/biblio?II=418&amp;ND=3&amp;adjacent=true&amp;locale=en_EP&amp;FT=D&amp;date=20171201&amp;CC=CN&amp;NR=107419742A&amp;KC=A")</f>
        <v>https://worldwide.espacenet.com/publicationDetails/biblio?II=418&amp;ND=3&amp;adjacent=true&amp;locale=en_EP&amp;FT=D&amp;date=20171201&amp;CC=CN&amp;NR=107419742A&amp;KC=A</v>
      </c>
    </row>
    <row r="421" spans="3:5" x14ac:dyDescent="0.25">
      <c r="C421" t="s">
        <v>814</v>
      </c>
      <c r="D421" t="s">
        <v>815</v>
      </c>
      <c r="E421" t="str">
        <f>HYPERLINK("https://worldwide.espacenet.com/publicationDetails/biblio?II=419&amp;ND=3&amp;adjacent=true&amp;locale=en_EP&amp;FT=D&amp;date=20171201&amp;CC=CN&amp;NR=107415880A&amp;KC=A")</f>
        <v>https://worldwide.espacenet.com/publicationDetails/biblio?II=419&amp;ND=3&amp;adjacent=true&amp;locale=en_EP&amp;FT=D&amp;date=20171201&amp;CC=CN&amp;NR=107415880A&amp;KC=A</v>
      </c>
    </row>
    <row r="422" spans="3:5" x14ac:dyDescent="0.25">
      <c r="C422" t="s">
        <v>816</v>
      </c>
      <c r="D422" t="s">
        <v>817</v>
      </c>
      <c r="E422" t="str">
        <f>HYPERLINK("https://worldwide.espacenet.com/publicationDetails/biblio?II=420&amp;ND=3&amp;adjacent=true&amp;locale=en_EP&amp;FT=D&amp;date=20171201&amp;CC=CN&amp;NR=107421666A&amp;KC=A")</f>
        <v>https://worldwide.espacenet.com/publicationDetails/biblio?II=420&amp;ND=3&amp;adjacent=true&amp;locale=en_EP&amp;FT=D&amp;date=20171201&amp;CC=CN&amp;NR=107421666A&amp;KC=A</v>
      </c>
    </row>
    <row r="423" spans="3:5" x14ac:dyDescent="0.25">
      <c r="C423" t="s">
        <v>818</v>
      </c>
      <c r="D423" t="s">
        <v>819</v>
      </c>
      <c r="E423" t="str">
        <f>HYPERLINK("https://worldwide.espacenet.com/publicationDetails/biblio?II=421&amp;ND=3&amp;adjacent=true&amp;locale=en_EP&amp;FT=D&amp;date=20171201&amp;CC=CN&amp;NR=107414781A&amp;KC=A")</f>
        <v>https://worldwide.espacenet.com/publicationDetails/biblio?II=421&amp;ND=3&amp;adjacent=true&amp;locale=en_EP&amp;FT=D&amp;date=20171201&amp;CC=CN&amp;NR=107414781A&amp;KC=A</v>
      </c>
    </row>
    <row r="424" spans="3:5" x14ac:dyDescent="0.25">
      <c r="C424" t="s">
        <v>820</v>
      </c>
      <c r="D424" t="s">
        <v>821</v>
      </c>
      <c r="E424" t="str">
        <f>HYPERLINK("https://worldwide.espacenet.com/publicationDetails/biblio?II=422&amp;ND=3&amp;adjacent=true&amp;locale=en_EP&amp;FT=D&amp;date=20170412&amp;CC=CN&amp;NR=206086398U&amp;KC=U")</f>
        <v>https://worldwide.espacenet.com/publicationDetails/biblio?II=422&amp;ND=3&amp;adjacent=true&amp;locale=en_EP&amp;FT=D&amp;date=20170412&amp;CC=CN&amp;NR=206086398U&amp;KC=U</v>
      </c>
    </row>
    <row r="425" spans="3:5" x14ac:dyDescent="0.25">
      <c r="C425" t="s">
        <v>822</v>
      </c>
      <c r="D425" t="s">
        <v>823</v>
      </c>
      <c r="E425" t="str">
        <f>HYPERLINK("https://worldwide.espacenet.com/publicationDetails/biblio?II=423&amp;ND=3&amp;adjacent=true&amp;locale=en_EP&amp;FT=D&amp;date=20180531&amp;CC=WO&amp;NR=2018096175A1&amp;KC=A1")</f>
        <v>https://worldwide.espacenet.com/publicationDetails/biblio?II=423&amp;ND=3&amp;adjacent=true&amp;locale=en_EP&amp;FT=D&amp;date=20180531&amp;CC=WO&amp;NR=2018096175A1&amp;KC=A1</v>
      </c>
    </row>
    <row r="426" spans="3:5" x14ac:dyDescent="0.25">
      <c r="C426" t="s">
        <v>167</v>
      </c>
      <c r="D426" t="s">
        <v>824</v>
      </c>
      <c r="E426" t="str">
        <f>HYPERLINK("https://worldwide.espacenet.com/publicationDetails/biblio?II=424&amp;ND=3&amp;adjacent=true&amp;locale=en_EP&amp;FT=D&amp;date=20171128&amp;CC=US&amp;NR=D803722S&amp;KC=S")</f>
        <v>https://worldwide.espacenet.com/publicationDetails/biblio?II=424&amp;ND=3&amp;adjacent=true&amp;locale=en_EP&amp;FT=D&amp;date=20171128&amp;CC=US&amp;NR=D803722S&amp;KC=S</v>
      </c>
    </row>
    <row r="427" spans="3:5" x14ac:dyDescent="0.25">
      <c r="C427" t="s">
        <v>825</v>
      </c>
      <c r="D427" t="s">
        <v>826</v>
      </c>
      <c r="E427" t="str">
        <f>HYPERLINK("https://worldwide.espacenet.com/publicationDetails/biblio?II=425&amp;ND=3&amp;adjacent=true&amp;locale=en_EP&amp;FT=D&amp;date=20171128&amp;CC=CN&amp;NR=206681234U&amp;KC=U")</f>
        <v>https://worldwide.espacenet.com/publicationDetails/biblio?II=425&amp;ND=3&amp;adjacent=true&amp;locale=en_EP&amp;FT=D&amp;date=20171128&amp;CC=CN&amp;NR=206681234U&amp;KC=U</v>
      </c>
    </row>
    <row r="428" spans="3:5" x14ac:dyDescent="0.25">
      <c r="C428" t="s">
        <v>827</v>
      </c>
      <c r="D428" t="s">
        <v>828</v>
      </c>
      <c r="E428" t="str">
        <f>HYPERLINK("https://worldwide.espacenet.com/publicationDetails/biblio?II=426&amp;ND=3&amp;adjacent=true&amp;locale=en_EP&amp;FT=D&amp;date=20171128&amp;CC=CN&amp;NR=107404239A&amp;KC=A")</f>
        <v>https://worldwide.espacenet.com/publicationDetails/biblio?II=426&amp;ND=3&amp;adjacent=true&amp;locale=en_EP&amp;FT=D&amp;date=20171128&amp;CC=CN&amp;NR=107404239A&amp;KC=A</v>
      </c>
    </row>
    <row r="429" spans="3:5" x14ac:dyDescent="0.25">
      <c r="C429" t="s">
        <v>829</v>
      </c>
      <c r="D429" t="s">
        <v>830</v>
      </c>
      <c r="E429" t="str">
        <f>HYPERLINK("https://worldwide.espacenet.com/publicationDetails/biblio?II=427&amp;ND=3&amp;adjacent=true&amp;locale=en_EP&amp;FT=D&amp;date=20171128&amp;CC=CN&amp;NR=206680859U&amp;KC=U")</f>
        <v>https://worldwide.espacenet.com/publicationDetails/biblio?II=427&amp;ND=3&amp;adjacent=true&amp;locale=en_EP&amp;FT=D&amp;date=20171128&amp;CC=CN&amp;NR=206680859U&amp;KC=U</v>
      </c>
    </row>
    <row r="430" spans="3:5" x14ac:dyDescent="0.25">
      <c r="C430" t="s">
        <v>831</v>
      </c>
      <c r="D430" t="s">
        <v>832</v>
      </c>
      <c r="E430" t="str">
        <f>HYPERLINK("https://worldwide.espacenet.com/publicationDetails/biblio?II=428&amp;ND=3&amp;adjacent=true&amp;locale=en_EP&amp;FT=D&amp;date=20171128&amp;CC=CN&amp;NR=206679112U&amp;KC=U")</f>
        <v>https://worldwide.espacenet.com/publicationDetails/biblio?II=428&amp;ND=3&amp;adjacent=true&amp;locale=en_EP&amp;FT=D&amp;date=20171128&amp;CC=CN&amp;NR=206679112U&amp;KC=U</v>
      </c>
    </row>
    <row r="431" spans="3:5" x14ac:dyDescent="0.25">
      <c r="C431" t="s">
        <v>833</v>
      </c>
      <c r="D431" t="s">
        <v>834</v>
      </c>
      <c r="E431" t="str">
        <f>HYPERLINK("https://worldwide.espacenet.com/publicationDetails/biblio?II=429&amp;ND=3&amp;adjacent=true&amp;locale=en_EP&amp;FT=D&amp;date=20171128&amp;CC=CN&amp;NR=206682208U&amp;KC=U")</f>
        <v>https://worldwide.espacenet.com/publicationDetails/biblio?II=429&amp;ND=3&amp;adjacent=true&amp;locale=en_EP&amp;FT=D&amp;date=20171128&amp;CC=CN&amp;NR=206682208U&amp;KC=U</v>
      </c>
    </row>
    <row r="432" spans="3:5" x14ac:dyDescent="0.25">
      <c r="C432" t="s">
        <v>835</v>
      </c>
      <c r="D432" t="s">
        <v>836</v>
      </c>
      <c r="E432" t="str">
        <f>HYPERLINK("https://worldwide.espacenet.com/publicationDetails/biblio?II=430&amp;ND=3&amp;adjacent=true&amp;locale=en_EP&amp;FT=D&amp;date=20171128&amp;CC=CN&amp;NR=107401412A&amp;KC=A")</f>
        <v>https://worldwide.espacenet.com/publicationDetails/biblio?II=430&amp;ND=3&amp;adjacent=true&amp;locale=en_EP&amp;FT=D&amp;date=20171128&amp;CC=CN&amp;NR=107401412A&amp;KC=A</v>
      </c>
    </row>
    <row r="433" spans="3:5" x14ac:dyDescent="0.25">
      <c r="C433" t="s">
        <v>837</v>
      </c>
      <c r="D433" t="s">
        <v>838</v>
      </c>
      <c r="E433" t="str">
        <f>HYPERLINK("https://worldwide.espacenet.com/publicationDetails/biblio?II=431&amp;ND=3&amp;adjacent=true&amp;locale=en_EP&amp;FT=D&amp;date=20171124&amp;CC=CN&amp;NR=206669255U&amp;KC=U")</f>
        <v>https://worldwide.espacenet.com/publicationDetails/biblio?II=431&amp;ND=3&amp;adjacent=true&amp;locale=en_EP&amp;FT=D&amp;date=20171124&amp;CC=CN&amp;NR=206669255U&amp;KC=U</v>
      </c>
    </row>
    <row r="434" spans="3:5" x14ac:dyDescent="0.25">
      <c r="C434" t="s">
        <v>839</v>
      </c>
      <c r="D434" t="s">
        <v>840</v>
      </c>
      <c r="E434" t="str">
        <f>HYPERLINK("https://worldwide.espacenet.com/publicationDetails/biblio?II=432&amp;ND=3&amp;adjacent=true&amp;locale=en_EP&amp;FT=D&amp;date=20171124&amp;CC=CN&amp;NR=206664800U&amp;KC=U")</f>
        <v>https://worldwide.espacenet.com/publicationDetails/biblio?II=432&amp;ND=3&amp;adjacent=true&amp;locale=en_EP&amp;FT=D&amp;date=20171124&amp;CC=CN&amp;NR=206664800U&amp;KC=U</v>
      </c>
    </row>
    <row r="435" spans="3:5" x14ac:dyDescent="0.25">
      <c r="C435" t="s">
        <v>841</v>
      </c>
      <c r="D435" t="s">
        <v>842</v>
      </c>
      <c r="E435" t="str">
        <f>HYPERLINK("https://worldwide.espacenet.com/publicationDetails/biblio?II=433&amp;ND=3&amp;adjacent=true&amp;locale=en_EP&amp;FT=D&amp;date=20171124&amp;CC=CN&amp;NR=206658410U&amp;KC=U")</f>
        <v>https://worldwide.espacenet.com/publicationDetails/biblio?II=433&amp;ND=3&amp;adjacent=true&amp;locale=en_EP&amp;FT=D&amp;date=20171124&amp;CC=CN&amp;NR=206658410U&amp;KC=U</v>
      </c>
    </row>
    <row r="436" spans="3:5" x14ac:dyDescent="0.25">
      <c r="C436" t="s">
        <v>843</v>
      </c>
      <c r="D436" t="s">
        <v>844</v>
      </c>
      <c r="E436" t="str">
        <f>HYPERLINK("https://worldwide.espacenet.com/publicationDetails/biblio?II=434&amp;ND=3&amp;adjacent=true&amp;locale=en_EP&amp;FT=D&amp;date=20171124&amp;CC=CN&amp;NR=206668224U&amp;KC=U")</f>
        <v>https://worldwide.espacenet.com/publicationDetails/biblio?II=434&amp;ND=3&amp;adjacent=true&amp;locale=en_EP&amp;FT=D&amp;date=20171124&amp;CC=CN&amp;NR=206668224U&amp;KC=U</v>
      </c>
    </row>
    <row r="437" spans="3:5" x14ac:dyDescent="0.25">
      <c r="C437" t="s">
        <v>845</v>
      </c>
      <c r="D437" t="s">
        <v>846</v>
      </c>
      <c r="E437" t="str">
        <f>HYPERLINK("https://worldwide.espacenet.com/publicationDetails/biblio?II=435&amp;ND=3&amp;adjacent=true&amp;locale=en_EP&amp;FT=D&amp;date=20171013&amp;CC=CN&amp;NR=206553061U&amp;KC=U")</f>
        <v>https://worldwide.espacenet.com/publicationDetails/biblio?II=435&amp;ND=3&amp;adjacent=true&amp;locale=en_EP&amp;FT=D&amp;date=20171013&amp;CC=CN&amp;NR=206553061U&amp;KC=U</v>
      </c>
    </row>
    <row r="438" spans="3:5" x14ac:dyDescent="0.25">
      <c r="C438" t="s">
        <v>847</v>
      </c>
      <c r="D438" t="s">
        <v>848</v>
      </c>
      <c r="E438" t="str">
        <f>HYPERLINK("https://worldwide.espacenet.com/publicationDetails/biblio?II=436&amp;ND=3&amp;adjacent=true&amp;locale=en_EP&amp;FT=D&amp;date=20171124&amp;CC=CN&amp;NR=206664791U&amp;KC=U")</f>
        <v>https://worldwide.espacenet.com/publicationDetails/biblio?II=436&amp;ND=3&amp;adjacent=true&amp;locale=en_EP&amp;FT=D&amp;date=20171124&amp;CC=CN&amp;NR=206664791U&amp;KC=U</v>
      </c>
    </row>
    <row r="439" spans="3:5" x14ac:dyDescent="0.25">
      <c r="C439" t="s">
        <v>849</v>
      </c>
      <c r="D439" t="s">
        <v>850</v>
      </c>
      <c r="E439" t="str">
        <f>HYPERLINK("https://worldwide.espacenet.com/publicationDetails/biblio?II=437&amp;ND=3&amp;adjacent=true&amp;locale=en_EP&amp;FT=D&amp;date=20171124&amp;CC=CN&amp;NR=107374911A&amp;KC=A")</f>
        <v>https://worldwide.espacenet.com/publicationDetails/biblio?II=437&amp;ND=3&amp;adjacent=true&amp;locale=en_EP&amp;FT=D&amp;date=20171124&amp;CC=CN&amp;NR=107374911A&amp;KC=A</v>
      </c>
    </row>
    <row r="440" spans="3:5" x14ac:dyDescent="0.25">
      <c r="C440" t="s">
        <v>851</v>
      </c>
      <c r="D440" t="s">
        <v>852</v>
      </c>
      <c r="E440" t="str">
        <f>HYPERLINK("https://worldwide.espacenet.com/publicationDetails/biblio?II=438&amp;ND=3&amp;adjacent=true&amp;locale=en_EP&amp;FT=D&amp;date=20171124&amp;CC=CN&amp;NR=107380298A&amp;KC=A")</f>
        <v>https://worldwide.espacenet.com/publicationDetails/biblio?II=438&amp;ND=3&amp;adjacent=true&amp;locale=en_EP&amp;FT=D&amp;date=20171124&amp;CC=CN&amp;NR=107380298A&amp;KC=A</v>
      </c>
    </row>
    <row r="441" spans="3:5" x14ac:dyDescent="0.25">
      <c r="C441" t="s">
        <v>853</v>
      </c>
      <c r="D441" t="s">
        <v>854</v>
      </c>
      <c r="E441" t="str">
        <f>HYPERLINK("https://worldwide.espacenet.com/publicationDetails/biblio?II=439&amp;ND=3&amp;adjacent=true&amp;locale=en_EP&amp;FT=D&amp;date=20171121&amp;CC=CN&amp;NR=206654150U&amp;KC=U")</f>
        <v>https://worldwide.espacenet.com/publicationDetails/biblio?II=439&amp;ND=3&amp;adjacent=true&amp;locale=en_EP&amp;FT=D&amp;date=20171121&amp;CC=CN&amp;NR=206654150U&amp;KC=U</v>
      </c>
    </row>
    <row r="442" spans="3:5" x14ac:dyDescent="0.25">
      <c r="C442" t="s">
        <v>855</v>
      </c>
      <c r="D442" t="s">
        <v>856</v>
      </c>
      <c r="E442" t="str">
        <f>HYPERLINK("https://worldwide.espacenet.com/publicationDetails/biblio?II=440&amp;ND=3&amp;adjacent=true&amp;locale=en_EP&amp;FT=D&amp;date=20171121&amp;CC=CN&amp;NR=107368081A&amp;KC=A")</f>
        <v>https://worldwide.espacenet.com/publicationDetails/biblio?II=440&amp;ND=3&amp;adjacent=true&amp;locale=en_EP&amp;FT=D&amp;date=20171121&amp;CC=CN&amp;NR=107368081A&amp;KC=A</v>
      </c>
    </row>
    <row r="443" spans="3:5" x14ac:dyDescent="0.25">
      <c r="C443" t="s">
        <v>857</v>
      </c>
      <c r="D443" t="s">
        <v>858</v>
      </c>
      <c r="E443" t="str">
        <f>HYPERLINK("https://worldwide.espacenet.com/publicationDetails/biblio?II=441&amp;ND=3&amp;adjacent=true&amp;locale=en_EP&amp;FT=D&amp;date=20171121&amp;CC=CN&amp;NR=107362976A&amp;KC=A")</f>
        <v>https://worldwide.espacenet.com/publicationDetails/biblio?II=441&amp;ND=3&amp;adjacent=true&amp;locale=en_EP&amp;FT=D&amp;date=20171121&amp;CC=CN&amp;NR=107362976A&amp;KC=A</v>
      </c>
    </row>
    <row r="444" spans="3:5" x14ac:dyDescent="0.25">
      <c r="C444" t="s">
        <v>859</v>
      </c>
      <c r="D444" t="s">
        <v>860</v>
      </c>
      <c r="E444" t="str">
        <f>HYPERLINK("https://worldwide.espacenet.com/publicationDetails/biblio?II=442&amp;ND=3&amp;adjacent=true&amp;locale=en_EP&amp;FT=D&amp;date=20171121&amp;CC=CN&amp;NR=107364127A&amp;KC=A")</f>
        <v>https://worldwide.espacenet.com/publicationDetails/biblio?II=442&amp;ND=3&amp;adjacent=true&amp;locale=en_EP&amp;FT=D&amp;date=20171121&amp;CC=CN&amp;NR=107364127A&amp;KC=A</v>
      </c>
    </row>
    <row r="445" spans="3:5" x14ac:dyDescent="0.25">
      <c r="C445" t="s">
        <v>861</v>
      </c>
      <c r="D445" t="s">
        <v>862</v>
      </c>
      <c r="E445" t="str">
        <f>HYPERLINK("https://worldwide.espacenet.com/publicationDetails/biblio?II=443&amp;ND=3&amp;adjacent=true&amp;locale=en_EP&amp;FT=D&amp;date=20171121&amp;CC=CN&amp;NR=107364523A&amp;KC=A")</f>
        <v>https://worldwide.espacenet.com/publicationDetails/biblio?II=443&amp;ND=3&amp;adjacent=true&amp;locale=en_EP&amp;FT=D&amp;date=20171121&amp;CC=CN&amp;NR=107364523A&amp;KC=A</v>
      </c>
    </row>
    <row r="446" spans="3:5" x14ac:dyDescent="0.25">
      <c r="C446" t="s">
        <v>863</v>
      </c>
      <c r="D446" t="s">
        <v>864</v>
      </c>
      <c r="E446" t="str">
        <f>HYPERLINK("https://worldwide.espacenet.com/publicationDetails/biblio?II=444&amp;ND=3&amp;adjacent=true&amp;locale=en_EP&amp;FT=D&amp;date=20010425&amp;CC=KR&amp;NR=20010034003A&amp;KC=A")</f>
        <v>https://worldwide.espacenet.com/publicationDetails/biblio?II=444&amp;ND=3&amp;adjacent=true&amp;locale=en_EP&amp;FT=D&amp;date=20010425&amp;CC=KR&amp;NR=20010034003A&amp;KC=A</v>
      </c>
    </row>
    <row r="447" spans="3:5" x14ac:dyDescent="0.25">
      <c r="C447" t="e">
        <f>- SELF-BALANCING SHIELDED BIPOLAR IONIZER</f>
        <v>#NAME?</v>
      </c>
      <c r="D447" t="s">
        <v>865</v>
      </c>
      <c r="E447" t="str">
        <f>HYPERLINK("https://worldwide.espacenet.com/publicationDetails/biblio?II=445&amp;ND=3&amp;adjacent=true&amp;locale=en_EP&amp;FT=D&amp;date=20010425&amp;CC=KR&amp;NR=20010034145A&amp;KC=A")</f>
        <v>https://worldwide.espacenet.com/publicationDetails/biblio?II=445&amp;ND=3&amp;adjacent=true&amp;locale=en_EP&amp;FT=D&amp;date=20010425&amp;CC=KR&amp;NR=20010034145A&amp;KC=A</v>
      </c>
    </row>
    <row r="448" spans="3:5" x14ac:dyDescent="0.25">
      <c r="C448" t="s">
        <v>866</v>
      </c>
      <c r="D448" t="s">
        <v>867</v>
      </c>
      <c r="E448" t="str">
        <f>HYPERLINK("https://worldwide.espacenet.com/publicationDetails/biblio?II=446&amp;ND=3&amp;adjacent=true&amp;locale=en_EP&amp;FT=D&amp;date=20171117&amp;CC=CN&amp;NR=206646413U&amp;KC=U")</f>
        <v>https://worldwide.espacenet.com/publicationDetails/biblio?II=446&amp;ND=3&amp;adjacent=true&amp;locale=en_EP&amp;FT=D&amp;date=20171117&amp;CC=CN&amp;NR=206646413U&amp;KC=U</v>
      </c>
    </row>
    <row r="449" spans="3:5" x14ac:dyDescent="0.25">
      <c r="C449" t="s">
        <v>868</v>
      </c>
      <c r="D449" t="s">
        <v>869</v>
      </c>
      <c r="E449" t="str">
        <f>HYPERLINK("https://worldwide.espacenet.com/publicationDetails/biblio?II=447&amp;ND=3&amp;adjacent=true&amp;locale=en_EP&amp;FT=D&amp;date=20171117&amp;CC=CN&amp;NR=206644922U&amp;KC=U")</f>
        <v>https://worldwide.espacenet.com/publicationDetails/biblio?II=447&amp;ND=3&amp;adjacent=true&amp;locale=en_EP&amp;FT=D&amp;date=20171117&amp;CC=CN&amp;NR=206644922U&amp;KC=U</v>
      </c>
    </row>
    <row r="450" spans="3:5" x14ac:dyDescent="0.25">
      <c r="C450" t="s">
        <v>870</v>
      </c>
      <c r="D450" t="s">
        <v>871</v>
      </c>
      <c r="E450" t="str">
        <f>HYPERLINK("https://worldwide.espacenet.com/publicationDetails/biblio?II=448&amp;ND=3&amp;adjacent=true&amp;locale=en_EP&amp;FT=D&amp;date=20171117&amp;CC=CN&amp;NR=107351987A&amp;KC=A")</f>
        <v>https://worldwide.espacenet.com/publicationDetails/biblio?II=448&amp;ND=3&amp;adjacent=true&amp;locale=en_EP&amp;FT=D&amp;date=20171117&amp;CC=CN&amp;NR=107351987A&amp;KC=A</v>
      </c>
    </row>
    <row r="451" spans="3:5" x14ac:dyDescent="0.25">
      <c r="C451" t="s">
        <v>872</v>
      </c>
      <c r="D451" t="s">
        <v>873</v>
      </c>
      <c r="E451" t="str">
        <f>HYPERLINK("https://worldwide.espacenet.com/publicationDetails/biblio?II=449&amp;ND=3&amp;adjacent=true&amp;locale=en_EP&amp;FT=D&amp;date=20171102&amp;CC=RU&amp;NR=2016116903A&amp;KC=A")</f>
        <v>https://worldwide.espacenet.com/publicationDetails/biblio?II=449&amp;ND=3&amp;adjacent=true&amp;locale=en_EP&amp;FT=D&amp;date=20171102&amp;CC=RU&amp;NR=2016116903A&amp;KC=A</v>
      </c>
    </row>
    <row r="452" spans="3:5" x14ac:dyDescent="0.25">
      <c r="C452" t="s">
        <v>874</v>
      </c>
      <c r="D452" t="s">
        <v>875</v>
      </c>
      <c r="E452" t="str">
        <f>HYPERLINK("https://worldwide.espacenet.com/publicationDetails/biblio?II=450&amp;ND=3&amp;adjacent=true&amp;locale=en_EP&amp;FT=D&amp;date=20171114&amp;CC=CN&amp;NR=107344587A&amp;KC=A")</f>
        <v>https://worldwide.espacenet.com/publicationDetails/biblio?II=450&amp;ND=3&amp;adjacent=true&amp;locale=en_EP&amp;FT=D&amp;date=20171114&amp;CC=CN&amp;NR=107344587A&amp;KC=A</v>
      </c>
    </row>
    <row r="453" spans="3:5" x14ac:dyDescent="0.25">
      <c r="C453" t="s">
        <v>560</v>
      </c>
      <c r="D453" t="s">
        <v>876</v>
      </c>
      <c r="E453" t="str">
        <f>HYPERLINK("https://worldwide.espacenet.com/publicationDetails/biblio?II=451&amp;ND=3&amp;adjacent=true&amp;locale=en_EP&amp;FT=D&amp;date=20171114&amp;CC=CN&amp;NR=107344588A&amp;KC=A")</f>
        <v>https://worldwide.espacenet.com/publicationDetails/biblio?II=451&amp;ND=3&amp;adjacent=true&amp;locale=en_EP&amp;FT=D&amp;date=20171114&amp;CC=CN&amp;NR=107344588A&amp;KC=A</v>
      </c>
    </row>
    <row r="454" spans="3:5" x14ac:dyDescent="0.25">
      <c r="C454" t="s">
        <v>877</v>
      </c>
      <c r="D454" t="s">
        <v>878</v>
      </c>
      <c r="E454" t="str">
        <f>HYPERLINK("https://worldwide.espacenet.com/publicationDetails/biblio?II=452&amp;ND=3&amp;adjacent=true&amp;locale=en_EP&amp;FT=D&amp;date=20171114&amp;CC=CN&amp;NR=206635781U&amp;KC=U")</f>
        <v>https://worldwide.espacenet.com/publicationDetails/biblio?II=452&amp;ND=3&amp;adjacent=true&amp;locale=en_EP&amp;FT=D&amp;date=20171114&amp;CC=CN&amp;NR=206635781U&amp;KC=U</v>
      </c>
    </row>
    <row r="455" spans="3:5" x14ac:dyDescent="0.25">
      <c r="C455" t="s">
        <v>879</v>
      </c>
      <c r="D455" t="s">
        <v>880</v>
      </c>
      <c r="E455" t="str">
        <f>HYPERLINK("https://worldwide.espacenet.com/publicationDetails/biblio?II=453&amp;ND=3&amp;adjacent=true&amp;locale=en_EP&amp;FT=D&amp;date=20170517&amp;CC=CN&amp;NR=206171644U&amp;KC=U")</f>
        <v>https://worldwide.espacenet.com/publicationDetails/biblio?II=453&amp;ND=3&amp;adjacent=true&amp;locale=en_EP&amp;FT=D&amp;date=20170517&amp;CC=CN&amp;NR=206171644U&amp;KC=U</v>
      </c>
    </row>
    <row r="456" spans="3:5" x14ac:dyDescent="0.25">
      <c r="C456" t="s">
        <v>881</v>
      </c>
      <c r="D456" t="s">
        <v>882</v>
      </c>
      <c r="E456" t="str">
        <f>HYPERLINK("https://worldwide.espacenet.com/publicationDetails/biblio?II=454&amp;ND=3&amp;adjacent=true&amp;locale=en_EP&amp;FT=D&amp;date=20171107&amp;CC=CN&amp;NR=107320293A&amp;KC=A")</f>
        <v>https://worldwide.espacenet.com/publicationDetails/biblio?II=454&amp;ND=3&amp;adjacent=true&amp;locale=en_EP&amp;FT=D&amp;date=20171107&amp;CC=CN&amp;NR=107320293A&amp;KC=A</v>
      </c>
    </row>
    <row r="457" spans="3:5" x14ac:dyDescent="0.25">
      <c r="C457" t="s">
        <v>883</v>
      </c>
      <c r="D457" t="s">
        <v>884</v>
      </c>
      <c r="E457" t="str">
        <f>HYPERLINK("https://worldwide.espacenet.com/publicationDetails/biblio?II=455&amp;ND=3&amp;adjacent=true&amp;locale=en_EP&amp;FT=D&amp;date=20171110&amp;CC=CN&amp;NR=107340185A&amp;KC=A")</f>
        <v>https://worldwide.espacenet.com/publicationDetails/biblio?II=455&amp;ND=3&amp;adjacent=true&amp;locale=en_EP&amp;FT=D&amp;date=20171110&amp;CC=CN&amp;NR=107340185A&amp;KC=A</v>
      </c>
    </row>
    <row r="458" spans="3:5" x14ac:dyDescent="0.25">
      <c r="C458" t="s">
        <v>885</v>
      </c>
      <c r="D458" t="s">
        <v>886</v>
      </c>
      <c r="E458" t="str">
        <f>HYPERLINK("https://worldwide.espacenet.com/publicationDetails/biblio?II=456&amp;ND=3&amp;adjacent=true&amp;locale=en_EP&amp;FT=D&amp;date=20171110&amp;CC=CN&amp;NR=107336775A&amp;KC=A")</f>
        <v>https://worldwide.espacenet.com/publicationDetails/biblio?II=456&amp;ND=3&amp;adjacent=true&amp;locale=en_EP&amp;FT=D&amp;date=20171110&amp;CC=CN&amp;NR=107336775A&amp;KC=A</v>
      </c>
    </row>
    <row r="459" spans="3:5" x14ac:dyDescent="0.25">
      <c r="C459" t="s">
        <v>887</v>
      </c>
      <c r="D459" t="s">
        <v>888</v>
      </c>
      <c r="E459" t="str">
        <f>HYPERLINK("https://worldwide.espacenet.com/publicationDetails/biblio?II=457&amp;ND=3&amp;adjacent=true&amp;locale=en_EP&amp;FT=D&amp;date=20171110&amp;CC=CN&amp;NR=206621140U&amp;KC=U")</f>
        <v>https://worldwide.espacenet.com/publicationDetails/biblio?II=457&amp;ND=3&amp;adjacent=true&amp;locale=en_EP&amp;FT=D&amp;date=20171110&amp;CC=CN&amp;NR=206621140U&amp;KC=U</v>
      </c>
    </row>
    <row r="460" spans="3:5" x14ac:dyDescent="0.25">
      <c r="C460" t="s">
        <v>889</v>
      </c>
      <c r="D460" t="s">
        <v>890</v>
      </c>
      <c r="E460" t="str">
        <f>HYPERLINK("https://worldwide.espacenet.com/publicationDetails/biblio?II=458&amp;ND=3&amp;adjacent=true&amp;locale=en_EP&amp;FT=D&amp;date=20171107&amp;CC=CN&amp;NR=107321969A&amp;KC=A")</f>
        <v>https://worldwide.espacenet.com/publicationDetails/biblio?II=458&amp;ND=3&amp;adjacent=true&amp;locale=en_EP&amp;FT=D&amp;date=20171107&amp;CC=CN&amp;NR=107321969A&amp;KC=A</v>
      </c>
    </row>
    <row r="461" spans="3:5" x14ac:dyDescent="0.25">
      <c r="C461" t="s">
        <v>891</v>
      </c>
      <c r="D461" t="s">
        <v>892</v>
      </c>
      <c r="E461" t="str">
        <f>HYPERLINK("https://worldwide.espacenet.com/publicationDetails/biblio?II=459&amp;ND=3&amp;adjacent=true&amp;locale=en_EP&amp;FT=D&amp;date=20171107&amp;CC=CN&amp;NR=107328664A&amp;KC=A")</f>
        <v>https://worldwide.espacenet.com/publicationDetails/biblio?II=459&amp;ND=3&amp;adjacent=true&amp;locale=en_EP&amp;FT=D&amp;date=20171107&amp;CC=CN&amp;NR=107328664A&amp;KC=A</v>
      </c>
    </row>
    <row r="462" spans="3:5" x14ac:dyDescent="0.25">
      <c r="C462" t="s">
        <v>893</v>
      </c>
      <c r="D462" t="s">
        <v>894</v>
      </c>
      <c r="E462" t="str">
        <f>HYPERLINK("https://worldwide.espacenet.com/publicationDetails/biblio?II=460&amp;ND=3&amp;adjacent=true&amp;locale=en_EP&amp;FT=D&amp;date=20171107&amp;CC=CN&amp;NR=107323603A&amp;KC=A")</f>
        <v>https://worldwide.espacenet.com/publicationDetails/biblio?II=460&amp;ND=3&amp;adjacent=true&amp;locale=en_EP&amp;FT=D&amp;date=20171107&amp;CC=CN&amp;NR=107323603A&amp;KC=A</v>
      </c>
    </row>
    <row r="463" spans="3:5" x14ac:dyDescent="0.25">
      <c r="C463" t="s">
        <v>895</v>
      </c>
      <c r="D463" t="s">
        <v>896</v>
      </c>
      <c r="E463" t="str">
        <f>HYPERLINK("https://worldwide.espacenet.com/publicationDetails/biblio?II=461&amp;ND=3&amp;adjacent=true&amp;locale=en_EP&amp;FT=D&amp;date=20171107&amp;CC=CN&amp;NR=107332380A&amp;KC=A")</f>
        <v>https://worldwide.espacenet.com/publicationDetails/biblio?II=461&amp;ND=3&amp;adjacent=true&amp;locale=en_EP&amp;FT=D&amp;date=20171107&amp;CC=CN&amp;NR=107332380A&amp;KC=A</v>
      </c>
    </row>
    <row r="464" spans="3:5" x14ac:dyDescent="0.25">
      <c r="C464" t="s">
        <v>897</v>
      </c>
      <c r="D464" t="s">
        <v>898</v>
      </c>
      <c r="E464" t="str">
        <f>HYPERLINK("https://worldwide.espacenet.com/publicationDetails/biblio?II=462&amp;ND=3&amp;adjacent=true&amp;locale=en_EP&amp;FT=D&amp;date=20170801&amp;CC=TW&amp;NR=201726471A&amp;KC=A")</f>
        <v>https://worldwide.espacenet.com/publicationDetails/biblio?II=462&amp;ND=3&amp;adjacent=true&amp;locale=en_EP&amp;FT=D&amp;date=20170801&amp;CC=TW&amp;NR=201726471A&amp;KC=A</v>
      </c>
    </row>
    <row r="465" spans="3:5" x14ac:dyDescent="0.25">
      <c r="C465" t="s">
        <v>899</v>
      </c>
      <c r="D465" t="s">
        <v>900</v>
      </c>
      <c r="E465" t="str">
        <f>HYPERLINK("https://worldwide.espacenet.com/publicationDetails/biblio?II=463&amp;ND=3&amp;adjacent=true&amp;locale=en_EP&amp;FT=D&amp;date=20171103&amp;CC=CN&amp;NR=206608316U&amp;KC=U")</f>
        <v>https://worldwide.espacenet.com/publicationDetails/biblio?II=463&amp;ND=3&amp;adjacent=true&amp;locale=en_EP&amp;FT=D&amp;date=20171103&amp;CC=CN&amp;NR=206608316U&amp;KC=U</v>
      </c>
    </row>
    <row r="466" spans="3:5" x14ac:dyDescent="0.25">
      <c r="C466" t="s">
        <v>901</v>
      </c>
      <c r="D466" t="s">
        <v>902</v>
      </c>
      <c r="E466" t="str">
        <f>HYPERLINK("https://worldwide.espacenet.com/publicationDetails/biblio?II=464&amp;ND=3&amp;adjacent=true&amp;locale=en_EP&amp;FT=D&amp;date=20171103&amp;CC=CN&amp;NR=206607586U&amp;KC=U")</f>
        <v>https://worldwide.espacenet.com/publicationDetails/biblio?II=464&amp;ND=3&amp;adjacent=true&amp;locale=en_EP&amp;FT=D&amp;date=20171103&amp;CC=CN&amp;NR=206607586U&amp;KC=U</v>
      </c>
    </row>
    <row r="467" spans="3:5" x14ac:dyDescent="0.25">
      <c r="C467" t="s">
        <v>903</v>
      </c>
      <c r="D467" t="s">
        <v>904</v>
      </c>
      <c r="E467" t="str">
        <f>HYPERLINK("https://worldwide.espacenet.com/publicationDetails/biblio?II=465&amp;ND=3&amp;adjacent=true&amp;locale=en_EP&amp;FT=D&amp;date=20171031&amp;CC=CN&amp;NR=107305750A&amp;KC=A")</f>
        <v>https://worldwide.espacenet.com/publicationDetails/biblio?II=465&amp;ND=3&amp;adjacent=true&amp;locale=en_EP&amp;FT=D&amp;date=20171031&amp;CC=CN&amp;NR=107305750A&amp;KC=A</v>
      </c>
    </row>
    <row r="468" spans="3:5" x14ac:dyDescent="0.25">
      <c r="C468" t="s">
        <v>905</v>
      </c>
      <c r="D468" t="s">
        <v>906</v>
      </c>
      <c r="E468" t="str">
        <f>HYPERLINK("https://worldwide.espacenet.com/publicationDetails/biblio?II=466&amp;ND=3&amp;adjacent=true&amp;locale=en_EP&amp;FT=D&amp;date=20171031&amp;CC=CN&amp;NR=206599729U&amp;KC=U")</f>
        <v>https://worldwide.espacenet.com/publicationDetails/biblio?II=466&amp;ND=3&amp;adjacent=true&amp;locale=en_EP&amp;FT=D&amp;date=20171031&amp;CC=CN&amp;NR=206599729U&amp;KC=U</v>
      </c>
    </row>
    <row r="469" spans="3:5" x14ac:dyDescent="0.25">
      <c r="C469" t="s">
        <v>907</v>
      </c>
      <c r="D469" t="s">
        <v>908</v>
      </c>
      <c r="E469" t="str">
        <f>HYPERLINK("https://worldwide.espacenet.com/publicationDetails/biblio?II=467&amp;ND=3&amp;adjacent=true&amp;locale=en_EP&amp;FT=D&amp;date=20171031&amp;CC=CN&amp;NR=206599248U&amp;KC=U")</f>
        <v>https://worldwide.espacenet.com/publicationDetails/biblio?II=467&amp;ND=3&amp;adjacent=true&amp;locale=en_EP&amp;FT=D&amp;date=20171031&amp;CC=CN&amp;NR=206599248U&amp;KC=U</v>
      </c>
    </row>
    <row r="470" spans="3:5" x14ac:dyDescent="0.25">
      <c r="C470" t="s">
        <v>909</v>
      </c>
      <c r="D470" t="s">
        <v>910</v>
      </c>
      <c r="E470" t="str">
        <f>HYPERLINK("https://worldwide.espacenet.com/publicationDetails/biblio?II=468&amp;ND=3&amp;adjacent=true&amp;locale=en_EP&amp;FT=D&amp;date=20171027&amp;CC=CN&amp;NR=206588473U&amp;KC=U")</f>
        <v>https://worldwide.espacenet.com/publicationDetails/biblio?II=468&amp;ND=3&amp;adjacent=true&amp;locale=en_EP&amp;FT=D&amp;date=20171027&amp;CC=CN&amp;NR=206588473U&amp;KC=U</v>
      </c>
    </row>
    <row r="471" spans="3:5" x14ac:dyDescent="0.25">
      <c r="C471" t="s">
        <v>911</v>
      </c>
      <c r="D471" t="s">
        <v>912</v>
      </c>
      <c r="E471" t="str">
        <f>HYPERLINK("https://worldwide.espacenet.com/publicationDetails/biblio?II=469&amp;ND=3&amp;adjacent=true&amp;locale=en_EP&amp;FT=D&amp;date=20171027&amp;CC=CN&amp;NR=206592076U&amp;KC=U")</f>
        <v>https://worldwide.espacenet.com/publicationDetails/biblio?II=469&amp;ND=3&amp;adjacent=true&amp;locale=en_EP&amp;FT=D&amp;date=20171027&amp;CC=CN&amp;NR=206592076U&amp;KC=U</v>
      </c>
    </row>
    <row r="472" spans="3:5" x14ac:dyDescent="0.25">
      <c r="C472" t="s">
        <v>913</v>
      </c>
      <c r="D472" t="s">
        <v>914</v>
      </c>
      <c r="E472" t="str">
        <f>HYPERLINK("https://worldwide.espacenet.com/publicationDetails/biblio?II=470&amp;ND=3&amp;adjacent=true&amp;locale=en_EP&amp;FT=D&amp;date=20171027&amp;CC=CN&amp;NR=206591836U&amp;KC=U")</f>
        <v>https://worldwide.espacenet.com/publicationDetails/biblio?II=470&amp;ND=3&amp;adjacent=true&amp;locale=en_EP&amp;FT=D&amp;date=20171027&amp;CC=CN&amp;NR=206591836U&amp;KC=U</v>
      </c>
    </row>
    <row r="473" spans="3:5" x14ac:dyDescent="0.25">
      <c r="C473" t="s">
        <v>915</v>
      </c>
      <c r="D473" t="s">
        <v>916</v>
      </c>
      <c r="E473" t="str">
        <f>HYPERLINK("https://worldwide.espacenet.com/publicationDetails/biblio?II=471&amp;ND=3&amp;adjacent=true&amp;locale=en_EP&amp;FT=D&amp;date=20171027&amp;CC=CN&amp;NR=206593654U&amp;KC=U")</f>
        <v>https://worldwide.espacenet.com/publicationDetails/biblio?II=471&amp;ND=3&amp;adjacent=true&amp;locale=en_EP&amp;FT=D&amp;date=20171027&amp;CC=CN&amp;NR=206593654U&amp;KC=U</v>
      </c>
    </row>
    <row r="474" spans="3:5" x14ac:dyDescent="0.25">
      <c r="C474" t="s">
        <v>917</v>
      </c>
      <c r="D474" t="s">
        <v>918</v>
      </c>
      <c r="E474" t="str">
        <f>HYPERLINK("https://worldwide.espacenet.com/publicationDetails/biblio?II=472&amp;ND=3&amp;adjacent=true&amp;locale=en_EP&amp;FT=D&amp;date=20171027&amp;CC=CN&amp;NR=206594528U&amp;KC=U")</f>
        <v>https://worldwide.espacenet.com/publicationDetails/biblio?II=472&amp;ND=3&amp;adjacent=true&amp;locale=en_EP&amp;FT=D&amp;date=20171027&amp;CC=CN&amp;NR=206594528U&amp;KC=U</v>
      </c>
    </row>
    <row r="475" spans="3:5" x14ac:dyDescent="0.25">
      <c r="C475" t="s">
        <v>919</v>
      </c>
      <c r="D475" t="s">
        <v>920</v>
      </c>
      <c r="E475" t="str">
        <f>HYPERLINK("https://worldwide.espacenet.com/publicationDetails/biblio?II=473&amp;ND=3&amp;adjacent=true&amp;locale=en_EP&amp;FT=D&amp;date=20171024&amp;CC=CN&amp;NR=206580431U&amp;KC=U")</f>
        <v>https://worldwide.espacenet.com/publicationDetails/biblio?II=473&amp;ND=3&amp;adjacent=true&amp;locale=en_EP&amp;FT=D&amp;date=20171024&amp;CC=CN&amp;NR=206580431U&amp;KC=U</v>
      </c>
    </row>
    <row r="476" spans="3:5" x14ac:dyDescent="0.25">
      <c r="C476" t="s">
        <v>921</v>
      </c>
      <c r="D476" t="s">
        <v>922</v>
      </c>
      <c r="E476" t="str">
        <f>HYPERLINK("https://worldwide.espacenet.com/publicationDetails/biblio?II=474&amp;ND=3&amp;adjacent=true&amp;locale=en_EP&amp;FT=D&amp;date=20171024&amp;CC=CN&amp;NR=206578696U&amp;KC=U")</f>
        <v>https://worldwide.espacenet.com/publicationDetails/biblio?II=474&amp;ND=3&amp;adjacent=true&amp;locale=en_EP&amp;FT=D&amp;date=20171024&amp;CC=CN&amp;NR=206578696U&amp;KC=U</v>
      </c>
    </row>
    <row r="477" spans="3:5" x14ac:dyDescent="0.25">
      <c r="C477" t="s">
        <v>923</v>
      </c>
      <c r="D477" t="s">
        <v>924</v>
      </c>
      <c r="E477" t="str">
        <f>HYPERLINK("https://worldwide.espacenet.com/publicationDetails/biblio?II=475&amp;ND=3&amp;adjacent=true&amp;locale=en_EP&amp;FT=D&amp;date=20171024&amp;CC=CN&amp;NR=107290116A&amp;KC=A")</f>
        <v>https://worldwide.espacenet.com/publicationDetails/biblio?II=475&amp;ND=3&amp;adjacent=true&amp;locale=en_EP&amp;FT=D&amp;date=20171024&amp;CC=CN&amp;NR=107290116A&amp;KC=A</v>
      </c>
    </row>
    <row r="478" spans="3:5" x14ac:dyDescent="0.25">
      <c r="C478" t="s">
        <v>925</v>
      </c>
      <c r="D478" t="s">
        <v>926</v>
      </c>
      <c r="E478" t="str">
        <f>HYPERLINK("https://worldwide.espacenet.com/publicationDetails/biblio?II=476&amp;ND=3&amp;adjacent=true&amp;locale=en_EP&amp;FT=D&amp;date=20171024&amp;CC=CN&amp;NR=107284578A&amp;KC=A")</f>
        <v>https://worldwide.espacenet.com/publicationDetails/biblio?II=476&amp;ND=3&amp;adjacent=true&amp;locale=en_EP&amp;FT=D&amp;date=20171024&amp;CC=CN&amp;NR=107284578A&amp;KC=A</v>
      </c>
    </row>
    <row r="479" spans="3:5" x14ac:dyDescent="0.25">
      <c r="C479" t="s">
        <v>927</v>
      </c>
      <c r="D479" t="s">
        <v>928</v>
      </c>
      <c r="E479" t="str">
        <f>HYPERLINK("https://worldwide.espacenet.com/publicationDetails/biblio?II=477&amp;ND=3&amp;adjacent=true&amp;locale=en_EP&amp;FT=D&amp;date=20171020&amp;CC=CN&amp;NR=107269894A&amp;KC=A")</f>
        <v>https://worldwide.espacenet.com/publicationDetails/biblio?II=477&amp;ND=3&amp;adjacent=true&amp;locale=en_EP&amp;FT=D&amp;date=20171020&amp;CC=CN&amp;NR=107269894A&amp;KC=A</v>
      </c>
    </row>
    <row r="480" spans="3:5" x14ac:dyDescent="0.25">
      <c r="C480" t="s">
        <v>929</v>
      </c>
      <c r="D480" t="s">
        <v>930</v>
      </c>
      <c r="E480" t="str">
        <f>HYPERLINK("https://worldwide.espacenet.com/publicationDetails/biblio?II=478&amp;ND=3&amp;adjacent=true&amp;locale=en_EP&amp;FT=D&amp;date=20171020&amp;CC=CN&amp;NR=107271171A&amp;KC=A")</f>
        <v>https://worldwide.espacenet.com/publicationDetails/biblio?II=478&amp;ND=3&amp;adjacent=true&amp;locale=en_EP&amp;FT=D&amp;date=20171020&amp;CC=CN&amp;NR=107271171A&amp;KC=A</v>
      </c>
    </row>
    <row r="481" spans="3:5" x14ac:dyDescent="0.25">
      <c r="C481" t="s">
        <v>931</v>
      </c>
      <c r="D481" t="s">
        <v>932</v>
      </c>
      <c r="E481" t="str">
        <f>HYPERLINK("https://worldwide.espacenet.com/publicationDetails/biblio?II=479&amp;ND=3&amp;adjacent=true&amp;locale=en_EP&amp;FT=D&amp;date=20171020&amp;CC=CN&amp;NR=107259483A&amp;KC=A")</f>
        <v>https://worldwide.espacenet.com/publicationDetails/biblio?II=479&amp;ND=3&amp;adjacent=true&amp;locale=en_EP&amp;FT=D&amp;date=20171020&amp;CC=CN&amp;NR=107259483A&amp;KC=A</v>
      </c>
    </row>
    <row r="482" spans="3:5" x14ac:dyDescent="0.25">
      <c r="C482" t="s">
        <v>933</v>
      </c>
      <c r="D482" t="s">
        <v>934</v>
      </c>
      <c r="E482" t="str">
        <f>HYPERLINK("https://worldwide.espacenet.com/publicationDetails/biblio?II=480&amp;ND=3&amp;adjacent=true&amp;locale=en_EP&amp;FT=D&amp;date=20171020&amp;CC=CN&amp;NR=107263563A&amp;KC=A")</f>
        <v>https://worldwide.espacenet.com/publicationDetails/biblio?II=480&amp;ND=3&amp;adjacent=true&amp;locale=en_EP&amp;FT=D&amp;date=20171020&amp;CC=CN&amp;NR=107263563A&amp;KC=A</v>
      </c>
    </row>
    <row r="483" spans="3:5" x14ac:dyDescent="0.25">
      <c r="C483" t="s">
        <v>935</v>
      </c>
      <c r="D483" t="s">
        <v>936</v>
      </c>
      <c r="E483" t="str">
        <f>HYPERLINK("https://worldwide.espacenet.com/publicationDetails/biblio?II=481&amp;ND=3&amp;adjacent=true&amp;locale=en_EP&amp;FT=D&amp;date=20171020&amp;CC=CN&amp;NR=107264697A&amp;KC=A")</f>
        <v>https://worldwide.espacenet.com/publicationDetails/biblio?II=481&amp;ND=3&amp;adjacent=true&amp;locale=en_EP&amp;FT=D&amp;date=20171020&amp;CC=CN&amp;NR=107264697A&amp;KC=A</v>
      </c>
    </row>
    <row r="484" spans="3:5" x14ac:dyDescent="0.25">
      <c r="C484" t="s">
        <v>937</v>
      </c>
      <c r="D484" t="s">
        <v>938</v>
      </c>
      <c r="E484" t="str">
        <f>HYPERLINK("https://worldwide.espacenet.com/publicationDetails/biblio?II=482&amp;ND=3&amp;adjacent=true&amp;locale=en_EP&amp;FT=D&amp;date=20171020&amp;CC=CN&amp;NR=206571623U&amp;KC=U")</f>
        <v>https://worldwide.espacenet.com/publicationDetails/biblio?II=482&amp;ND=3&amp;adjacent=true&amp;locale=en_EP&amp;FT=D&amp;date=20171020&amp;CC=CN&amp;NR=206571623U&amp;KC=U</v>
      </c>
    </row>
    <row r="485" spans="3:5" x14ac:dyDescent="0.25">
      <c r="C485" t="s">
        <v>939</v>
      </c>
      <c r="D485" t="s">
        <v>940</v>
      </c>
      <c r="E485" t="str">
        <f>HYPERLINK("https://worldwide.espacenet.com/publicationDetails/biblio?II=483&amp;ND=3&amp;adjacent=true&amp;locale=en_EP&amp;FT=D&amp;date=20171020&amp;CC=CN&amp;NR=206570861U&amp;KC=U")</f>
        <v>https://worldwide.espacenet.com/publicationDetails/biblio?II=483&amp;ND=3&amp;adjacent=true&amp;locale=en_EP&amp;FT=D&amp;date=20171020&amp;CC=CN&amp;NR=206570861U&amp;KC=U</v>
      </c>
    </row>
    <row r="486" spans="3:5" x14ac:dyDescent="0.25">
      <c r="C486" t="s">
        <v>941</v>
      </c>
      <c r="D486" t="s">
        <v>942</v>
      </c>
      <c r="E486" t="str">
        <f>HYPERLINK("https://worldwide.espacenet.com/publicationDetails/biblio?II=484&amp;ND=3&amp;adjacent=true&amp;locale=en_EP&amp;FT=D&amp;date=20171020&amp;CC=CN&amp;NR=206569189U&amp;KC=U")</f>
        <v>https://worldwide.espacenet.com/publicationDetails/biblio?II=484&amp;ND=3&amp;adjacent=true&amp;locale=en_EP&amp;FT=D&amp;date=20171020&amp;CC=CN&amp;NR=206569189U&amp;KC=U</v>
      </c>
    </row>
    <row r="487" spans="3:5" x14ac:dyDescent="0.25">
      <c r="C487" t="s">
        <v>943</v>
      </c>
      <c r="D487" t="s">
        <v>944</v>
      </c>
      <c r="E487" t="str">
        <f>HYPERLINK("https://worldwide.espacenet.com/publicationDetails/biblio?II=485&amp;ND=3&amp;adjacent=true&amp;locale=en_EP&amp;FT=D&amp;date=20171020&amp;CC=CN&amp;NR=206570757U&amp;KC=U")</f>
        <v>https://worldwide.espacenet.com/publicationDetails/biblio?II=485&amp;ND=3&amp;adjacent=true&amp;locale=en_EP&amp;FT=D&amp;date=20171020&amp;CC=CN&amp;NR=206570757U&amp;KC=U</v>
      </c>
    </row>
    <row r="488" spans="3:5" x14ac:dyDescent="0.25">
      <c r="C488" t="s">
        <v>945</v>
      </c>
      <c r="D488" t="s">
        <v>946</v>
      </c>
      <c r="E488" t="str">
        <f>HYPERLINK("https://worldwide.espacenet.com/publicationDetails/biblio?II=486&amp;ND=3&amp;adjacent=true&amp;locale=en_EP&amp;FT=D&amp;date=20171019&amp;CC=US&amp;NR=2017297653A1&amp;KC=A1")</f>
        <v>https://worldwide.espacenet.com/publicationDetails/biblio?II=486&amp;ND=3&amp;adjacent=true&amp;locale=en_EP&amp;FT=D&amp;date=20171019&amp;CC=US&amp;NR=2017297653A1&amp;KC=A1</v>
      </c>
    </row>
    <row r="489" spans="3:5" x14ac:dyDescent="0.25">
      <c r="C489" t="s">
        <v>947</v>
      </c>
      <c r="D489" t="s">
        <v>948</v>
      </c>
      <c r="E489" t="str">
        <f>HYPERLINK("https://worldwide.espacenet.com/publicationDetails/biblio?II=487&amp;ND=3&amp;adjacent=true&amp;locale=en_EP&amp;FT=D&amp;date=20171017&amp;CC=CN&amp;NR=206561410U&amp;KC=U")</f>
        <v>https://worldwide.espacenet.com/publicationDetails/biblio?II=487&amp;ND=3&amp;adjacent=true&amp;locale=en_EP&amp;FT=D&amp;date=20171017&amp;CC=CN&amp;NR=206561410U&amp;KC=U</v>
      </c>
    </row>
    <row r="490" spans="3:5" x14ac:dyDescent="0.25">
      <c r="C490" t="s">
        <v>949</v>
      </c>
      <c r="D490" t="s">
        <v>950</v>
      </c>
      <c r="E490" t="str">
        <f>HYPERLINK("https://worldwide.espacenet.com/publicationDetails/biblio?II=488&amp;ND=3&amp;adjacent=true&amp;locale=en_EP&amp;FT=D&amp;date=20171017&amp;CC=CN&amp;NR=206562214U&amp;KC=U")</f>
        <v>https://worldwide.espacenet.com/publicationDetails/biblio?II=488&amp;ND=3&amp;adjacent=true&amp;locale=en_EP&amp;FT=D&amp;date=20171017&amp;CC=CN&amp;NR=206562214U&amp;KC=U</v>
      </c>
    </row>
    <row r="491" spans="3:5" x14ac:dyDescent="0.25">
      <c r="C491" t="s">
        <v>951</v>
      </c>
      <c r="D491" t="s">
        <v>952</v>
      </c>
      <c r="E491" t="str">
        <f>HYPERLINK("https://worldwide.espacenet.com/publicationDetails/biblio?II=489&amp;ND=3&amp;adjacent=true&amp;locale=en_EP&amp;FT=D&amp;date=20171017&amp;CC=CN&amp;NR=107253179A&amp;KC=A")</f>
        <v>https://worldwide.espacenet.com/publicationDetails/biblio?II=489&amp;ND=3&amp;adjacent=true&amp;locale=en_EP&amp;FT=D&amp;date=20171017&amp;CC=CN&amp;NR=107253179A&amp;KC=A</v>
      </c>
    </row>
    <row r="492" spans="3:5" x14ac:dyDescent="0.25">
      <c r="C492" t="s">
        <v>953</v>
      </c>
      <c r="D492" t="s">
        <v>954</v>
      </c>
      <c r="E492" t="str">
        <f>HYPERLINK("https://worldwide.espacenet.com/publicationDetails/biblio?II=490&amp;ND=3&amp;adjacent=true&amp;locale=en_EP&amp;FT=D&amp;date=20170222&amp;CC=CN&amp;NR=205979594U&amp;KC=U")</f>
        <v>https://worldwide.espacenet.com/publicationDetails/biblio?II=490&amp;ND=3&amp;adjacent=true&amp;locale=en_EP&amp;FT=D&amp;date=20170222&amp;CC=CN&amp;NR=205979594U&amp;KC=U</v>
      </c>
    </row>
    <row r="493" spans="3:5" x14ac:dyDescent="0.25">
      <c r="C493" t="s">
        <v>955</v>
      </c>
      <c r="D493" t="s">
        <v>956</v>
      </c>
      <c r="E493" t="str">
        <f>HYPERLINK("https://worldwide.espacenet.com/publicationDetails/biblio?II=491&amp;ND=3&amp;adjacent=true&amp;locale=en_EP&amp;FT=D&amp;date=20171005&amp;CC=WO&amp;NR=2017166296A1&amp;KC=A1")</f>
        <v>https://worldwide.espacenet.com/publicationDetails/biblio?II=491&amp;ND=3&amp;adjacent=true&amp;locale=en_EP&amp;FT=D&amp;date=20171005&amp;CC=WO&amp;NR=2017166296A1&amp;KC=A1</v>
      </c>
    </row>
    <row r="494" spans="3:5" x14ac:dyDescent="0.25">
      <c r="C494" t="s">
        <v>957</v>
      </c>
      <c r="D494" t="s">
        <v>958</v>
      </c>
      <c r="E494" t="str">
        <f>HYPERLINK("https://worldwide.espacenet.com/publicationDetails/biblio?II=492&amp;ND=3&amp;adjacent=true&amp;locale=en_EP&amp;FT=D&amp;date=20171005&amp;CC=US&amp;NR=2017285650A1&amp;KC=A1")</f>
        <v>https://worldwide.espacenet.com/publicationDetails/biblio?II=492&amp;ND=3&amp;adjacent=true&amp;locale=en_EP&amp;FT=D&amp;date=20171005&amp;CC=US&amp;NR=2017285650A1&amp;KC=A1</v>
      </c>
    </row>
    <row r="495" spans="3:5" x14ac:dyDescent="0.25">
      <c r="C495" t="s">
        <v>959</v>
      </c>
      <c r="D495" t="s">
        <v>960</v>
      </c>
      <c r="E495" t="str">
        <f>HYPERLINK("https://worldwide.espacenet.com/publicationDetails/biblio?II=493&amp;ND=3&amp;adjacent=true&amp;locale=en_EP&amp;FT=D&amp;date=20171005&amp;CC=US&amp;NR=2017284531A1&amp;KC=A1")</f>
        <v>https://worldwide.espacenet.com/publicationDetails/biblio?II=493&amp;ND=3&amp;adjacent=true&amp;locale=en_EP&amp;FT=D&amp;date=20171005&amp;CC=US&amp;NR=2017284531A1&amp;KC=A1</v>
      </c>
    </row>
    <row r="496" spans="3:5" x14ac:dyDescent="0.25">
      <c r="C496" t="s">
        <v>961</v>
      </c>
      <c r="D496" t="s">
        <v>962</v>
      </c>
      <c r="E496" t="str">
        <f>HYPERLINK("https://worldwide.espacenet.com/publicationDetails/biblio?II=494&amp;ND=3&amp;adjacent=true&amp;locale=en_EP&amp;FT=D&amp;date=20171005&amp;CC=US&amp;NR=2017282913A1&amp;KC=A1")</f>
        <v>https://worldwide.espacenet.com/publicationDetails/biblio?II=494&amp;ND=3&amp;adjacent=true&amp;locale=en_EP&amp;FT=D&amp;date=20171005&amp;CC=US&amp;NR=2017282913A1&amp;KC=A1</v>
      </c>
    </row>
    <row r="497" spans="1:5" x14ac:dyDescent="0.25">
      <c r="C497" t="s">
        <v>963</v>
      </c>
      <c r="D497" t="s">
        <v>964</v>
      </c>
      <c r="E497" t="str">
        <f>HYPERLINK("https://worldwide.espacenet.com/publicationDetails/biblio?II=495&amp;ND=3&amp;adjacent=true&amp;locale=en_EP&amp;FT=D&amp;date=20170929&amp;CC=CN&amp;NR=107213564A&amp;KC=A")</f>
        <v>https://worldwide.espacenet.com/publicationDetails/biblio?II=495&amp;ND=3&amp;adjacent=true&amp;locale=en_EP&amp;FT=D&amp;date=20170929&amp;CC=CN&amp;NR=107213564A&amp;KC=A</v>
      </c>
    </row>
    <row r="498" spans="1:5" x14ac:dyDescent="0.25">
      <c r="C498" t="s">
        <v>965</v>
      </c>
      <c r="D498" t="s">
        <v>966</v>
      </c>
      <c r="E498" t="str">
        <f>HYPERLINK("https://worldwide.espacenet.com/publicationDetails/biblio?II=496&amp;ND=3&amp;adjacent=true&amp;locale=en_EP&amp;FT=D&amp;date=20171003&amp;CC=CN&amp;NR=206538856U&amp;KC=U")</f>
        <v>https://worldwide.espacenet.com/publicationDetails/biblio?II=496&amp;ND=3&amp;adjacent=true&amp;locale=en_EP&amp;FT=D&amp;date=20171003&amp;CC=CN&amp;NR=206538856U&amp;KC=U</v>
      </c>
    </row>
    <row r="499" spans="1:5" x14ac:dyDescent="0.25">
      <c r="C499" t="s">
        <v>967</v>
      </c>
      <c r="D499" t="s">
        <v>968</v>
      </c>
      <c r="E499" t="str">
        <f>HYPERLINK("https://worldwide.espacenet.com/publicationDetails/biblio?II=497&amp;ND=3&amp;adjacent=true&amp;locale=en_EP&amp;FT=D&amp;date=20170929&amp;CC=CN&amp;NR=206528567U&amp;KC=U")</f>
        <v>https://worldwide.espacenet.com/publicationDetails/biblio?II=497&amp;ND=3&amp;adjacent=true&amp;locale=en_EP&amp;FT=D&amp;date=20170929&amp;CC=CN&amp;NR=206528567U&amp;KC=U</v>
      </c>
    </row>
    <row r="500" spans="1:5" x14ac:dyDescent="0.25">
      <c r="C500" t="s">
        <v>969</v>
      </c>
      <c r="D500" t="s">
        <v>970</v>
      </c>
      <c r="E500" t="str">
        <f>HYPERLINK("https://worldwide.espacenet.com/publicationDetails/biblio?II=498&amp;ND=3&amp;adjacent=true&amp;locale=en_EP&amp;FT=D&amp;date=20170928&amp;CC=US&amp;NR=2017277202A1&amp;KC=A1")</f>
        <v>https://worldwide.espacenet.com/publicationDetails/biblio?II=498&amp;ND=3&amp;adjacent=true&amp;locale=en_EP&amp;FT=D&amp;date=20170928&amp;CC=US&amp;NR=2017277202A1&amp;KC=A1</v>
      </c>
    </row>
    <row r="501" spans="1:5" x14ac:dyDescent="0.25">
      <c r="C501" t="s">
        <v>971</v>
      </c>
      <c r="D501" t="s">
        <v>972</v>
      </c>
      <c r="E501" t="str">
        <f>HYPERLINK("https://worldwide.espacenet.com/publicationDetails/biblio?II=499&amp;ND=3&amp;adjacent=true&amp;locale=en_EP&amp;FT=D&amp;date=20170926&amp;CC=US&amp;NR=9771821B1&amp;KC=B1")</f>
        <v>https://worldwide.espacenet.com/publicationDetails/biblio?II=499&amp;ND=3&amp;adjacent=true&amp;locale=en_EP&amp;FT=D&amp;date=20170926&amp;CC=US&amp;NR=9771821B1&amp;KC=B1</v>
      </c>
    </row>
    <row r="502" spans="1:5" x14ac:dyDescent="0.25">
      <c r="A502" t="s">
        <v>973</v>
      </c>
      <c r="B502">
        <v>12</v>
      </c>
    </row>
    <row r="503" spans="1:5" x14ac:dyDescent="0.25">
      <c r="C503" t="s">
        <v>473</v>
      </c>
      <c r="D503" t="s">
        <v>474</v>
      </c>
      <c r="E503" t="str">
        <f>HYPERLINK("https://worldwide.espacenet.com/publicationDetails/biblio?II=0&amp;ND=3&amp;adjacent=true&amp;locale=en_EP&amp;FT=D&amp;date=20180206&amp;CC=CN&amp;NR=206968889U&amp;KC=U")</f>
        <v>https://worldwide.espacenet.com/publicationDetails/biblio?II=0&amp;ND=3&amp;adjacent=true&amp;locale=en_EP&amp;FT=D&amp;date=20180206&amp;CC=CN&amp;NR=206968889U&amp;KC=U</v>
      </c>
    </row>
    <row r="504" spans="1:5" x14ac:dyDescent="0.25">
      <c r="C504" t="s">
        <v>576</v>
      </c>
      <c r="D504" t="s">
        <v>577</v>
      </c>
      <c r="E504" t="str">
        <f>HYPERLINK("https://worldwide.espacenet.com/publicationDetails/biblio?II=1&amp;ND=3&amp;adjacent=true&amp;locale=en_EP&amp;FT=D&amp;date=20180213&amp;CC=CN&amp;NR=107685325A&amp;KC=A")</f>
        <v>https://worldwide.espacenet.com/publicationDetails/biblio?II=1&amp;ND=3&amp;adjacent=true&amp;locale=en_EP&amp;FT=D&amp;date=20180213&amp;CC=CN&amp;NR=107685325A&amp;KC=A</v>
      </c>
    </row>
    <row r="505" spans="1:5" x14ac:dyDescent="0.25">
      <c r="C505" t="s">
        <v>705</v>
      </c>
      <c r="D505" t="s">
        <v>706</v>
      </c>
      <c r="E505" t="str">
        <f>HYPERLINK("https://worldwide.espacenet.com/publicationDetails/biblio?II=2&amp;ND=3&amp;adjacent=true&amp;locale=en_EP&amp;FT=D&amp;date=20180105&amp;CC=CN&amp;NR=206841563U&amp;KC=U")</f>
        <v>https://worldwide.espacenet.com/publicationDetails/biblio?II=2&amp;ND=3&amp;adjacent=true&amp;locale=en_EP&amp;FT=D&amp;date=20180105&amp;CC=CN&amp;NR=206841563U&amp;KC=U</v>
      </c>
    </row>
    <row r="506" spans="1:5" x14ac:dyDescent="0.25">
      <c r="C506" t="s">
        <v>974</v>
      </c>
      <c r="D506" t="s">
        <v>975</v>
      </c>
      <c r="E506" t="str">
        <f>HYPERLINK("https://worldwide.espacenet.com/publicationDetails/biblio?II=3&amp;ND=3&amp;adjacent=true&amp;locale=en_EP&amp;FT=D&amp;date=20170613&amp;CC=CN&amp;NR=106826753A&amp;KC=A")</f>
        <v>https://worldwide.espacenet.com/publicationDetails/biblio?II=3&amp;ND=3&amp;adjacent=true&amp;locale=en_EP&amp;FT=D&amp;date=20170613&amp;CC=CN&amp;NR=106826753A&amp;KC=A</v>
      </c>
    </row>
    <row r="507" spans="1:5" x14ac:dyDescent="0.25">
      <c r="C507" t="s">
        <v>976</v>
      </c>
      <c r="D507" t="s">
        <v>977</v>
      </c>
      <c r="E507" t="str">
        <f>HYPERLINK("https://worldwide.espacenet.com/publicationDetails/biblio?II=4&amp;ND=3&amp;adjacent=true&amp;locale=en_EP&amp;FT=D&amp;date=20170510&amp;CC=CN&amp;NR=106627824A&amp;KC=A")</f>
        <v>https://worldwide.espacenet.com/publicationDetails/biblio?II=4&amp;ND=3&amp;adjacent=true&amp;locale=en_EP&amp;FT=D&amp;date=20170510&amp;CC=CN&amp;NR=106627824A&amp;KC=A</v>
      </c>
    </row>
    <row r="508" spans="1:5" x14ac:dyDescent="0.25">
      <c r="C508" t="s">
        <v>978</v>
      </c>
      <c r="D508" t="s">
        <v>979</v>
      </c>
      <c r="E508" t="str">
        <f>HYPERLINK("https://worldwide.espacenet.com/publicationDetails/biblio?II=5&amp;ND=3&amp;adjacent=true&amp;locale=en_EP&amp;FT=D&amp;date=20160203&amp;CC=CN&amp;NR=105291085A&amp;KC=A")</f>
        <v>https://worldwide.espacenet.com/publicationDetails/biblio?II=5&amp;ND=3&amp;adjacent=true&amp;locale=en_EP&amp;FT=D&amp;date=20160203&amp;CC=CN&amp;NR=105291085A&amp;KC=A</v>
      </c>
    </row>
    <row r="509" spans="1:5" x14ac:dyDescent="0.25">
      <c r="C509" t="s">
        <v>980</v>
      </c>
      <c r="D509" t="s">
        <v>981</v>
      </c>
      <c r="E509" t="str">
        <f>HYPERLINK("https://worldwide.espacenet.com/publicationDetails/biblio?II=6&amp;ND=3&amp;adjacent=true&amp;locale=en_EP&amp;FT=D&amp;date=20151202&amp;CC=CN&amp;NR=105108758A&amp;KC=A")</f>
        <v>https://worldwide.espacenet.com/publicationDetails/biblio?II=6&amp;ND=3&amp;adjacent=true&amp;locale=en_EP&amp;FT=D&amp;date=20151202&amp;CC=CN&amp;NR=105108758A&amp;KC=A</v>
      </c>
    </row>
    <row r="510" spans="1:5" x14ac:dyDescent="0.25">
      <c r="C510" t="s">
        <v>982</v>
      </c>
      <c r="D510" t="s">
        <v>983</v>
      </c>
      <c r="E510" t="str">
        <f>HYPERLINK("https://worldwide.espacenet.com/publicationDetails/biblio?II=7&amp;ND=3&amp;adjacent=true&amp;locale=en_EP&amp;FT=D&amp;date=20151118&amp;CC=CN&amp;NR=204775573U&amp;KC=U")</f>
        <v>https://worldwide.espacenet.com/publicationDetails/biblio?II=7&amp;ND=3&amp;adjacent=true&amp;locale=en_EP&amp;FT=D&amp;date=20151118&amp;CC=CN&amp;NR=204775573U&amp;KC=U</v>
      </c>
    </row>
    <row r="511" spans="1:5" x14ac:dyDescent="0.25">
      <c r="C511" t="s">
        <v>984</v>
      </c>
      <c r="D511" t="s">
        <v>985</v>
      </c>
      <c r="E511" t="str">
        <f>HYPERLINK("https://worldwide.espacenet.com/publicationDetails/biblio?II=8&amp;ND=3&amp;adjacent=true&amp;locale=en_EP&amp;FT=D&amp;date=20150227&amp;CC=KR&amp;NR=20150020875A&amp;KC=A")</f>
        <v>https://worldwide.espacenet.com/publicationDetails/biblio?II=8&amp;ND=3&amp;adjacent=true&amp;locale=en_EP&amp;FT=D&amp;date=20150227&amp;CC=KR&amp;NR=20150020875A&amp;KC=A</v>
      </c>
    </row>
    <row r="512" spans="1:5" x14ac:dyDescent="0.25">
      <c r="A512" t="s">
        <v>986</v>
      </c>
      <c r="B512">
        <v>198</v>
      </c>
    </row>
    <row r="513" spans="3:5" x14ac:dyDescent="0.25">
      <c r="C513" t="s">
        <v>61</v>
      </c>
      <c r="D513" t="s">
        <v>62</v>
      </c>
      <c r="E513" t="str">
        <f>HYPERLINK("https://worldwide.espacenet.com/publicationDetails/biblio?II=0&amp;ND=3&amp;adjacent=true&amp;locale=en_EP&amp;FT=D&amp;date=20180622&amp;CC=CN&amp;NR=207526940U&amp;KC=U")</f>
        <v>https://worldwide.espacenet.com/publicationDetails/biblio?II=0&amp;ND=3&amp;adjacent=true&amp;locale=en_EP&amp;FT=D&amp;date=20180622&amp;CC=CN&amp;NR=207526940U&amp;KC=U</v>
      </c>
    </row>
    <row r="514" spans="3:5" x14ac:dyDescent="0.25">
      <c r="C514" t="s">
        <v>63</v>
      </c>
      <c r="D514" t="s">
        <v>64</v>
      </c>
      <c r="E514" t="str">
        <f>HYPERLINK("https://worldwide.espacenet.com/publicationDetails/biblio?II=1&amp;ND=3&amp;adjacent=true&amp;locale=en_EP&amp;FT=D&amp;date=20180622&amp;CC=CN&amp;NR=207526941U&amp;KC=U")</f>
        <v>https://worldwide.espacenet.com/publicationDetails/biblio?II=1&amp;ND=3&amp;adjacent=true&amp;locale=en_EP&amp;FT=D&amp;date=20180622&amp;CC=CN&amp;NR=207526941U&amp;KC=U</v>
      </c>
    </row>
    <row r="515" spans="3:5" x14ac:dyDescent="0.25">
      <c r="C515" t="s">
        <v>111</v>
      </c>
      <c r="D515" t="s">
        <v>112</v>
      </c>
      <c r="E515" t="str">
        <f>HYPERLINK("https://worldwide.espacenet.com/publicationDetails/biblio?II=2&amp;ND=3&amp;adjacent=true&amp;locale=en_EP&amp;FT=D&amp;date=20180619&amp;CC=CN&amp;NR=207510524U&amp;KC=U")</f>
        <v>https://worldwide.espacenet.com/publicationDetails/biblio?II=2&amp;ND=3&amp;adjacent=true&amp;locale=en_EP&amp;FT=D&amp;date=20180619&amp;CC=CN&amp;NR=207510524U&amp;KC=U</v>
      </c>
    </row>
    <row r="516" spans="3:5" x14ac:dyDescent="0.25">
      <c r="C516" t="s">
        <v>117</v>
      </c>
      <c r="D516" t="s">
        <v>118</v>
      </c>
      <c r="E516" t="str">
        <f>HYPERLINK("https://worldwide.espacenet.com/publicationDetails/biblio?II=3&amp;ND=3&amp;adjacent=true&amp;locale=en_EP&amp;FT=D&amp;date=20180615&amp;CC=CN&amp;NR=108161887A&amp;KC=A")</f>
        <v>https://worldwide.espacenet.com/publicationDetails/biblio?II=3&amp;ND=3&amp;adjacent=true&amp;locale=en_EP&amp;FT=D&amp;date=20180615&amp;CC=CN&amp;NR=108161887A&amp;KC=A</v>
      </c>
    </row>
    <row r="517" spans="3:5" x14ac:dyDescent="0.25">
      <c r="C517" t="s">
        <v>207</v>
      </c>
      <c r="D517" t="s">
        <v>208</v>
      </c>
      <c r="E517" t="str">
        <f>HYPERLINK("https://worldwide.espacenet.com/publicationDetails/biblio?II=4&amp;ND=3&amp;adjacent=true&amp;locale=en_EP&amp;FT=D&amp;date=20180529&amp;CC=CN&amp;NR=207424595U&amp;KC=U")</f>
        <v>https://worldwide.espacenet.com/publicationDetails/biblio?II=4&amp;ND=3&amp;adjacent=true&amp;locale=en_EP&amp;FT=D&amp;date=20180529&amp;CC=CN&amp;NR=207424595U&amp;KC=U</v>
      </c>
    </row>
    <row r="518" spans="3:5" x14ac:dyDescent="0.25">
      <c r="C518" t="s">
        <v>213</v>
      </c>
      <c r="D518" t="s">
        <v>214</v>
      </c>
      <c r="E518" t="str">
        <f>HYPERLINK("https://worldwide.espacenet.com/publicationDetails/biblio?II=5&amp;ND=3&amp;adjacent=true&amp;locale=en_EP&amp;FT=D&amp;date=20180601&amp;CC=CN&amp;NR=207433675U&amp;KC=U")</f>
        <v>https://worldwide.espacenet.com/publicationDetails/biblio?II=5&amp;ND=3&amp;adjacent=true&amp;locale=en_EP&amp;FT=D&amp;date=20180601&amp;CC=CN&amp;NR=207433675U&amp;KC=U</v>
      </c>
    </row>
    <row r="519" spans="3:5" x14ac:dyDescent="0.25">
      <c r="C519" t="s">
        <v>231</v>
      </c>
      <c r="D519" t="s">
        <v>232</v>
      </c>
      <c r="E519" t="str">
        <f>HYPERLINK("https://worldwide.espacenet.com/publicationDetails/biblio?II=6&amp;ND=3&amp;adjacent=true&amp;locale=en_EP&amp;FT=D&amp;date=20180608&amp;CC=CN&amp;NR=207465215U&amp;KC=U")</f>
        <v>https://worldwide.espacenet.com/publicationDetails/biblio?II=6&amp;ND=3&amp;adjacent=true&amp;locale=en_EP&amp;FT=D&amp;date=20180608&amp;CC=CN&amp;NR=207465215U&amp;KC=U</v>
      </c>
    </row>
    <row r="520" spans="3:5" x14ac:dyDescent="0.25">
      <c r="C520" t="s">
        <v>243</v>
      </c>
      <c r="D520" t="s">
        <v>244</v>
      </c>
      <c r="E520" t="str">
        <f>HYPERLINK("https://worldwide.espacenet.com/publicationDetails/biblio?II=7&amp;ND=3&amp;adjacent=true&amp;locale=en_EP&amp;FT=D&amp;date=20180605&amp;CC=CN&amp;NR=108121351A&amp;KC=A")</f>
        <v>https://worldwide.espacenet.com/publicationDetails/biblio?II=7&amp;ND=3&amp;adjacent=true&amp;locale=en_EP&amp;FT=D&amp;date=20180605&amp;CC=CN&amp;NR=108121351A&amp;KC=A</v>
      </c>
    </row>
    <row r="521" spans="3:5" x14ac:dyDescent="0.25">
      <c r="C521" t="s">
        <v>245</v>
      </c>
      <c r="D521" t="s">
        <v>246</v>
      </c>
      <c r="E521" t="str">
        <f>HYPERLINK("https://worldwide.espacenet.com/publicationDetails/biblio?II=8&amp;ND=3&amp;adjacent=true&amp;locale=en_EP&amp;FT=D&amp;date=20180605&amp;CC=CN&amp;NR=108121334A&amp;KC=A")</f>
        <v>https://worldwide.espacenet.com/publicationDetails/biblio?II=8&amp;ND=3&amp;adjacent=true&amp;locale=en_EP&amp;FT=D&amp;date=20180605&amp;CC=CN&amp;NR=108121334A&amp;KC=A</v>
      </c>
    </row>
    <row r="522" spans="3:5" x14ac:dyDescent="0.25">
      <c r="C522" t="s">
        <v>247</v>
      </c>
      <c r="D522" t="s">
        <v>248</v>
      </c>
      <c r="E522" t="str">
        <f>HYPERLINK("https://worldwide.espacenet.com/publicationDetails/biblio?II=9&amp;ND=3&amp;adjacent=true&amp;locale=en_EP&amp;FT=D&amp;date=20180605&amp;CC=CN&amp;NR=108116532A&amp;KC=A")</f>
        <v>https://worldwide.espacenet.com/publicationDetails/biblio?II=9&amp;ND=3&amp;adjacent=true&amp;locale=en_EP&amp;FT=D&amp;date=20180605&amp;CC=CN&amp;NR=108116532A&amp;KC=A</v>
      </c>
    </row>
    <row r="523" spans="3:5" x14ac:dyDescent="0.25">
      <c r="C523" t="s">
        <v>340</v>
      </c>
      <c r="D523" t="s">
        <v>341</v>
      </c>
      <c r="E523" t="str">
        <f>HYPERLINK("https://worldwide.espacenet.com/publicationDetails/biblio?II=10&amp;ND=3&amp;adjacent=true&amp;locale=en_EP&amp;FT=D&amp;date=20180413&amp;CC=CN&amp;NR=107902004A&amp;KC=A")</f>
        <v>https://worldwide.espacenet.com/publicationDetails/biblio?II=10&amp;ND=3&amp;adjacent=true&amp;locale=en_EP&amp;FT=D&amp;date=20180413&amp;CC=CN&amp;NR=107902004A&amp;KC=A</v>
      </c>
    </row>
    <row r="524" spans="3:5" x14ac:dyDescent="0.25">
      <c r="C524" t="s">
        <v>439</v>
      </c>
      <c r="D524" t="s">
        <v>440</v>
      </c>
      <c r="E524" t="str">
        <f>HYPERLINK("https://worldwide.espacenet.com/publicationDetails/biblio?II=11&amp;ND=3&amp;adjacent=true&amp;locale=en_EP&amp;FT=D&amp;date=20180216&amp;CC=CN&amp;NR=207013713U&amp;KC=U")</f>
        <v>https://worldwide.espacenet.com/publicationDetails/biblio?II=11&amp;ND=3&amp;adjacent=true&amp;locale=en_EP&amp;FT=D&amp;date=20180216&amp;CC=CN&amp;NR=207013713U&amp;KC=U</v>
      </c>
    </row>
    <row r="525" spans="3:5" x14ac:dyDescent="0.25">
      <c r="C525" t="s">
        <v>441</v>
      </c>
      <c r="D525" t="s">
        <v>442</v>
      </c>
      <c r="E525" t="str">
        <f>HYPERLINK("https://worldwide.espacenet.com/publicationDetails/biblio?II=12&amp;ND=3&amp;adjacent=true&amp;locale=en_EP&amp;FT=D&amp;date=20180216&amp;CC=CN&amp;NR=207014351U&amp;KC=U")</f>
        <v>https://worldwide.espacenet.com/publicationDetails/biblio?II=12&amp;ND=3&amp;adjacent=true&amp;locale=en_EP&amp;FT=D&amp;date=20180216&amp;CC=CN&amp;NR=207014351U&amp;KC=U</v>
      </c>
    </row>
    <row r="526" spans="3:5" x14ac:dyDescent="0.25">
      <c r="C526" t="s">
        <v>443</v>
      </c>
      <c r="D526" t="s">
        <v>444</v>
      </c>
      <c r="E526" t="str">
        <f>HYPERLINK("https://worldwide.espacenet.com/publicationDetails/biblio?II=13&amp;ND=3&amp;adjacent=true&amp;locale=en_EP&amp;FT=D&amp;date=20180216&amp;CC=CN&amp;NR=207013711U&amp;KC=U")</f>
        <v>https://worldwide.espacenet.com/publicationDetails/biblio?II=13&amp;ND=3&amp;adjacent=true&amp;locale=en_EP&amp;FT=D&amp;date=20180216&amp;CC=CN&amp;NR=207013711U&amp;KC=U</v>
      </c>
    </row>
    <row r="527" spans="3:5" x14ac:dyDescent="0.25">
      <c r="C527" t="s">
        <v>473</v>
      </c>
      <c r="D527" t="s">
        <v>474</v>
      </c>
      <c r="E527" t="str">
        <f>HYPERLINK("https://worldwide.espacenet.com/publicationDetails/biblio?II=14&amp;ND=3&amp;adjacent=true&amp;locale=en_EP&amp;FT=D&amp;date=20180206&amp;CC=CN&amp;NR=206968889U&amp;KC=U")</f>
        <v>https://worldwide.espacenet.com/publicationDetails/biblio?II=14&amp;ND=3&amp;adjacent=true&amp;locale=en_EP&amp;FT=D&amp;date=20180206&amp;CC=CN&amp;NR=206968889U&amp;KC=U</v>
      </c>
    </row>
    <row r="528" spans="3:5" x14ac:dyDescent="0.25">
      <c r="C528" t="s">
        <v>532</v>
      </c>
      <c r="D528" t="s">
        <v>533</v>
      </c>
      <c r="E528" t="str">
        <f>HYPERLINK("https://worldwide.espacenet.com/publicationDetails/biblio?II=15&amp;ND=3&amp;adjacent=true&amp;locale=en_EP&amp;FT=D&amp;date=20180306&amp;CC=CN&amp;NR=107757737A&amp;KC=A")</f>
        <v>https://worldwide.espacenet.com/publicationDetails/biblio?II=15&amp;ND=3&amp;adjacent=true&amp;locale=en_EP&amp;FT=D&amp;date=20180306&amp;CC=CN&amp;NR=107757737A&amp;KC=A</v>
      </c>
    </row>
    <row r="529" spans="3:5" x14ac:dyDescent="0.25">
      <c r="C529" t="s">
        <v>549</v>
      </c>
      <c r="D529" t="s">
        <v>550</v>
      </c>
      <c r="E529" t="str">
        <f>HYPERLINK("https://worldwide.espacenet.com/publicationDetails/biblio?II=16&amp;ND=3&amp;adjacent=true&amp;locale=en_EP&amp;FT=D&amp;date=20180223&amp;CC=CN&amp;NR=107717942A&amp;KC=A")</f>
        <v>https://worldwide.espacenet.com/publicationDetails/biblio?II=16&amp;ND=3&amp;adjacent=true&amp;locale=en_EP&amp;FT=D&amp;date=20180223&amp;CC=CN&amp;NR=107717942A&amp;KC=A</v>
      </c>
    </row>
    <row r="530" spans="3:5" x14ac:dyDescent="0.25">
      <c r="C530" t="s">
        <v>564</v>
      </c>
      <c r="D530" t="s">
        <v>565</v>
      </c>
      <c r="E530" t="str">
        <f>HYPERLINK("https://worldwide.espacenet.com/publicationDetails/biblio?II=17&amp;ND=3&amp;adjacent=true&amp;locale=en_EP&amp;FT=D&amp;date=20180216&amp;CC=CN&amp;NR=107702691A&amp;KC=A")</f>
        <v>https://worldwide.espacenet.com/publicationDetails/biblio?II=17&amp;ND=3&amp;adjacent=true&amp;locale=en_EP&amp;FT=D&amp;date=20180216&amp;CC=CN&amp;NR=107702691A&amp;KC=A</v>
      </c>
    </row>
    <row r="531" spans="3:5" x14ac:dyDescent="0.25">
      <c r="C531" t="s">
        <v>576</v>
      </c>
      <c r="D531" t="s">
        <v>577</v>
      </c>
      <c r="E531" t="str">
        <f>HYPERLINK("https://worldwide.espacenet.com/publicationDetails/biblio?II=18&amp;ND=3&amp;adjacent=true&amp;locale=en_EP&amp;FT=D&amp;date=20180213&amp;CC=CN&amp;NR=107685325A&amp;KC=A")</f>
        <v>https://worldwide.espacenet.com/publicationDetails/biblio?II=18&amp;ND=3&amp;adjacent=true&amp;locale=en_EP&amp;FT=D&amp;date=20180213&amp;CC=CN&amp;NR=107685325A&amp;KC=A</v>
      </c>
    </row>
    <row r="532" spans="3:5" x14ac:dyDescent="0.25">
      <c r="C532" t="s">
        <v>586</v>
      </c>
      <c r="D532" t="s">
        <v>587</v>
      </c>
      <c r="E532" t="str">
        <f>HYPERLINK("https://worldwide.espacenet.com/publicationDetails/biblio?II=19&amp;ND=3&amp;adjacent=true&amp;locale=en_EP&amp;FT=D&amp;date=20180209&amp;CC=CN&amp;NR=107679019A&amp;KC=A")</f>
        <v>https://worldwide.espacenet.com/publicationDetails/biblio?II=19&amp;ND=3&amp;adjacent=true&amp;locale=en_EP&amp;FT=D&amp;date=20180209&amp;CC=CN&amp;NR=107679019A&amp;KC=A</v>
      </c>
    </row>
    <row r="533" spans="3:5" x14ac:dyDescent="0.25">
      <c r="C533" t="s">
        <v>594</v>
      </c>
      <c r="D533" t="s">
        <v>595</v>
      </c>
      <c r="E533" t="str">
        <f>HYPERLINK("https://worldwide.espacenet.com/publicationDetails/biblio?II=20&amp;ND=3&amp;adjacent=true&amp;locale=en_EP&amp;FT=D&amp;date=20180130&amp;CC=CN&amp;NR=107642587A&amp;KC=A")</f>
        <v>https://worldwide.espacenet.com/publicationDetails/biblio?II=20&amp;ND=3&amp;adjacent=true&amp;locale=en_EP&amp;FT=D&amp;date=20180130&amp;CC=CN&amp;NR=107642587A&amp;KC=A</v>
      </c>
    </row>
    <row r="534" spans="3:5" x14ac:dyDescent="0.25">
      <c r="C534" t="s">
        <v>602</v>
      </c>
      <c r="D534" t="s">
        <v>603</v>
      </c>
      <c r="E534" t="str">
        <f>HYPERLINK("https://worldwide.espacenet.com/publicationDetails/biblio?II=21&amp;ND=3&amp;adjacent=true&amp;locale=en_EP&amp;FT=D&amp;date=20180122&amp;CC=KR&amp;NR=20180007208A&amp;KC=A")</f>
        <v>https://worldwide.espacenet.com/publicationDetails/biblio?II=21&amp;ND=3&amp;adjacent=true&amp;locale=en_EP&amp;FT=D&amp;date=20180122&amp;CC=KR&amp;NR=20180007208A&amp;KC=A</v>
      </c>
    </row>
    <row r="535" spans="3:5" x14ac:dyDescent="0.25">
      <c r="C535" t="s">
        <v>683</v>
      </c>
      <c r="D535" t="s">
        <v>684</v>
      </c>
      <c r="E535" t="str">
        <f>HYPERLINK("https://worldwide.espacenet.com/publicationDetails/biblio?II=22&amp;ND=3&amp;adjacent=true&amp;locale=en_EP&amp;FT=D&amp;date=20180109&amp;CC=CN&amp;NR=206854288U&amp;KC=U")</f>
        <v>https://worldwide.espacenet.com/publicationDetails/biblio?II=22&amp;ND=3&amp;adjacent=true&amp;locale=en_EP&amp;FT=D&amp;date=20180109&amp;CC=CN&amp;NR=206854288U&amp;KC=U</v>
      </c>
    </row>
    <row r="536" spans="3:5" x14ac:dyDescent="0.25">
      <c r="C536" t="s">
        <v>685</v>
      </c>
      <c r="D536" t="s">
        <v>686</v>
      </c>
      <c r="E536" t="str">
        <f>HYPERLINK("https://worldwide.espacenet.com/publicationDetails/biblio?II=23&amp;ND=3&amp;adjacent=true&amp;locale=en_EP&amp;FT=D&amp;date=20180109&amp;CC=CN&amp;NR=206863590U&amp;KC=U")</f>
        <v>https://worldwide.espacenet.com/publicationDetails/biblio?II=23&amp;ND=3&amp;adjacent=true&amp;locale=en_EP&amp;FT=D&amp;date=20180109&amp;CC=CN&amp;NR=206863590U&amp;KC=U</v>
      </c>
    </row>
    <row r="537" spans="3:5" x14ac:dyDescent="0.25">
      <c r="C537" t="s">
        <v>705</v>
      </c>
      <c r="D537" t="s">
        <v>706</v>
      </c>
      <c r="E537" t="str">
        <f>HYPERLINK("https://worldwide.espacenet.com/publicationDetails/biblio?II=24&amp;ND=3&amp;adjacent=true&amp;locale=en_EP&amp;FT=D&amp;date=20180105&amp;CC=CN&amp;NR=206841563U&amp;KC=U")</f>
        <v>https://worldwide.espacenet.com/publicationDetails/biblio?II=24&amp;ND=3&amp;adjacent=true&amp;locale=en_EP&amp;FT=D&amp;date=20180105&amp;CC=CN&amp;NR=206841563U&amp;KC=U</v>
      </c>
    </row>
    <row r="538" spans="3:5" x14ac:dyDescent="0.25">
      <c r="C538" t="s">
        <v>735</v>
      </c>
      <c r="D538" t="s">
        <v>736</v>
      </c>
      <c r="E538" t="str">
        <f>HYPERLINK("https://worldwide.espacenet.com/publicationDetails/biblio?II=25&amp;ND=3&amp;adjacent=true&amp;locale=en_EP&amp;FT=D&amp;date=20171222&amp;CC=CN&amp;NR=107499393A&amp;KC=A")</f>
        <v>https://worldwide.espacenet.com/publicationDetails/biblio?II=25&amp;ND=3&amp;adjacent=true&amp;locale=en_EP&amp;FT=D&amp;date=20171222&amp;CC=CN&amp;NR=107499393A&amp;KC=A</v>
      </c>
    </row>
    <row r="539" spans="3:5" x14ac:dyDescent="0.25">
      <c r="C539" t="s">
        <v>739</v>
      </c>
      <c r="D539" t="s">
        <v>740</v>
      </c>
      <c r="E539" t="str">
        <f>HYPERLINK("https://worldwide.espacenet.com/publicationDetails/biblio?II=26&amp;ND=3&amp;adjacent=true&amp;locale=en_EP&amp;FT=D&amp;date=20171219&amp;CC=CN&amp;NR=206764791U&amp;KC=U")</f>
        <v>https://worldwide.espacenet.com/publicationDetails/biblio?II=26&amp;ND=3&amp;adjacent=true&amp;locale=en_EP&amp;FT=D&amp;date=20171219&amp;CC=CN&amp;NR=206764791U&amp;KC=U</v>
      </c>
    </row>
    <row r="540" spans="3:5" x14ac:dyDescent="0.25">
      <c r="C540" t="s">
        <v>111</v>
      </c>
      <c r="D540" t="s">
        <v>747</v>
      </c>
      <c r="E540" t="str">
        <f>HYPERLINK("https://worldwide.espacenet.com/publicationDetails/biblio?II=27&amp;ND=3&amp;adjacent=true&amp;locale=en_EP&amp;FT=D&amp;date=20171219&amp;CC=CN&amp;NR=206766003U&amp;KC=U")</f>
        <v>https://worldwide.espacenet.com/publicationDetails/biblio?II=27&amp;ND=3&amp;adjacent=true&amp;locale=en_EP&amp;FT=D&amp;date=20171219&amp;CC=CN&amp;NR=206766003U&amp;KC=U</v>
      </c>
    </row>
    <row r="541" spans="3:5" x14ac:dyDescent="0.25">
      <c r="C541" t="s">
        <v>752</v>
      </c>
      <c r="D541" t="s">
        <v>753</v>
      </c>
      <c r="E541" t="str">
        <f>HYPERLINK("https://worldwide.espacenet.com/publicationDetails/biblio?II=28&amp;ND=3&amp;adjacent=true&amp;locale=en_EP&amp;FT=D&amp;date=20171215&amp;CC=CN&amp;NR=206748440U&amp;KC=U")</f>
        <v>https://worldwide.espacenet.com/publicationDetails/biblio?II=28&amp;ND=3&amp;adjacent=true&amp;locale=en_EP&amp;FT=D&amp;date=20171215&amp;CC=CN&amp;NR=206748440U&amp;KC=U</v>
      </c>
    </row>
    <row r="542" spans="3:5" x14ac:dyDescent="0.25">
      <c r="C542" t="s">
        <v>794</v>
      </c>
      <c r="D542" t="s">
        <v>795</v>
      </c>
      <c r="E542" t="str">
        <f>HYPERLINK("https://worldwide.espacenet.com/publicationDetails/biblio?II=29&amp;ND=3&amp;adjacent=true&amp;locale=en_EP&amp;FT=D&amp;date=20171205&amp;CC=CN&amp;NR=206704343U&amp;KC=U")</f>
        <v>https://worldwide.espacenet.com/publicationDetails/biblio?II=29&amp;ND=3&amp;adjacent=true&amp;locale=en_EP&amp;FT=D&amp;date=20171205&amp;CC=CN&amp;NR=206704343U&amp;KC=U</v>
      </c>
    </row>
    <row r="543" spans="3:5" x14ac:dyDescent="0.25">
      <c r="C543" t="s">
        <v>804</v>
      </c>
      <c r="D543" t="s">
        <v>805</v>
      </c>
      <c r="E543" t="str">
        <f>HYPERLINK("https://worldwide.espacenet.com/publicationDetails/biblio?II=30&amp;ND=3&amp;adjacent=true&amp;locale=en_EP&amp;FT=D&amp;date=20171201&amp;CC=CN&amp;NR=206690137U&amp;KC=U")</f>
        <v>https://worldwide.espacenet.com/publicationDetails/biblio?II=30&amp;ND=3&amp;adjacent=true&amp;locale=en_EP&amp;FT=D&amp;date=20171201&amp;CC=CN&amp;NR=206690137U&amp;KC=U</v>
      </c>
    </row>
    <row r="544" spans="3:5" x14ac:dyDescent="0.25">
      <c r="C544" t="s">
        <v>818</v>
      </c>
      <c r="D544" t="s">
        <v>819</v>
      </c>
      <c r="E544" t="str">
        <f>HYPERLINK("https://worldwide.espacenet.com/publicationDetails/biblio?II=31&amp;ND=3&amp;adjacent=true&amp;locale=en_EP&amp;FT=D&amp;date=20171201&amp;CC=CN&amp;NR=107414781A&amp;KC=A")</f>
        <v>https://worldwide.espacenet.com/publicationDetails/biblio?II=31&amp;ND=3&amp;adjacent=true&amp;locale=en_EP&amp;FT=D&amp;date=20171201&amp;CC=CN&amp;NR=107414781A&amp;KC=A</v>
      </c>
    </row>
    <row r="545" spans="3:5" x14ac:dyDescent="0.25">
      <c r="C545" t="s">
        <v>831</v>
      </c>
      <c r="D545" t="s">
        <v>832</v>
      </c>
      <c r="E545" t="str">
        <f>HYPERLINK("https://worldwide.espacenet.com/publicationDetails/biblio?II=32&amp;ND=3&amp;adjacent=true&amp;locale=en_EP&amp;FT=D&amp;date=20171128&amp;CC=CN&amp;NR=206679112U&amp;KC=U")</f>
        <v>https://worldwide.espacenet.com/publicationDetails/biblio?II=32&amp;ND=3&amp;adjacent=true&amp;locale=en_EP&amp;FT=D&amp;date=20171128&amp;CC=CN&amp;NR=206679112U&amp;KC=U</v>
      </c>
    </row>
    <row r="546" spans="3:5" x14ac:dyDescent="0.25">
      <c r="C546" t="s">
        <v>847</v>
      </c>
      <c r="D546" t="s">
        <v>848</v>
      </c>
      <c r="E546" t="str">
        <f>HYPERLINK("https://worldwide.espacenet.com/publicationDetails/biblio?II=33&amp;ND=3&amp;adjacent=true&amp;locale=en_EP&amp;FT=D&amp;date=20171124&amp;CC=CN&amp;NR=206664791U&amp;KC=U")</f>
        <v>https://worldwide.espacenet.com/publicationDetails/biblio?II=33&amp;ND=3&amp;adjacent=true&amp;locale=en_EP&amp;FT=D&amp;date=20171124&amp;CC=CN&amp;NR=206664791U&amp;KC=U</v>
      </c>
    </row>
    <row r="547" spans="3:5" x14ac:dyDescent="0.25">
      <c r="C547" t="s">
        <v>849</v>
      </c>
      <c r="D547" t="s">
        <v>850</v>
      </c>
      <c r="E547" t="str">
        <f>HYPERLINK("https://worldwide.espacenet.com/publicationDetails/biblio?II=34&amp;ND=3&amp;adjacent=true&amp;locale=en_EP&amp;FT=D&amp;date=20171124&amp;CC=CN&amp;NR=107374911A&amp;KC=A")</f>
        <v>https://worldwide.espacenet.com/publicationDetails/biblio?II=34&amp;ND=3&amp;adjacent=true&amp;locale=en_EP&amp;FT=D&amp;date=20171124&amp;CC=CN&amp;NR=107374911A&amp;KC=A</v>
      </c>
    </row>
    <row r="548" spans="3:5" x14ac:dyDescent="0.25">
      <c r="C548" t="s">
        <v>855</v>
      </c>
      <c r="D548" t="s">
        <v>856</v>
      </c>
      <c r="E548" t="str">
        <f>HYPERLINK("https://worldwide.espacenet.com/publicationDetails/biblio?II=35&amp;ND=3&amp;adjacent=true&amp;locale=en_EP&amp;FT=D&amp;date=20171121&amp;CC=CN&amp;NR=107368081A&amp;KC=A")</f>
        <v>https://worldwide.espacenet.com/publicationDetails/biblio?II=35&amp;ND=3&amp;adjacent=true&amp;locale=en_EP&amp;FT=D&amp;date=20171121&amp;CC=CN&amp;NR=107368081A&amp;KC=A</v>
      </c>
    </row>
    <row r="549" spans="3:5" x14ac:dyDescent="0.25">
      <c r="C549" t="s">
        <v>889</v>
      </c>
      <c r="D549" t="s">
        <v>890</v>
      </c>
      <c r="E549" t="str">
        <f>HYPERLINK("https://worldwide.espacenet.com/publicationDetails/biblio?II=36&amp;ND=3&amp;adjacent=true&amp;locale=en_EP&amp;FT=D&amp;date=20171107&amp;CC=CN&amp;NR=107321969A&amp;KC=A")</f>
        <v>https://worldwide.espacenet.com/publicationDetails/biblio?II=36&amp;ND=3&amp;adjacent=true&amp;locale=en_EP&amp;FT=D&amp;date=20171107&amp;CC=CN&amp;NR=107321969A&amp;KC=A</v>
      </c>
    </row>
    <row r="550" spans="3:5" x14ac:dyDescent="0.25">
      <c r="C550" t="s">
        <v>947</v>
      </c>
      <c r="D550" t="s">
        <v>948</v>
      </c>
      <c r="E550" t="str">
        <f>HYPERLINK("https://worldwide.espacenet.com/publicationDetails/biblio?II=37&amp;ND=3&amp;adjacent=true&amp;locale=en_EP&amp;FT=D&amp;date=20171017&amp;CC=CN&amp;NR=206561410U&amp;KC=U")</f>
        <v>https://worldwide.espacenet.com/publicationDetails/biblio?II=37&amp;ND=3&amp;adjacent=true&amp;locale=en_EP&amp;FT=D&amp;date=20171017&amp;CC=CN&amp;NR=206561410U&amp;KC=U</v>
      </c>
    </row>
    <row r="551" spans="3:5" x14ac:dyDescent="0.25">
      <c r="C551" t="s">
        <v>951</v>
      </c>
      <c r="D551" t="s">
        <v>952</v>
      </c>
      <c r="E551" t="str">
        <f>HYPERLINK("https://worldwide.espacenet.com/publicationDetails/biblio?II=38&amp;ND=3&amp;adjacent=true&amp;locale=en_EP&amp;FT=D&amp;date=20171017&amp;CC=CN&amp;NR=107253179A&amp;KC=A")</f>
        <v>https://worldwide.espacenet.com/publicationDetails/biblio?II=38&amp;ND=3&amp;adjacent=true&amp;locale=en_EP&amp;FT=D&amp;date=20171017&amp;CC=CN&amp;NR=107253179A&amp;KC=A</v>
      </c>
    </row>
    <row r="552" spans="3:5" x14ac:dyDescent="0.25">
      <c r="C552" t="s">
        <v>987</v>
      </c>
      <c r="D552" t="s">
        <v>988</v>
      </c>
      <c r="E552" t="str">
        <f>HYPERLINK("https://worldwide.espacenet.com/publicationDetails/biblio?II=39&amp;ND=3&amp;adjacent=true&amp;locale=en_EP&amp;FT=D&amp;date=20170922&amp;CC=CN&amp;NR=107186736A&amp;KC=A")</f>
        <v>https://worldwide.espacenet.com/publicationDetails/biblio?II=39&amp;ND=3&amp;adjacent=true&amp;locale=en_EP&amp;FT=D&amp;date=20170922&amp;CC=CN&amp;NR=107186736A&amp;KC=A</v>
      </c>
    </row>
    <row r="553" spans="3:5" x14ac:dyDescent="0.25">
      <c r="C553" t="s">
        <v>989</v>
      </c>
      <c r="D553" t="s">
        <v>990</v>
      </c>
      <c r="E553" t="str">
        <f>HYPERLINK("https://worldwide.espacenet.com/publicationDetails/biblio?II=40&amp;ND=3&amp;adjacent=true&amp;locale=en_EP&amp;FT=D&amp;date=20170919&amp;CC=CN&amp;NR=206499863U&amp;KC=U")</f>
        <v>https://worldwide.espacenet.com/publicationDetails/biblio?II=40&amp;ND=3&amp;adjacent=true&amp;locale=en_EP&amp;FT=D&amp;date=20170919&amp;CC=CN&amp;NR=206499863U&amp;KC=U</v>
      </c>
    </row>
    <row r="554" spans="3:5" x14ac:dyDescent="0.25">
      <c r="C554" t="s">
        <v>991</v>
      </c>
      <c r="D554" t="s">
        <v>992</v>
      </c>
      <c r="E554" t="str">
        <f>HYPERLINK("https://worldwide.espacenet.com/publicationDetails/biblio?II=41&amp;ND=3&amp;adjacent=true&amp;locale=en_EP&amp;FT=D&amp;date=20170912&amp;CC=CN&amp;NR=206484588U&amp;KC=U")</f>
        <v>https://worldwide.espacenet.com/publicationDetails/biblio?II=41&amp;ND=3&amp;adjacent=true&amp;locale=en_EP&amp;FT=D&amp;date=20170912&amp;CC=CN&amp;NR=206484588U&amp;KC=U</v>
      </c>
    </row>
    <row r="555" spans="3:5" x14ac:dyDescent="0.25">
      <c r="C555" t="s">
        <v>993</v>
      </c>
      <c r="D555" t="s">
        <v>994</v>
      </c>
      <c r="E555" t="str">
        <f>HYPERLINK("https://worldwide.espacenet.com/publicationDetails/biblio?II=42&amp;ND=3&amp;adjacent=true&amp;locale=en_EP&amp;FT=D&amp;date=20170811&amp;CC=CN&amp;NR=107037825A&amp;KC=A")</f>
        <v>https://worldwide.espacenet.com/publicationDetails/biblio?II=42&amp;ND=3&amp;adjacent=true&amp;locale=en_EP&amp;FT=D&amp;date=20170811&amp;CC=CN&amp;NR=107037825A&amp;KC=A</v>
      </c>
    </row>
    <row r="556" spans="3:5" x14ac:dyDescent="0.25">
      <c r="C556" t="s">
        <v>995</v>
      </c>
      <c r="D556" t="s">
        <v>996</v>
      </c>
      <c r="E556" t="str">
        <f>HYPERLINK("https://worldwide.espacenet.com/publicationDetails/biblio?II=43&amp;ND=3&amp;adjacent=true&amp;locale=en_EP&amp;FT=D&amp;date=20170801&amp;CC=CN&amp;NR=106994688A&amp;KC=A")</f>
        <v>https://worldwide.espacenet.com/publicationDetails/biblio?II=43&amp;ND=3&amp;adjacent=true&amp;locale=en_EP&amp;FT=D&amp;date=20170801&amp;CC=CN&amp;NR=106994688A&amp;KC=A</v>
      </c>
    </row>
    <row r="557" spans="3:5" x14ac:dyDescent="0.25">
      <c r="C557" t="s">
        <v>997</v>
      </c>
      <c r="D557" t="s">
        <v>998</v>
      </c>
      <c r="E557" t="str">
        <f>HYPERLINK("https://worldwide.espacenet.com/publicationDetails/biblio?II=44&amp;ND=3&amp;adjacent=true&amp;locale=en_EP&amp;FT=D&amp;date=20170721&amp;CC=CN&amp;NR=206344175U&amp;KC=U")</f>
        <v>https://worldwide.espacenet.com/publicationDetails/biblio?II=44&amp;ND=3&amp;adjacent=true&amp;locale=en_EP&amp;FT=D&amp;date=20170721&amp;CC=CN&amp;NR=206344175U&amp;KC=U</v>
      </c>
    </row>
    <row r="558" spans="3:5" x14ac:dyDescent="0.25">
      <c r="C558" t="s">
        <v>999</v>
      </c>
      <c r="D558" t="s">
        <v>1000</v>
      </c>
      <c r="E558" t="str">
        <f>HYPERLINK("https://worldwide.espacenet.com/publicationDetails/biblio?II=45&amp;ND=3&amp;adjacent=true&amp;locale=en_EP&amp;FT=D&amp;date=20170721&amp;CC=CN&amp;NR=206342431U&amp;KC=U")</f>
        <v>https://worldwide.espacenet.com/publicationDetails/biblio?II=45&amp;ND=3&amp;adjacent=true&amp;locale=en_EP&amp;FT=D&amp;date=20170721&amp;CC=CN&amp;NR=206342431U&amp;KC=U</v>
      </c>
    </row>
    <row r="559" spans="3:5" x14ac:dyDescent="0.25">
      <c r="C559" t="s">
        <v>1001</v>
      </c>
      <c r="D559" t="s">
        <v>1002</v>
      </c>
      <c r="E559" t="str">
        <f>HYPERLINK("https://worldwide.espacenet.com/publicationDetails/biblio?II=46&amp;ND=3&amp;adjacent=true&amp;locale=en_EP&amp;FT=D&amp;date=20170630&amp;CC=CN&amp;NR=106904153A&amp;KC=A")</f>
        <v>https://worldwide.espacenet.com/publicationDetails/biblio?II=46&amp;ND=3&amp;adjacent=true&amp;locale=en_EP&amp;FT=D&amp;date=20170630&amp;CC=CN&amp;NR=106904153A&amp;KC=A</v>
      </c>
    </row>
    <row r="560" spans="3:5" x14ac:dyDescent="0.25">
      <c r="C560" t="s">
        <v>1003</v>
      </c>
      <c r="D560" t="s">
        <v>1004</v>
      </c>
      <c r="E560" t="str">
        <f>HYPERLINK("https://worldwide.espacenet.com/publicationDetails/biblio?II=47&amp;ND=3&amp;adjacent=true&amp;locale=en_EP&amp;FT=D&amp;date=20170620&amp;CC=CN&amp;NR=106864617A&amp;KC=A")</f>
        <v>https://worldwide.espacenet.com/publicationDetails/biblio?II=47&amp;ND=3&amp;adjacent=true&amp;locale=en_EP&amp;FT=D&amp;date=20170620&amp;CC=CN&amp;NR=106864617A&amp;KC=A</v>
      </c>
    </row>
    <row r="561" spans="3:5" x14ac:dyDescent="0.25">
      <c r="C561" t="s">
        <v>974</v>
      </c>
      <c r="D561" t="s">
        <v>975</v>
      </c>
      <c r="E561" t="str">
        <f>HYPERLINK("https://worldwide.espacenet.com/publicationDetails/biblio?II=48&amp;ND=3&amp;adjacent=true&amp;locale=en_EP&amp;FT=D&amp;date=20170613&amp;CC=CN&amp;NR=106826753A&amp;KC=A")</f>
        <v>https://worldwide.espacenet.com/publicationDetails/biblio?II=48&amp;ND=3&amp;adjacent=true&amp;locale=en_EP&amp;FT=D&amp;date=20170613&amp;CC=CN&amp;NR=106826753A&amp;KC=A</v>
      </c>
    </row>
    <row r="562" spans="3:5" x14ac:dyDescent="0.25">
      <c r="C562" t="s">
        <v>1005</v>
      </c>
      <c r="D562" t="s">
        <v>1006</v>
      </c>
      <c r="E562" t="str">
        <f>HYPERLINK("https://worldwide.espacenet.com/publicationDetails/biblio?II=49&amp;ND=3&amp;adjacent=true&amp;locale=en_EP&amp;FT=D&amp;date=20170613&amp;CC=CN&amp;NR=106842927A&amp;KC=A")</f>
        <v>https://worldwide.espacenet.com/publicationDetails/biblio?II=49&amp;ND=3&amp;adjacent=true&amp;locale=en_EP&amp;FT=D&amp;date=20170613&amp;CC=CN&amp;NR=106842927A&amp;KC=A</v>
      </c>
    </row>
    <row r="563" spans="3:5" x14ac:dyDescent="0.25">
      <c r="C563" t="s">
        <v>1007</v>
      </c>
      <c r="D563" t="s">
        <v>1008</v>
      </c>
      <c r="E563" t="str">
        <f>HYPERLINK("https://worldwide.espacenet.com/publicationDetails/biblio?II=50&amp;ND=3&amp;adjacent=true&amp;locale=en_EP&amp;FT=D&amp;date=20170627&amp;CC=CN&amp;NR=206277398U&amp;KC=U")</f>
        <v>https://worldwide.espacenet.com/publicationDetails/biblio?II=50&amp;ND=3&amp;adjacent=true&amp;locale=en_EP&amp;FT=D&amp;date=20170627&amp;CC=CN&amp;NR=206277398U&amp;KC=U</v>
      </c>
    </row>
    <row r="564" spans="3:5" x14ac:dyDescent="0.25">
      <c r="C564" t="s">
        <v>1009</v>
      </c>
      <c r="D564" t="s">
        <v>1010</v>
      </c>
      <c r="E564" t="str">
        <f>HYPERLINK("https://worldwide.espacenet.com/publicationDetails/biblio?II=51&amp;ND=3&amp;adjacent=true&amp;locale=en_EP&amp;FT=D&amp;date=20170531&amp;CC=CN&amp;NR=106737841A&amp;KC=A")</f>
        <v>https://worldwide.espacenet.com/publicationDetails/biblio?II=51&amp;ND=3&amp;adjacent=true&amp;locale=en_EP&amp;FT=D&amp;date=20170531&amp;CC=CN&amp;NR=106737841A&amp;KC=A</v>
      </c>
    </row>
    <row r="565" spans="3:5" x14ac:dyDescent="0.25">
      <c r="C565" t="s">
        <v>1011</v>
      </c>
      <c r="D565" t="s">
        <v>1012</v>
      </c>
      <c r="E565" t="str">
        <f>HYPERLINK("https://worldwide.espacenet.com/publicationDetails/biblio?II=52&amp;ND=3&amp;adjacent=true&amp;locale=en_EP&amp;FT=D&amp;date=20170524&amp;CC=CN&amp;NR=106696629A&amp;KC=A")</f>
        <v>https://worldwide.espacenet.com/publicationDetails/biblio?II=52&amp;ND=3&amp;adjacent=true&amp;locale=en_EP&amp;FT=D&amp;date=20170524&amp;CC=CN&amp;NR=106696629A&amp;KC=A</v>
      </c>
    </row>
    <row r="566" spans="3:5" x14ac:dyDescent="0.25">
      <c r="C566" t="s">
        <v>1013</v>
      </c>
      <c r="D566" t="s">
        <v>1014</v>
      </c>
      <c r="E566" t="str">
        <f>HYPERLINK("https://worldwide.espacenet.com/publicationDetails/biblio?II=53&amp;ND=3&amp;adjacent=true&amp;locale=en_EP&amp;FT=D&amp;date=20170531&amp;CC=CN&amp;NR=106773663A&amp;KC=A")</f>
        <v>https://worldwide.espacenet.com/publicationDetails/biblio?II=53&amp;ND=3&amp;adjacent=true&amp;locale=en_EP&amp;FT=D&amp;date=20170531&amp;CC=CN&amp;NR=106773663A&amp;KC=A</v>
      </c>
    </row>
    <row r="567" spans="3:5" x14ac:dyDescent="0.25">
      <c r="C567" t="s">
        <v>1015</v>
      </c>
      <c r="D567" t="s">
        <v>1016</v>
      </c>
      <c r="E567" t="str">
        <f>HYPERLINK("https://worldwide.espacenet.com/publicationDetails/biblio?II=54&amp;ND=3&amp;adjacent=true&amp;locale=en_EP&amp;FT=D&amp;date=20170531&amp;CC=CN&amp;NR=106733875A&amp;KC=A")</f>
        <v>https://worldwide.espacenet.com/publicationDetails/biblio?II=54&amp;ND=3&amp;adjacent=true&amp;locale=en_EP&amp;FT=D&amp;date=20170531&amp;CC=CN&amp;NR=106733875A&amp;KC=A</v>
      </c>
    </row>
    <row r="568" spans="3:5" x14ac:dyDescent="0.25">
      <c r="C568" t="s">
        <v>1017</v>
      </c>
      <c r="D568" t="s">
        <v>1018</v>
      </c>
      <c r="E568" t="str">
        <f>HYPERLINK("https://worldwide.espacenet.com/publicationDetails/biblio?II=55&amp;ND=3&amp;adjacent=true&amp;locale=en_EP&amp;FT=D&amp;date=20170510&amp;CC=CN&amp;NR=106625569A&amp;KC=A")</f>
        <v>https://worldwide.espacenet.com/publicationDetails/biblio?II=55&amp;ND=3&amp;adjacent=true&amp;locale=en_EP&amp;FT=D&amp;date=20170510&amp;CC=CN&amp;NR=106625569A&amp;KC=A</v>
      </c>
    </row>
    <row r="569" spans="3:5" x14ac:dyDescent="0.25">
      <c r="C569" t="s">
        <v>1019</v>
      </c>
      <c r="D569" t="s">
        <v>1020</v>
      </c>
      <c r="E569" t="str">
        <f>HYPERLINK("https://worldwide.espacenet.com/publicationDetails/biblio?II=56&amp;ND=3&amp;adjacent=true&amp;locale=en_EP&amp;FT=D&amp;date=20170510&amp;CC=CN&amp;NR=106627894A&amp;KC=A")</f>
        <v>https://worldwide.espacenet.com/publicationDetails/biblio?II=56&amp;ND=3&amp;adjacent=true&amp;locale=en_EP&amp;FT=D&amp;date=20170510&amp;CC=CN&amp;NR=106627894A&amp;KC=A</v>
      </c>
    </row>
    <row r="570" spans="3:5" x14ac:dyDescent="0.25">
      <c r="C570" t="s">
        <v>976</v>
      </c>
      <c r="D570" t="s">
        <v>977</v>
      </c>
      <c r="E570" t="str">
        <f>HYPERLINK("https://worldwide.espacenet.com/publicationDetails/biblio?II=57&amp;ND=3&amp;adjacent=true&amp;locale=en_EP&amp;FT=D&amp;date=20170510&amp;CC=CN&amp;NR=106627824A&amp;KC=A")</f>
        <v>https://worldwide.espacenet.com/publicationDetails/biblio?II=57&amp;ND=3&amp;adjacent=true&amp;locale=en_EP&amp;FT=D&amp;date=20170510&amp;CC=CN&amp;NR=106627824A&amp;KC=A</v>
      </c>
    </row>
    <row r="571" spans="3:5" x14ac:dyDescent="0.25">
      <c r="C571" t="s">
        <v>1007</v>
      </c>
      <c r="D571" t="s">
        <v>1021</v>
      </c>
      <c r="E571" t="str">
        <f>HYPERLINK("https://worldwide.espacenet.com/publicationDetails/biblio?II=58&amp;ND=3&amp;adjacent=true&amp;locale=en_EP&amp;FT=D&amp;date=20170524&amp;CC=CN&amp;NR=206185856U&amp;KC=U")</f>
        <v>https://worldwide.espacenet.com/publicationDetails/biblio?II=58&amp;ND=3&amp;adjacent=true&amp;locale=en_EP&amp;FT=D&amp;date=20170524&amp;CC=CN&amp;NR=206185856U&amp;KC=U</v>
      </c>
    </row>
    <row r="572" spans="3:5" x14ac:dyDescent="0.25">
      <c r="C572" t="s">
        <v>1022</v>
      </c>
      <c r="D572" t="s">
        <v>1023</v>
      </c>
      <c r="E572" t="str">
        <f>HYPERLINK("https://worldwide.espacenet.com/publicationDetails/biblio?II=59&amp;ND=3&amp;adjacent=true&amp;locale=en_EP&amp;FT=D&amp;date=20170426&amp;CC=CN&amp;NR=106593438A&amp;KC=A")</f>
        <v>https://worldwide.espacenet.com/publicationDetails/biblio?II=59&amp;ND=3&amp;adjacent=true&amp;locale=en_EP&amp;FT=D&amp;date=20170426&amp;CC=CN&amp;NR=106593438A&amp;KC=A</v>
      </c>
    </row>
    <row r="573" spans="3:5" x14ac:dyDescent="0.25">
      <c r="C573" t="s">
        <v>1024</v>
      </c>
      <c r="D573" t="s">
        <v>1025</v>
      </c>
      <c r="E573" t="str">
        <f>HYPERLINK("https://worldwide.espacenet.com/publicationDetails/biblio?II=60&amp;ND=3&amp;adjacent=true&amp;locale=en_EP&amp;FT=D&amp;date=20170420&amp;CC=US&amp;NR=2017106738A1&amp;KC=A1")</f>
        <v>https://worldwide.espacenet.com/publicationDetails/biblio?II=60&amp;ND=3&amp;adjacent=true&amp;locale=en_EP&amp;FT=D&amp;date=20170420&amp;CC=US&amp;NR=2017106738A1&amp;KC=A1</v>
      </c>
    </row>
    <row r="574" spans="3:5" x14ac:dyDescent="0.25">
      <c r="C574" t="s">
        <v>1026</v>
      </c>
      <c r="D574" t="s">
        <v>1027</v>
      </c>
      <c r="E574" t="str">
        <f>HYPERLINK("https://worldwide.espacenet.com/publicationDetails/biblio?II=61&amp;ND=3&amp;adjacent=true&amp;locale=en_EP&amp;FT=D&amp;date=20170222&amp;CC=CN&amp;NR=106452206A&amp;KC=A")</f>
        <v>https://worldwide.espacenet.com/publicationDetails/biblio?II=61&amp;ND=3&amp;adjacent=true&amp;locale=en_EP&amp;FT=D&amp;date=20170222&amp;CC=CN&amp;NR=106452206A&amp;KC=A</v>
      </c>
    </row>
    <row r="575" spans="3:5" x14ac:dyDescent="0.25">
      <c r="C575" t="s">
        <v>1028</v>
      </c>
      <c r="D575" t="s">
        <v>1029</v>
      </c>
      <c r="E575" t="str">
        <f>HYPERLINK("https://worldwide.espacenet.com/publicationDetails/biblio?II=62&amp;ND=3&amp;adjacent=true&amp;locale=en_EP&amp;FT=D&amp;date=20170208&amp;CC=CN&amp;NR=205928674U&amp;KC=U")</f>
        <v>https://worldwide.espacenet.com/publicationDetails/biblio?II=62&amp;ND=3&amp;adjacent=true&amp;locale=en_EP&amp;FT=D&amp;date=20170208&amp;CC=CN&amp;NR=205928674U&amp;KC=U</v>
      </c>
    </row>
    <row r="576" spans="3:5" x14ac:dyDescent="0.25">
      <c r="C576" t="s">
        <v>1030</v>
      </c>
      <c r="D576" t="s">
        <v>1031</v>
      </c>
      <c r="E576" t="str">
        <f>HYPERLINK("https://worldwide.espacenet.com/publicationDetails/biblio?II=63&amp;ND=3&amp;adjacent=true&amp;locale=en_EP&amp;FT=D&amp;date=20170112&amp;CC=US&amp;NR=2017008579A1&amp;KC=A1")</f>
        <v>https://worldwide.espacenet.com/publicationDetails/biblio?II=63&amp;ND=3&amp;adjacent=true&amp;locale=en_EP&amp;FT=D&amp;date=20170112&amp;CC=US&amp;NR=2017008579A1&amp;KC=A1</v>
      </c>
    </row>
    <row r="577" spans="3:5" x14ac:dyDescent="0.25">
      <c r="C577" t="s">
        <v>1032</v>
      </c>
      <c r="D577" t="s">
        <v>1033</v>
      </c>
      <c r="E577" t="str">
        <f>HYPERLINK("https://worldwide.espacenet.com/publicationDetails/biblio?II=64&amp;ND=3&amp;adjacent=true&amp;locale=en_EP&amp;FT=D&amp;date=20170112&amp;CC=US&amp;NR=2017008176A1&amp;KC=A1")</f>
        <v>https://worldwide.espacenet.com/publicationDetails/biblio?II=64&amp;ND=3&amp;adjacent=true&amp;locale=en_EP&amp;FT=D&amp;date=20170112&amp;CC=US&amp;NR=2017008176A1&amp;KC=A1</v>
      </c>
    </row>
    <row r="578" spans="3:5" x14ac:dyDescent="0.25">
      <c r="C578" t="s">
        <v>1034</v>
      </c>
      <c r="D578" t="s">
        <v>1035</v>
      </c>
      <c r="E578" t="str">
        <f>HYPERLINK("https://worldwide.espacenet.com/publicationDetails/biblio?II=65&amp;ND=3&amp;adjacent=true&amp;locale=en_EP&amp;FT=D&amp;date=20161221&amp;CC=CN&amp;NR=106239503A&amp;KC=A")</f>
        <v>https://worldwide.espacenet.com/publicationDetails/biblio?II=65&amp;ND=3&amp;adjacent=true&amp;locale=en_EP&amp;FT=D&amp;date=20161221&amp;CC=CN&amp;NR=106239503A&amp;KC=A</v>
      </c>
    </row>
    <row r="579" spans="3:5" x14ac:dyDescent="0.25">
      <c r="C579" t="s">
        <v>1036</v>
      </c>
      <c r="D579" t="s">
        <v>1037</v>
      </c>
      <c r="E579" t="str">
        <f>HYPERLINK("https://worldwide.espacenet.com/publicationDetails/biblio?II=66&amp;ND=3&amp;adjacent=true&amp;locale=en_EP&amp;FT=D&amp;date=20161109&amp;CC=CN&amp;NR=205679960U&amp;KC=U")</f>
        <v>https://worldwide.espacenet.com/publicationDetails/biblio?II=66&amp;ND=3&amp;adjacent=true&amp;locale=en_EP&amp;FT=D&amp;date=20161109&amp;CC=CN&amp;NR=205679960U&amp;KC=U</v>
      </c>
    </row>
    <row r="580" spans="3:5" x14ac:dyDescent="0.25">
      <c r="C580" t="s">
        <v>1038</v>
      </c>
      <c r="D580" t="s">
        <v>1039</v>
      </c>
      <c r="E580" t="str">
        <f>HYPERLINK("https://worldwide.espacenet.com/publicationDetails/biblio?II=67&amp;ND=3&amp;adjacent=true&amp;locale=en_EP&amp;FT=D&amp;date=20161116&amp;CC=CN&amp;NR=205692040U&amp;KC=U")</f>
        <v>https://worldwide.espacenet.com/publicationDetails/biblio?II=67&amp;ND=3&amp;adjacent=true&amp;locale=en_EP&amp;FT=D&amp;date=20161116&amp;CC=CN&amp;NR=205692040U&amp;KC=U</v>
      </c>
    </row>
    <row r="581" spans="3:5" x14ac:dyDescent="0.25">
      <c r="C581" t="s">
        <v>1040</v>
      </c>
      <c r="D581" t="s">
        <v>1041</v>
      </c>
      <c r="E581" t="str">
        <f>HYPERLINK("https://worldwide.espacenet.com/publicationDetails/biblio?II=68&amp;ND=3&amp;adjacent=true&amp;locale=en_EP&amp;FT=D&amp;date=20161109&amp;CC=CN&amp;NR=106078744A&amp;KC=A")</f>
        <v>https://worldwide.espacenet.com/publicationDetails/biblio?II=68&amp;ND=3&amp;adjacent=true&amp;locale=en_EP&amp;FT=D&amp;date=20161109&amp;CC=CN&amp;NR=106078744A&amp;KC=A</v>
      </c>
    </row>
    <row r="582" spans="3:5" x14ac:dyDescent="0.25">
      <c r="C582" t="s">
        <v>1042</v>
      </c>
      <c r="D582" t="s">
        <v>1043</v>
      </c>
      <c r="E582" t="str">
        <f>HYPERLINK("https://worldwide.espacenet.com/publicationDetails/biblio?II=69&amp;ND=3&amp;adjacent=true&amp;locale=en_EP&amp;FT=D&amp;date=20160817&amp;CC=CN&amp;NR=205469357U&amp;KC=U")</f>
        <v>https://worldwide.espacenet.com/publicationDetails/biblio?II=69&amp;ND=3&amp;adjacent=true&amp;locale=en_EP&amp;FT=D&amp;date=20160817&amp;CC=CN&amp;NR=205469357U&amp;KC=U</v>
      </c>
    </row>
    <row r="583" spans="3:5" x14ac:dyDescent="0.25">
      <c r="C583" t="s">
        <v>1044</v>
      </c>
      <c r="D583" t="s">
        <v>1045</v>
      </c>
      <c r="E583" t="str">
        <f>HYPERLINK("https://worldwide.espacenet.com/publicationDetails/biblio?II=70&amp;ND=3&amp;adjacent=true&amp;locale=en_EP&amp;FT=D&amp;date=20160817&amp;CC=CN&amp;NR=205468385U&amp;KC=U")</f>
        <v>https://worldwide.espacenet.com/publicationDetails/biblio?II=70&amp;ND=3&amp;adjacent=true&amp;locale=en_EP&amp;FT=D&amp;date=20160817&amp;CC=CN&amp;NR=205468385U&amp;KC=U</v>
      </c>
    </row>
    <row r="584" spans="3:5" x14ac:dyDescent="0.25">
      <c r="C584" t="s">
        <v>1046</v>
      </c>
      <c r="D584" t="s">
        <v>1047</v>
      </c>
      <c r="E584" t="str">
        <f>HYPERLINK("https://worldwide.espacenet.com/publicationDetails/biblio?II=71&amp;ND=3&amp;adjacent=true&amp;locale=en_EP&amp;FT=D&amp;date=20160511&amp;CC=CN&amp;NR=205216018U&amp;KC=U")</f>
        <v>https://worldwide.espacenet.com/publicationDetails/biblio?II=71&amp;ND=3&amp;adjacent=true&amp;locale=en_EP&amp;FT=D&amp;date=20160511&amp;CC=CN&amp;NR=205216018U&amp;KC=U</v>
      </c>
    </row>
    <row r="585" spans="3:5" x14ac:dyDescent="0.25">
      <c r="C585" t="s">
        <v>1048</v>
      </c>
      <c r="D585" t="s">
        <v>1049</v>
      </c>
      <c r="E585" t="str">
        <f>HYPERLINK("https://worldwide.espacenet.com/publicationDetails/biblio?II=72&amp;ND=3&amp;adjacent=true&amp;locale=en_EP&amp;FT=D&amp;date=20160420&amp;CC=CN&amp;NR=205176659U&amp;KC=U")</f>
        <v>https://worldwide.espacenet.com/publicationDetails/biblio?II=72&amp;ND=3&amp;adjacent=true&amp;locale=en_EP&amp;FT=D&amp;date=20160420&amp;CC=CN&amp;NR=205176659U&amp;KC=U</v>
      </c>
    </row>
    <row r="586" spans="3:5" x14ac:dyDescent="0.25">
      <c r="C586" t="s">
        <v>1050</v>
      </c>
      <c r="D586" t="s">
        <v>1051</v>
      </c>
      <c r="E586" t="str">
        <f>HYPERLINK("https://worldwide.espacenet.com/publicationDetails/biblio?II=73&amp;ND=3&amp;adjacent=true&amp;locale=en_EP&amp;FT=D&amp;date=20160420&amp;CC=CN&amp;NR=205169904U&amp;KC=U")</f>
        <v>https://worldwide.espacenet.com/publicationDetails/biblio?II=73&amp;ND=3&amp;adjacent=true&amp;locale=en_EP&amp;FT=D&amp;date=20160420&amp;CC=CN&amp;NR=205169904U&amp;KC=U</v>
      </c>
    </row>
    <row r="587" spans="3:5" x14ac:dyDescent="0.25">
      <c r="C587" t="s">
        <v>1052</v>
      </c>
      <c r="D587" t="s">
        <v>1053</v>
      </c>
      <c r="E587" t="str">
        <f>HYPERLINK("https://worldwide.espacenet.com/publicationDetails/biblio?II=74&amp;ND=3&amp;adjacent=true&amp;locale=en_EP&amp;FT=D&amp;date=20160316&amp;CC=CN&amp;NR=105404296A&amp;KC=A")</f>
        <v>https://worldwide.espacenet.com/publicationDetails/biblio?II=74&amp;ND=3&amp;adjacent=true&amp;locale=en_EP&amp;FT=D&amp;date=20160316&amp;CC=CN&amp;NR=105404296A&amp;KC=A</v>
      </c>
    </row>
    <row r="588" spans="3:5" x14ac:dyDescent="0.25">
      <c r="C588" t="s">
        <v>1054</v>
      </c>
      <c r="D588" t="s">
        <v>1055</v>
      </c>
      <c r="E588" t="str">
        <f>HYPERLINK("https://worldwide.espacenet.com/publicationDetails/biblio?II=75&amp;ND=3&amp;adjacent=true&amp;locale=en_EP&amp;FT=D&amp;date=20160316&amp;CC=CN&amp;NR=105398840A&amp;KC=A")</f>
        <v>https://worldwide.espacenet.com/publicationDetails/biblio?II=75&amp;ND=3&amp;adjacent=true&amp;locale=en_EP&amp;FT=D&amp;date=20160316&amp;CC=CN&amp;NR=105398840A&amp;KC=A</v>
      </c>
    </row>
    <row r="589" spans="3:5" x14ac:dyDescent="0.25">
      <c r="C589" t="s">
        <v>1056</v>
      </c>
      <c r="D589" t="s">
        <v>1057</v>
      </c>
      <c r="E589" t="str">
        <f>HYPERLINK("https://worldwide.espacenet.com/publicationDetails/biblio?II=76&amp;ND=3&amp;adjacent=true&amp;locale=en_EP&amp;FT=D&amp;date=20160309&amp;CC=CN&amp;NR=205075070U&amp;KC=U")</f>
        <v>https://worldwide.espacenet.com/publicationDetails/biblio?II=76&amp;ND=3&amp;adjacent=true&amp;locale=en_EP&amp;FT=D&amp;date=20160309&amp;CC=CN&amp;NR=205075070U&amp;KC=U</v>
      </c>
    </row>
    <row r="590" spans="3:5" x14ac:dyDescent="0.25">
      <c r="C590" t="s">
        <v>1058</v>
      </c>
      <c r="D590" t="s">
        <v>1059</v>
      </c>
      <c r="E590" t="str">
        <f>HYPERLINK("https://worldwide.espacenet.com/publicationDetails/biblio?II=77&amp;ND=3&amp;adjacent=true&amp;locale=en_EP&amp;FT=D&amp;date=20160302&amp;CC=CN&amp;NR=205067990U&amp;KC=U")</f>
        <v>https://worldwide.espacenet.com/publicationDetails/biblio?II=77&amp;ND=3&amp;adjacent=true&amp;locale=en_EP&amp;FT=D&amp;date=20160302&amp;CC=CN&amp;NR=205067990U&amp;KC=U</v>
      </c>
    </row>
    <row r="591" spans="3:5" x14ac:dyDescent="0.25">
      <c r="C591" t="s">
        <v>1060</v>
      </c>
      <c r="D591" t="s">
        <v>1061</v>
      </c>
      <c r="E591" t="str">
        <f>HYPERLINK("https://worldwide.espacenet.com/publicationDetails/biblio?II=78&amp;ND=3&amp;adjacent=true&amp;locale=en_EP&amp;FT=D&amp;date=20160217&amp;CC=CN&amp;NR=205034207U&amp;KC=U")</f>
        <v>https://worldwide.espacenet.com/publicationDetails/biblio?II=78&amp;ND=3&amp;adjacent=true&amp;locale=en_EP&amp;FT=D&amp;date=20160217&amp;CC=CN&amp;NR=205034207U&amp;KC=U</v>
      </c>
    </row>
    <row r="592" spans="3:5" x14ac:dyDescent="0.25">
      <c r="C592" t="s">
        <v>1062</v>
      </c>
      <c r="D592" t="s">
        <v>1063</v>
      </c>
      <c r="E592" t="str">
        <f>HYPERLINK("https://worldwide.espacenet.com/publicationDetails/biblio?II=79&amp;ND=3&amp;adjacent=true&amp;locale=en_EP&amp;FT=D&amp;date=20160210&amp;CC=CN&amp;NR=105314043A&amp;KC=A")</f>
        <v>https://worldwide.espacenet.com/publicationDetails/biblio?II=79&amp;ND=3&amp;adjacent=true&amp;locale=en_EP&amp;FT=D&amp;date=20160210&amp;CC=CN&amp;NR=105314043A&amp;KC=A</v>
      </c>
    </row>
    <row r="593" spans="3:5" x14ac:dyDescent="0.25">
      <c r="C593" t="s">
        <v>1064</v>
      </c>
      <c r="D593" t="s">
        <v>1065</v>
      </c>
      <c r="E593" t="str">
        <f>HYPERLINK("https://worldwide.espacenet.com/publicationDetails/biblio?II=80&amp;ND=3&amp;adjacent=true&amp;locale=en_EP&amp;FT=D&amp;date=20160210&amp;CC=CN&amp;NR=105314020A&amp;KC=A")</f>
        <v>https://worldwide.espacenet.com/publicationDetails/biblio?II=80&amp;ND=3&amp;adjacent=true&amp;locale=en_EP&amp;FT=D&amp;date=20160210&amp;CC=CN&amp;NR=105314020A&amp;KC=A</v>
      </c>
    </row>
    <row r="594" spans="3:5" x14ac:dyDescent="0.25">
      <c r="C594" t="s">
        <v>1066</v>
      </c>
      <c r="D594" t="s">
        <v>1067</v>
      </c>
      <c r="E594" t="str">
        <f>HYPERLINK("https://worldwide.espacenet.com/publicationDetails/biblio?II=81&amp;ND=3&amp;adjacent=true&amp;locale=en_EP&amp;FT=D&amp;date=20160203&amp;CC=CN&amp;NR=105302148A&amp;KC=A")</f>
        <v>https://worldwide.espacenet.com/publicationDetails/biblio?II=81&amp;ND=3&amp;adjacent=true&amp;locale=en_EP&amp;FT=D&amp;date=20160203&amp;CC=CN&amp;NR=105302148A&amp;KC=A</v>
      </c>
    </row>
    <row r="595" spans="3:5" x14ac:dyDescent="0.25">
      <c r="C595" t="s">
        <v>978</v>
      </c>
      <c r="D595" t="s">
        <v>979</v>
      </c>
      <c r="E595" t="str">
        <f>HYPERLINK("https://worldwide.espacenet.com/publicationDetails/biblio?II=82&amp;ND=3&amp;adjacent=true&amp;locale=en_EP&amp;FT=D&amp;date=20160203&amp;CC=CN&amp;NR=105291085A&amp;KC=A")</f>
        <v>https://worldwide.espacenet.com/publicationDetails/biblio?II=82&amp;ND=3&amp;adjacent=true&amp;locale=en_EP&amp;FT=D&amp;date=20160203&amp;CC=CN&amp;NR=105291085A&amp;KC=A</v>
      </c>
    </row>
    <row r="596" spans="3:5" x14ac:dyDescent="0.25">
      <c r="C596" t="s">
        <v>1068</v>
      </c>
      <c r="D596" t="s">
        <v>1069</v>
      </c>
      <c r="E596" t="str">
        <f>HYPERLINK("https://worldwide.espacenet.com/publicationDetails/biblio?II=83&amp;ND=3&amp;adjacent=true&amp;locale=en_EP&amp;FT=D&amp;date=20160127&amp;CC=CN&amp;NR=105270524A&amp;KC=A")</f>
        <v>https://worldwide.espacenet.com/publicationDetails/biblio?II=83&amp;ND=3&amp;adjacent=true&amp;locale=en_EP&amp;FT=D&amp;date=20160127&amp;CC=CN&amp;NR=105270524A&amp;KC=A</v>
      </c>
    </row>
    <row r="597" spans="3:5" x14ac:dyDescent="0.25">
      <c r="C597" t="s">
        <v>1070</v>
      </c>
      <c r="D597" t="s">
        <v>1071</v>
      </c>
      <c r="E597" t="str">
        <f>HYPERLINK("https://worldwide.espacenet.com/publicationDetails/biblio?II=84&amp;ND=3&amp;adjacent=true&amp;locale=en_EP&amp;FT=D&amp;date=20160127&amp;CC=CN&amp;NR=105268093A&amp;KC=A")</f>
        <v>https://worldwide.espacenet.com/publicationDetails/biblio?II=84&amp;ND=3&amp;adjacent=true&amp;locale=en_EP&amp;FT=D&amp;date=20160127&amp;CC=CN&amp;NR=105268093A&amp;KC=A</v>
      </c>
    </row>
    <row r="598" spans="3:5" x14ac:dyDescent="0.25">
      <c r="C598" t="s">
        <v>1072</v>
      </c>
      <c r="D598" t="s">
        <v>1073</v>
      </c>
      <c r="E598" t="str">
        <f>HYPERLINK("https://worldwide.espacenet.com/publicationDetails/biblio?II=85&amp;ND=3&amp;adjacent=true&amp;locale=en_EP&amp;FT=D&amp;date=20160106&amp;CC=CN&amp;NR=204935631U&amp;KC=U")</f>
        <v>https://worldwide.espacenet.com/publicationDetails/biblio?II=85&amp;ND=3&amp;adjacent=true&amp;locale=en_EP&amp;FT=D&amp;date=20160106&amp;CC=CN&amp;NR=204935631U&amp;KC=U</v>
      </c>
    </row>
    <row r="599" spans="3:5" x14ac:dyDescent="0.25">
      <c r="C599" t="s">
        <v>1074</v>
      </c>
      <c r="D599" t="s">
        <v>1075</v>
      </c>
      <c r="E599" t="str">
        <f>HYPERLINK("https://worldwide.espacenet.com/publicationDetails/biblio?II=86&amp;ND=3&amp;adjacent=true&amp;locale=en_EP&amp;FT=D&amp;date=20160106&amp;CC=CN&amp;NR=105216899A&amp;KC=A")</f>
        <v>https://worldwide.espacenet.com/publicationDetails/biblio?II=86&amp;ND=3&amp;adjacent=true&amp;locale=en_EP&amp;FT=D&amp;date=20160106&amp;CC=CN&amp;NR=105216899A&amp;KC=A</v>
      </c>
    </row>
    <row r="600" spans="3:5" x14ac:dyDescent="0.25">
      <c r="C600" t="s">
        <v>1076</v>
      </c>
      <c r="D600" t="s">
        <v>1077</v>
      </c>
      <c r="E600" t="str">
        <f>HYPERLINK("https://worldwide.espacenet.com/publicationDetails/biblio?II=87&amp;ND=3&amp;adjacent=true&amp;locale=en_EP&amp;FT=D&amp;date=20151230&amp;CC=CN&amp;NR=105197153A&amp;KC=A")</f>
        <v>https://worldwide.espacenet.com/publicationDetails/biblio?II=87&amp;ND=3&amp;adjacent=true&amp;locale=en_EP&amp;FT=D&amp;date=20151230&amp;CC=CN&amp;NR=105197153A&amp;KC=A</v>
      </c>
    </row>
    <row r="601" spans="3:5" x14ac:dyDescent="0.25">
      <c r="C601" t="s">
        <v>1078</v>
      </c>
      <c r="D601" t="s">
        <v>1079</v>
      </c>
      <c r="E601" t="str">
        <f>HYPERLINK("https://worldwide.espacenet.com/publicationDetails/biblio?II=88&amp;ND=3&amp;adjacent=true&amp;locale=en_EP&amp;FT=D&amp;date=20151223&amp;CC=CN&amp;NR=204895668U&amp;KC=U")</f>
        <v>https://worldwide.espacenet.com/publicationDetails/biblio?II=88&amp;ND=3&amp;adjacent=true&amp;locale=en_EP&amp;FT=D&amp;date=20151223&amp;CC=CN&amp;NR=204895668U&amp;KC=U</v>
      </c>
    </row>
    <row r="602" spans="3:5" x14ac:dyDescent="0.25">
      <c r="C602" t="s">
        <v>1080</v>
      </c>
      <c r="D602" t="s">
        <v>1081</v>
      </c>
      <c r="E602" t="str">
        <f>HYPERLINK("https://worldwide.espacenet.com/publicationDetails/biblio?II=89&amp;ND=3&amp;adjacent=true&amp;locale=en_EP&amp;FT=D&amp;date=20151216&amp;CC=CN&amp;NR=105151169A&amp;KC=A")</f>
        <v>https://worldwide.espacenet.com/publicationDetails/biblio?II=89&amp;ND=3&amp;adjacent=true&amp;locale=en_EP&amp;FT=D&amp;date=20151216&amp;CC=CN&amp;NR=105151169A&amp;KC=A</v>
      </c>
    </row>
    <row r="603" spans="3:5" x14ac:dyDescent="0.25">
      <c r="C603" t="s">
        <v>1082</v>
      </c>
      <c r="D603" t="s">
        <v>1083</v>
      </c>
      <c r="E603" t="str">
        <f>HYPERLINK("https://worldwide.espacenet.com/publicationDetails/biblio?II=90&amp;ND=3&amp;adjacent=true&amp;locale=en_EP&amp;FT=D&amp;date=20151209&amp;CC=CN&amp;NR=204846379U&amp;KC=U")</f>
        <v>https://worldwide.espacenet.com/publicationDetails/biblio?II=90&amp;ND=3&amp;adjacent=true&amp;locale=en_EP&amp;FT=D&amp;date=20151209&amp;CC=CN&amp;NR=204846379U&amp;KC=U</v>
      </c>
    </row>
    <row r="604" spans="3:5" x14ac:dyDescent="0.25">
      <c r="C604" t="s">
        <v>1084</v>
      </c>
      <c r="D604" t="s">
        <v>1085</v>
      </c>
      <c r="E604" t="str">
        <f>HYPERLINK("https://worldwide.espacenet.com/publicationDetails/biblio?II=91&amp;ND=3&amp;adjacent=true&amp;locale=en_EP&amp;FT=D&amp;date=20151209&amp;CC=CN&amp;NR=204846214U&amp;KC=U")</f>
        <v>https://worldwide.espacenet.com/publicationDetails/biblio?II=91&amp;ND=3&amp;adjacent=true&amp;locale=en_EP&amp;FT=D&amp;date=20151209&amp;CC=CN&amp;NR=204846214U&amp;KC=U</v>
      </c>
    </row>
    <row r="605" spans="3:5" x14ac:dyDescent="0.25">
      <c r="C605" t="s">
        <v>1086</v>
      </c>
      <c r="D605" t="s">
        <v>1087</v>
      </c>
      <c r="E605" t="str">
        <f>HYPERLINK("https://worldwide.espacenet.com/publicationDetails/biblio?II=92&amp;ND=3&amp;adjacent=true&amp;locale=en_EP&amp;FT=D&amp;date=20151209&amp;CC=CN&amp;NR=204846213U&amp;KC=U")</f>
        <v>https://worldwide.espacenet.com/publicationDetails/biblio?II=92&amp;ND=3&amp;adjacent=true&amp;locale=en_EP&amp;FT=D&amp;date=20151209&amp;CC=CN&amp;NR=204846213U&amp;KC=U</v>
      </c>
    </row>
    <row r="606" spans="3:5" x14ac:dyDescent="0.25">
      <c r="C606" t="s">
        <v>1088</v>
      </c>
      <c r="D606" t="s">
        <v>1089</v>
      </c>
      <c r="E606" t="str">
        <f>HYPERLINK("https://worldwide.espacenet.com/publicationDetails/biblio?II=93&amp;ND=3&amp;adjacent=true&amp;locale=en_EP&amp;FT=D&amp;date=20151202&amp;CC=CN&amp;NR=204821912U&amp;KC=U")</f>
        <v>https://worldwide.espacenet.com/publicationDetails/biblio?II=93&amp;ND=3&amp;adjacent=true&amp;locale=en_EP&amp;FT=D&amp;date=20151202&amp;CC=CN&amp;NR=204821912U&amp;KC=U</v>
      </c>
    </row>
    <row r="607" spans="3:5" x14ac:dyDescent="0.25">
      <c r="C607" t="s">
        <v>980</v>
      </c>
      <c r="D607" t="s">
        <v>981</v>
      </c>
      <c r="E607" t="str">
        <f>HYPERLINK("https://worldwide.espacenet.com/publicationDetails/biblio?II=94&amp;ND=3&amp;adjacent=true&amp;locale=en_EP&amp;FT=D&amp;date=20151202&amp;CC=CN&amp;NR=105108758A&amp;KC=A")</f>
        <v>https://worldwide.espacenet.com/publicationDetails/biblio?II=94&amp;ND=3&amp;adjacent=true&amp;locale=en_EP&amp;FT=D&amp;date=20151202&amp;CC=CN&amp;NR=105108758A&amp;KC=A</v>
      </c>
    </row>
    <row r="608" spans="3:5" x14ac:dyDescent="0.25">
      <c r="C608" t="s">
        <v>1090</v>
      </c>
      <c r="D608" t="s">
        <v>1091</v>
      </c>
      <c r="E608" t="str">
        <f>HYPERLINK("https://worldwide.espacenet.com/publicationDetails/biblio?II=95&amp;ND=3&amp;adjacent=true&amp;locale=en_EP&amp;FT=D&amp;date=20151125&amp;CC=CN&amp;NR=105082102A&amp;KC=A")</f>
        <v>https://worldwide.espacenet.com/publicationDetails/biblio?II=95&amp;ND=3&amp;adjacent=true&amp;locale=en_EP&amp;FT=D&amp;date=20151125&amp;CC=CN&amp;NR=105082102A&amp;KC=A</v>
      </c>
    </row>
    <row r="609" spans="3:5" x14ac:dyDescent="0.25">
      <c r="C609" t="s">
        <v>982</v>
      </c>
      <c r="D609" t="s">
        <v>983</v>
      </c>
      <c r="E609" t="str">
        <f>HYPERLINK("https://worldwide.espacenet.com/publicationDetails/biblio?II=96&amp;ND=3&amp;adjacent=true&amp;locale=en_EP&amp;FT=D&amp;date=20151118&amp;CC=CN&amp;NR=204775573U&amp;KC=U")</f>
        <v>https://worldwide.espacenet.com/publicationDetails/biblio?II=96&amp;ND=3&amp;adjacent=true&amp;locale=en_EP&amp;FT=D&amp;date=20151118&amp;CC=CN&amp;NR=204775573U&amp;KC=U</v>
      </c>
    </row>
    <row r="610" spans="3:5" x14ac:dyDescent="0.25">
      <c r="C610" t="s">
        <v>1092</v>
      </c>
      <c r="D610" t="s">
        <v>1093</v>
      </c>
      <c r="E610" t="str">
        <f>HYPERLINK("https://worldwide.espacenet.com/publicationDetails/biblio?II=97&amp;ND=3&amp;adjacent=true&amp;locale=en_EP&amp;FT=D&amp;date=20151118&amp;CC=CN&amp;NR=105068541A&amp;KC=A")</f>
        <v>https://worldwide.espacenet.com/publicationDetails/biblio?II=97&amp;ND=3&amp;adjacent=true&amp;locale=en_EP&amp;FT=D&amp;date=20151118&amp;CC=CN&amp;NR=105068541A&amp;KC=A</v>
      </c>
    </row>
    <row r="611" spans="3:5" x14ac:dyDescent="0.25">
      <c r="C611" t="s">
        <v>1094</v>
      </c>
      <c r="D611" t="s">
        <v>1095</v>
      </c>
      <c r="E611" t="str">
        <f>HYPERLINK("https://worldwide.espacenet.com/publicationDetails/biblio?II=98&amp;ND=3&amp;adjacent=true&amp;locale=en_EP&amp;FT=D&amp;date=20151028&amp;CC=CN&amp;NR=105000107A&amp;KC=A")</f>
        <v>https://worldwide.espacenet.com/publicationDetails/biblio?II=98&amp;ND=3&amp;adjacent=true&amp;locale=en_EP&amp;FT=D&amp;date=20151028&amp;CC=CN&amp;NR=105000107A&amp;KC=A</v>
      </c>
    </row>
    <row r="612" spans="3:5" x14ac:dyDescent="0.25">
      <c r="C612" t="s">
        <v>1096</v>
      </c>
      <c r="D612" t="s">
        <v>1097</v>
      </c>
      <c r="E612" t="str">
        <f>HYPERLINK("https://worldwide.espacenet.com/publicationDetails/biblio?II=99&amp;ND=3&amp;adjacent=true&amp;locale=en_EP&amp;FT=D&amp;date=20151028&amp;CC=CN&amp;NR=105000106A&amp;KC=A")</f>
        <v>https://worldwide.espacenet.com/publicationDetails/biblio?II=99&amp;ND=3&amp;adjacent=true&amp;locale=en_EP&amp;FT=D&amp;date=20151028&amp;CC=CN&amp;NR=105000106A&amp;KC=A</v>
      </c>
    </row>
    <row r="613" spans="3:5" x14ac:dyDescent="0.25">
      <c r="C613" t="s">
        <v>1098</v>
      </c>
      <c r="D613" t="s">
        <v>1099</v>
      </c>
      <c r="E613" t="str">
        <f>HYPERLINK("https://worldwide.espacenet.com/publicationDetails/biblio?II=100&amp;ND=3&amp;adjacent=true&amp;locale=en_EP&amp;FT=D&amp;date=20151021&amp;CC=CN&amp;NR=104985584A&amp;KC=A")</f>
        <v>https://worldwide.espacenet.com/publicationDetails/biblio?II=100&amp;ND=3&amp;adjacent=true&amp;locale=en_EP&amp;FT=D&amp;date=20151021&amp;CC=CN&amp;NR=104985584A&amp;KC=A</v>
      </c>
    </row>
    <row r="614" spans="3:5" x14ac:dyDescent="0.25">
      <c r="C614" t="s">
        <v>1100</v>
      </c>
      <c r="D614" t="s">
        <v>1101</v>
      </c>
      <c r="E614" t="str">
        <f>HYPERLINK("https://worldwide.espacenet.com/publicationDetails/biblio?II=101&amp;ND=3&amp;adjacent=true&amp;locale=en_EP&amp;FT=D&amp;date=20150930&amp;CC=CN&amp;NR=204673629U&amp;KC=U")</f>
        <v>https://worldwide.espacenet.com/publicationDetails/biblio?II=101&amp;ND=3&amp;adjacent=true&amp;locale=en_EP&amp;FT=D&amp;date=20150930&amp;CC=CN&amp;NR=204673629U&amp;KC=U</v>
      </c>
    </row>
    <row r="615" spans="3:5" x14ac:dyDescent="0.25">
      <c r="C615" t="s">
        <v>1102</v>
      </c>
      <c r="D615" t="s">
        <v>1103</v>
      </c>
      <c r="E615" t="str">
        <f>HYPERLINK("https://worldwide.espacenet.com/publicationDetails/biblio?II=102&amp;ND=3&amp;adjacent=true&amp;locale=en_EP&amp;FT=D&amp;date=20150916&amp;CC=CN&amp;NR=204641939U&amp;KC=U")</f>
        <v>https://worldwide.espacenet.com/publicationDetails/biblio?II=102&amp;ND=3&amp;adjacent=true&amp;locale=en_EP&amp;FT=D&amp;date=20150916&amp;CC=CN&amp;NR=204641939U&amp;KC=U</v>
      </c>
    </row>
    <row r="616" spans="3:5" x14ac:dyDescent="0.25">
      <c r="C616" t="s">
        <v>1104</v>
      </c>
      <c r="D616" t="s">
        <v>1105</v>
      </c>
      <c r="E616" t="str">
        <f>HYPERLINK("https://worldwide.espacenet.com/publicationDetails/biblio?II=103&amp;ND=3&amp;adjacent=true&amp;locale=en_EP&amp;FT=D&amp;date=20150909&amp;CC=CN&amp;NR=204628516U&amp;KC=U")</f>
        <v>https://worldwide.espacenet.com/publicationDetails/biblio?II=103&amp;ND=3&amp;adjacent=true&amp;locale=en_EP&amp;FT=D&amp;date=20150909&amp;CC=CN&amp;NR=204628516U&amp;KC=U</v>
      </c>
    </row>
    <row r="617" spans="3:5" x14ac:dyDescent="0.25">
      <c r="C617" t="s">
        <v>1106</v>
      </c>
      <c r="D617" t="s">
        <v>1107</v>
      </c>
      <c r="E617" t="str">
        <f>HYPERLINK("https://worldwide.espacenet.com/publicationDetails/biblio?II=104&amp;ND=3&amp;adjacent=true&amp;locale=en_EP&amp;FT=D&amp;date=20150902&amp;CC=CN&amp;NR=104875813A&amp;KC=A")</f>
        <v>https://worldwide.espacenet.com/publicationDetails/biblio?II=104&amp;ND=3&amp;adjacent=true&amp;locale=en_EP&amp;FT=D&amp;date=20150902&amp;CC=CN&amp;NR=104875813A&amp;KC=A</v>
      </c>
    </row>
    <row r="618" spans="3:5" x14ac:dyDescent="0.25">
      <c r="C618" t="s">
        <v>1108</v>
      </c>
      <c r="D618" t="s">
        <v>1109</v>
      </c>
      <c r="E618" t="str">
        <f>HYPERLINK("https://worldwide.espacenet.com/publicationDetails/biblio?II=105&amp;ND=3&amp;adjacent=true&amp;locale=en_EP&amp;FT=D&amp;date=20150827&amp;CC=US&amp;NR=2015239521A1&amp;KC=A1")</f>
        <v>https://worldwide.espacenet.com/publicationDetails/biblio?II=105&amp;ND=3&amp;adjacent=true&amp;locale=en_EP&amp;FT=D&amp;date=20150827&amp;CC=US&amp;NR=2015239521A1&amp;KC=A1</v>
      </c>
    </row>
    <row r="619" spans="3:5" x14ac:dyDescent="0.25">
      <c r="C619" t="s">
        <v>1110</v>
      </c>
      <c r="D619" t="s">
        <v>1111</v>
      </c>
      <c r="E619" t="str">
        <f>HYPERLINK("https://worldwide.espacenet.com/publicationDetails/biblio?II=106&amp;ND=3&amp;adjacent=true&amp;locale=en_EP&amp;FT=D&amp;date=20150827&amp;CC=US&amp;NR=2015239499A1&amp;KC=A1")</f>
        <v>https://worldwide.espacenet.com/publicationDetails/biblio?II=106&amp;ND=3&amp;adjacent=true&amp;locale=en_EP&amp;FT=D&amp;date=20150827&amp;CC=US&amp;NR=2015239499A1&amp;KC=A1</v>
      </c>
    </row>
    <row r="620" spans="3:5" x14ac:dyDescent="0.25">
      <c r="C620" t="s">
        <v>1112</v>
      </c>
      <c r="D620" t="s">
        <v>1113</v>
      </c>
      <c r="E620" t="str">
        <f>HYPERLINK("https://worldwide.espacenet.com/publicationDetails/biblio?II=107&amp;ND=3&amp;adjacent=true&amp;locale=en_EP&amp;FT=D&amp;date=20150812&amp;CC=CN&amp;NR=204548330U&amp;KC=U")</f>
        <v>https://worldwide.espacenet.com/publicationDetails/biblio?II=107&amp;ND=3&amp;adjacent=true&amp;locale=en_EP&amp;FT=D&amp;date=20150812&amp;CC=CN&amp;NR=204548330U&amp;KC=U</v>
      </c>
    </row>
    <row r="621" spans="3:5" x14ac:dyDescent="0.25">
      <c r="C621" t="s">
        <v>1114</v>
      </c>
      <c r="D621" t="s">
        <v>1115</v>
      </c>
      <c r="E621" t="str">
        <f>HYPERLINK("https://worldwide.espacenet.com/publicationDetails/biblio?II=108&amp;ND=3&amp;adjacent=true&amp;locale=en_EP&amp;FT=D&amp;date=20150812&amp;CC=CN&amp;NR=204548290U&amp;KC=U")</f>
        <v>https://worldwide.espacenet.com/publicationDetails/biblio?II=108&amp;ND=3&amp;adjacent=true&amp;locale=en_EP&amp;FT=D&amp;date=20150812&amp;CC=CN&amp;NR=204548290U&amp;KC=U</v>
      </c>
    </row>
    <row r="622" spans="3:5" x14ac:dyDescent="0.25">
      <c r="C622" t="s">
        <v>1116</v>
      </c>
      <c r="D622" t="s">
        <v>1117</v>
      </c>
      <c r="E622" t="str">
        <f>HYPERLINK("https://worldwide.espacenet.com/publicationDetails/biblio?II=109&amp;ND=3&amp;adjacent=true&amp;locale=en_EP&amp;FT=D&amp;date=20150729&amp;CC=CN&amp;NR=104802877A&amp;KC=A")</f>
        <v>https://worldwide.espacenet.com/publicationDetails/biblio?II=109&amp;ND=3&amp;adjacent=true&amp;locale=en_EP&amp;FT=D&amp;date=20150729&amp;CC=CN&amp;NR=104802877A&amp;KC=A</v>
      </c>
    </row>
    <row r="623" spans="3:5" x14ac:dyDescent="0.25">
      <c r="C623" t="s">
        <v>1118</v>
      </c>
      <c r="D623" t="s">
        <v>1119</v>
      </c>
      <c r="E623" t="str">
        <f>HYPERLINK("https://worldwide.espacenet.com/publicationDetails/biblio?II=110&amp;ND=3&amp;adjacent=true&amp;locale=en_EP&amp;FT=D&amp;date=20150715&amp;CC=CN&amp;NR=204476465U&amp;KC=U")</f>
        <v>https://worldwide.espacenet.com/publicationDetails/biblio?II=110&amp;ND=3&amp;adjacent=true&amp;locale=en_EP&amp;FT=D&amp;date=20150715&amp;CC=CN&amp;NR=204476465U&amp;KC=U</v>
      </c>
    </row>
    <row r="624" spans="3:5" x14ac:dyDescent="0.25">
      <c r="C624" t="s">
        <v>1120</v>
      </c>
      <c r="D624" t="s">
        <v>1121</v>
      </c>
      <c r="E624" t="str">
        <f>HYPERLINK("https://worldwide.espacenet.com/publicationDetails/biblio?II=111&amp;ND=3&amp;adjacent=true&amp;locale=en_EP&amp;FT=D&amp;date=20150715&amp;CC=CN&amp;NR=104777775A&amp;KC=A")</f>
        <v>https://worldwide.espacenet.com/publicationDetails/biblio?II=111&amp;ND=3&amp;adjacent=true&amp;locale=en_EP&amp;FT=D&amp;date=20150715&amp;CC=CN&amp;NR=104777775A&amp;KC=A</v>
      </c>
    </row>
    <row r="625" spans="1:5" x14ac:dyDescent="0.25">
      <c r="C625" t="s">
        <v>1122</v>
      </c>
      <c r="D625" t="s">
        <v>1123</v>
      </c>
      <c r="E625" t="str">
        <f>HYPERLINK("https://worldwide.espacenet.com/publicationDetails/biblio?II=112&amp;ND=3&amp;adjacent=true&amp;locale=en_EP&amp;FT=D&amp;date=20150722&amp;CC=CN&amp;NR=104787152A&amp;KC=A")</f>
        <v>https://worldwide.espacenet.com/publicationDetails/biblio?II=112&amp;ND=3&amp;adjacent=true&amp;locale=en_EP&amp;FT=D&amp;date=20150722&amp;CC=CN&amp;NR=104787152A&amp;KC=A</v>
      </c>
    </row>
    <row r="626" spans="1:5" x14ac:dyDescent="0.25">
      <c r="C626" t="s">
        <v>1124</v>
      </c>
      <c r="D626" t="s">
        <v>1125</v>
      </c>
      <c r="E626" t="str">
        <f>HYPERLINK("https://worldwide.espacenet.com/publicationDetails/biblio?II=113&amp;ND=3&amp;adjacent=true&amp;locale=en_EP&amp;FT=D&amp;date=20150723&amp;CC=WO&amp;NR=2015106598A1&amp;KC=A1")</f>
        <v>https://worldwide.espacenet.com/publicationDetails/biblio?II=113&amp;ND=3&amp;adjacent=true&amp;locale=en_EP&amp;FT=D&amp;date=20150723&amp;CC=WO&amp;NR=2015106598A1&amp;KC=A1</v>
      </c>
    </row>
    <row r="627" spans="1:5" x14ac:dyDescent="0.25">
      <c r="C627" t="s">
        <v>1126</v>
      </c>
      <c r="D627" t="s">
        <v>1127</v>
      </c>
      <c r="E627" t="str">
        <f>HYPERLINK("https://worldwide.espacenet.com/publicationDetails/biblio?II=114&amp;ND=3&amp;adjacent=true&amp;locale=en_EP&amp;FT=D&amp;date=20150709&amp;CC=WO&amp;NR=2015101114A1&amp;KC=A1")</f>
        <v>https://worldwide.espacenet.com/publicationDetails/biblio?II=114&amp;ND=3&amp;adjacent=true&amp;locale=en_EP&amp;FT=D&amp;date=20150709&amp;CC=WO&amp;NR=2015101114A1&amp;KC=A1</v>
      </c>
    </row>
    <row r="628" spans="1:5" x14ac:dyDescent="0.25">
      <c r="C628" t="s">
        <v>1128</v>
      </c>
      <c r="D628" t="s">
        <v>1129</v>
      </c>
      <c r="E628" t="str">
        <f>HYPERLINK("https://worldwide.espacenet.com/publicationDetails/biblio?II=115&amp;ND=3&amp;adjacent=true&amp;locale=en_EP&amp;FT=D&amp;date=20150527&amp;CC=CN&amp;NR=104653111A&amp;KC=A")</f>
        <v>https://worldwide.espacenet.com/publicationDetails/biblio?II=115&amp;ND=3&amp;adjacent=true&amp;locale=en_EP&amp;FT=D&amp;date=20150527&amp;CC=CN&amp;NR=104653111A&amp;KC=A</v>
      </c>
    </row>
    <row r="629" spans="1:5" x14ac:dyDescent="0.25">
      <c r="C629" t="s">
        <v>1118</v>
      </c>
      <c r="D629" t="s">
        <v>1130</v>
      </c>
      <c r="E629" t="str">
        <f>HYPERLINK("https://worldwide.espacenet.com/publicationDetails/biblio?II=116&amp;ND=3&amp;adjacent=true&amp;locale=en_EP&amp;FT=D&amp;date=20150520&amp;CC=CN&amp;NR=104632274A&amp;KC=A")</f>
        <v>https://worldwide.espacenet.com/publicationDetails/biblio?II=116&amp;ND=3&amp;adjacent=true&amp;locale=en_EP&amp;FT=D&amp;date=20150520&amp;CC=CN&amp;NR=104632274A&amp;KC=A</v>
      </c>
    </row>
    <row r="630" spans="1:5" x14ac:dyDescent="0.25">
      <c r="C630" t="s">
        <v>1131</v>
      </c>
      <c r="D630" t="s">
        <v>1132</v>
      </c>
      <c r="E630" t="str">
        <f>HYPERLINK("https://worldwide.espacenet.com/publicationDetails/biblio?II=117&amp;ND=3&amp;adjacent=true&amp;locale=en_EP&amp;FT=D&amp;date=20150408&amp;CC=CN&amp;NR=104494725A&amp;KC=A")</f>
        <v>https://worldwide.espacenet.com/publicationDetails/biblio?II=117&amp;ND=3&amp;adjacent=true&amp;locale=en_EP&amp;FT=D&amp;date=20150408&amp;CC=CN&amp;NR=104494725A&amp;KC=A</v>
      </c>
    </row>
    <row r="631" spans="1:5" x14ac:dyDescent="0.25">
      <c r="C631" t="s">
        <v>1133</v>
      </c>
      <c r="D631" t="s">
        <v>1134</v>
      </c>
      <c r="E631" t="str">
        <f>HYPERLINK("https://worldwide.espacenet.com/publicationDetails/biblio?II=118&amp;ND=3&amp;adjacent=true&amp;locale=en_EP&amp;FT=D&amp;date=20150325&amp;CC=CN&amp;NR=104458281A&amp;KC=A")</f>
        <v>https://worldwide.espacenet.com/publicationDetails/biblio?II=118&amp;ND=3&amp;adjacent=true&amp;locale=en_EP&amp;FT=D&amp;date=20150325&amp;CC=CN&amp;NR=104458281A&amp;KC=A</v>
      </c>
    </row>
    <row r="632" spans="1:5" x14ac:dyDescent="0.25">
      <c r="C632" t="s">
        <v>1135</v>
      </c>
      <c r="D632" t="s">
        <v>1136</v>
      </c>
      <c r="E632" t="str">
        <f>HYPERLINK("https://worldwide.espacenet.com/publicationDetails/biblio?II=119&amp;ND=3&amp;adjacent=true&amp;locale=en_EP&amp;FT=D&amp;date=20150422&amp;CC=CN&amp;NR=104526684A&amp;KC=A")</f>
        <v>https://worldwide.espacenet.com/publicationDetails/biblio?II=119&amp;ND=3&amp;adjacent=true&amp;locale=en_EP&amp;FT=D&amp;date=20150422&amp;CC=CN&amp;NR=104526684A&amp;KC=A</v>
      </c>
    </row>
    <row r="633" spans="1:5" x14ac:dyDescent="0.25">
      <c r="C633" t="s">
        <v>1137</v>
      </c>
      <c r="D633" t="s">
        <v>1138</v>
      </c>
      <c r="E633" t="str">
        <f>HYPERLINK("https://worldwide.espacenet.com/publicationDetails/biblio?II=120&amp;ND=3&amp;adjacent=true&amp;locale=en_EP&amp;FT=D&amp;date=20150422&amp;CC=CN&amp;NR=104523403A&amp;KC=A")</f>
        <v>https://worldwide.espacenet.com/publicationDetails/biblio?II=120&amp;ND=3&amp;adjacent=true&amp;locale=en_EP&amp;FT=D&amp;date=20150422&amp;CC=CN&amp;NR=104523403A&amp;KC=A</v>
      </c>
    </row>
    <row r="634" spans="1:5" x14ac:dyDescent="0.25">
      <c r="C634" t="s">
        <v>1139</v>
      </c>
      <c r="D634" t="s">
        <v>1140</v>
      </c>
      <c r="E634" t="str">
        <f>HYPERLINK("https://worldwide.espacenet.com/publicationDetails/biblio?II=121&amp;ND=3&amp;adjacent=true&amp;locale=en_EP&amp;FT=D&amp;date=20150401&amp;CC=CN&amp;NR=204236697U&amp;KC=U")</f>
        <v>https://worldwide.espacenet.com/publicationDetails/biblio?II=121&amp;ND=3&amp;adjacent=true&amp;locale=en_EP&amp;FT=D&amp;date=20150401&amp;CC=CN&amp;NR=204236697U&amp;KC=U</v>
      </c>
    </row>
    <row r="635" spans="1:5" x14ac:dyDescent="0.25">
      <c r="C635" t="s">
        <v>984</v>
      </c>
      <c r="D635" t="s">
        <v>985</v>
      </c>
      <c r="E635" t="str">
        <f>HYPERLINK("https://worldwide.espacenet.com/publicationDetails/biblio?II=122&amp;ND=3&amp;adjacent=true&amp;locale=en_EP&amp;FT=D&amp;date=20150227&amp;CC=KR&amp;NR=20150020875A&amp;KC=A")</f>
        <v>https://worldwide.espacenet.com/publicationDetails/biblio?II=122&amp;ND=3&amp;adjacent=true&amp;locale=en_EP&amp;FT=D&amp;date=20150227&amp;CC=KR&amp;NR=20150020875A&amp;KC=A</v>
      </c>
    </row>
    <row r="636" spans="1:5" x14ac:dyDescent="0.25">
      <c r="C636" t="s">
        <v>1141</v>
      </c>
      <c r="D636" t="s">
        <v>1142</v>
      </c>
      <c r="E636" t="str">
        <f>HYPERLINK("https://worldwide.espacenet.com/publicationDetails/biblio?II=123&amp;ND=3&amp;adjacent=true&amp;locale=en_EP&amp;FT=D&amp;date=20150128&amp;CC=CN&amp;NR=104316055A&amp;KC=A")</f>
        <v>https://worldwide.espacenet.com/publicationDetails/biblio?II=123&amp;ND=3&amp;adjacent=true&amp;locale=en_EP&amp;FT=D&amp;date=20150128&amp;CC=CN&amp;NR=104316055A&amp;KC=A</v>
      </c>
    </row>
    <row r="637" spans="1:5" x14ac:dyDescent="0.25">
      <c r="C637" t="s">
        <v>1143</v>
      </c>
      <c r="D637" t="s">
        <v>1144</v>
      </c>
      <c r="E637" t="str">
        <f>HYPERLINK("https://worldwide.espacenet.com/publicationDetails/biblio?II=124&amp;ND=3&amp;adjacent=true&amp;locale=en_EP&amp;FT=D&amp;date=20141224&amp;CC=CN&amp;NR=204037782U&amp;KC=U")</f>
        <v>https://worldwide.espacenet.com/publicationDetails/biblio?II=124&amp;ND=3&amp;adjacent=true&amp;locale=en_EP&amp;FT=D&amp;date=20141224&amp;CC=CN&amp;NR=204037782U&amp;KC=U</v>
      </c>
    </row>
    <row r="638" spans="1:5" x14ac:dyDescent="0.25">
      <c r="C638" t="s">
        <v>1145</v>
      </c>
      <c r="D638" t="s">
        <v>1146</v>
      </c>
      <c r="E638" t="str">
        <f>HYPERLINK("https://worldwide.espacenet.com/publicationDetails/biblio?II=125&amp;ND=3&amp;adjacent=true&amp;locale=en_EP&amp;FT=D&amp;date=20150107&amp;CC=CN&amp;NR=204077962U&amp;KC=U")</f>
        <v>https://worldwide.espacenet.com/publicationDetails/biblio?II=125&amp;ND=3&amp;adjacent=true&amp;locale=en_EP&amp;FT=D&amp;date=20150107&amp;CC=CN&amp;NR=204077962U&amp;KC=U</v>
      </c>
    </row>
    <row r="639" spans="1:5" x14ac:dyDescent="0.25">
      <c r="C639" t="s">
        <v>1147</v>
      </c>
      <c r="D639" t="s">
        <v>1148</v>
      </c>
      <c r="E639" t="str">
        <f>HYPERLINK("https://worldwide.espacenet.com/publicationDetails/biblio?II=126&amp;ND=3&amp;adjacent=true&amp;locale=en_EP&amp;FT=D&amp;date=20141217&amp;CC=CN&amp;NR=104216409A&amp;KC=A")</f>
        <v>https://worldwide.espacenet.com/publicationDetails/biblio?II=126&amp;ND=3&amp;adjacent=true&amp;locale=en_EP&amp;FT=D&amp;date=20141217&amp;CC=CN&amp;NR=104216409A&amp;KC=A</v>
      </c>
    </row>
    <row r="640" spans="1:5" x14ac:dyDescent="0.25">
      <c r="A640" t="s">
        <v>1149</v>
      </c>
      <c r="B640">
        <v>0</v>
      </c>
    </row>
    <row r="641" spans="1:5" x14ac:dyDescent="0.25">
      <c r="A641" t="s">
        <v>1150</v>
      </c>
      <c r="B641">
        <v>5</v>
      </c>
    </row>
    <row r="642" spans="1:5" x14ac:dyDescent="0.25">
      <c r="C642" t="s">
        <v>81</v>
      </c>
      <c r="D642" t="s">
        <v>82</v>
      </c>
      <c r="E642" t="str">
        <f>HYPERLINK("https://worldwide.espacenet.com/publicationDetails/biblio?II=0&amp;ND=3&amp;adjacent=true&amp;locale=en_EP&amp;FT=D&amp;date=20180621&amp;CC=US&amp;NR=2018170417A1&amp;KC=A1")</f>
        <v>https://worldwide.espacenet.com/publicationDetails/biblio?II=0&amp;ND=3&amp;adjacent=true&amp;locale=en_EP&amp;FT=D&amp;date=20180621&amp;CC=US&amp;NR=2018170417A1&amp;KC=A1</v>
      </c>
    </row>
    <row r="643" spans="1:5" x14ac:dyDescent="0.25">
      <c r="C643" t="s">
        <v>81</v>
      </c>
      <c r="D643" t="s">
        <v>674</v>
      </c>
      <c r="E643" t="str">
        <f>HYPERLINK("https://worldwide.espacenet.com/publicationDetails/biblio?II=1&amp;ND=3&amp;adjacent=true&amp;locale=en_EP&amp;FT=D&amp;date=20180628&amp;CC=WO&amp;NR=2018118856A2&amp;KC=A2")</f>
        <v>https://worldwide.espacenet.com/publicationDetails/biblio?II=1&amp;ND=3&amp;adjacent=true&amp;locale=en_EP&amp;FT=D&amp;date=20180628&amp;CC=WO&amp;NR=2018118856A2&amp;KC=A2</v>
      </c>
    </row>
    <row r="644" spans="1:5" x14ac:dyDescent="0.25">
      <c r="C644" t="s">
        <v>1151</v>
      </c>
      <c r="D644" t="s">
        <v>1152</v>
      </c>
      <c r="E644" t="str">
        <f>HYPERLINK("https://worldwide.espacenet.com/publicationDetails/biblio?II=2&amp;ND=3&amp;adjacent=true&amp;locale=en_EP&amp;FT=D&amp;date=20160613&amp;CC=KR&amp;NR=20160002006U&amp;KC=U")</f>
        <v>https://worldwide.espacenet.com/publicationDetails/biblio?II=2&amp;ND=3&amp;adjacent=true&amp;locale=en_EP&amp;FT=D&amp;date=20160613&amp;CC=KR&amp;NR=20160002006U&amp;KC=U</v>
      </c>
    </row>
    <row r="645" spans="1:5" x14ac:dyDescent="0.25">
      <c r="A645" t="s">
        <v>1153</v>
      </c>
      <c r="B645">
        <v>0</v>
      </c>
    </row>
    <row r="646" spans="1:5" x14ac:dyDescent="0.25">
      <c r="A646" t="s">
        <v>1154</v>
      </c>
      <c r="B646">
        <v>285</v>
      </c>
    </row>
    <row r="647" spans="1:5" x14ac:dyDescent="0.25">
      <c r="C647" t="s">
        <v>1</v>
      </c>
      <c r="D647" t="s">
        <v>2</v>
      </c>
      <c r="E647" t="str">
        <f>HYPERLINK("https://worldwide.espacenet.com/publicationDetails/biblio?II=0&amp;ND=3&amp;adjacent=true&amp;locale=en_EP&amp;FT=D&amp;date=20181025&amp;CC=US&amp;NR=2018306458A1&amp;KC=A1")</f>
        <v>https://worldwide.espacenet.com/publicationDetails/biblio?II=0&amp;ND=3&amp;adjacent=true&amp;locale=en_EP&amp;FT=D&amp;date=20181025&amp;CC=US&amp;NR=2018306458A1&amp;KC=A1</v>
      </c>
    </row>
    <row r="648" spans="1:5" x14ac:dyDescent="0.25">
      <c r="C648" t="s">
        <v>9</v>
      </c>
      <c r="D648" t="s">
        <v>10</v>
      </c>
      <c r="E648" t="str">
        <f>HYPERLINK("https://worldwide.espacenet.com/publicationDetails/biblio?II=1&amp;ND=3&amp;adjacent=true&amp;locale=en_EP&amp;FT=D&amp;date=20180920&amp;CC=US&amp;NR=2018265159A1&amp;KC=A1")</f>
        <v>https://worldwide.espacenet.com/publicationDetails/biblio?II=1&amp;ND=3&amp;adjacent=true&amp;locale=en_EP&amp;FT=D&amp;date=20180920&amp;CC=US&amp;NR=2018265159A1&amp;KC=A1</v>
      </c>
    </row>
    <row r="649" spans="1:5" x14ac:dyDescent="0.25">
      <c r="C649" t="s">
        <v>13</v>
      </c>
      <c r="D649" t="s">
        <v>14</v>
      </c>
      <c r="E649" t="str">
        <f>HYPERLINK("https://worldwide.espacenet.com/publicationDetails/biblio?II=2&amp;ND=3&amp;adjacent=true&amp;locale=en_EP&amp;FT=D&amp;date=20180913&amp;CC=WO&amp;NR=2018164609A1&amp;KC=A1")</f>
        <v>https://worldwide.espacenet.com/publicationDetails/biblio?II=2&amp;ND=3&amp;adjacent=true&amp;locale=en_EP&amp;FT=D&amp;date=20180913&amp;CC=WO&amp;NR=2018164609A1&amp;KC=A1</v>
      </c>
    </row>
    <row r="650" spans="1:5" x14ac:dyDescent="0.25">
      <c r="C650" t="s">
        <v>27</v>
      </c>
      <c r="D650" t="s">
        <v>28</v>
      </c>
      <c r="E650" t="str">
        <f>HYPERLINK("https://worldwide.espacenet.com/publicationDetails/biblio?II=3&amp;ND=3&amp;adjacent=true&amp;locale=en_EP&amp;FT=D&amp;date=20180809&amp;CC=US&amp;NR=2018221753A1&amp;KC=A1")</f>
        <v>https://worldwide.espacenet.com/publicationDetails/biblio?II=3&amp;ND=3&amp;adjacent=true&amp;locale=en_EP&amp;FT=D&amp;date=20180809&amp;CC=US&amp;NR=2018221753A1&amp;KC=A1</v>
      </c>
    </row>
    <row r="651" spans="1:5" x14ac:dyDescent="0.25">
      <c r="C651" t="s">
        <v>33</v>
      </c>
      <c r="D651" t="s">
        <v>34</v>
      </c>
      <c r="E651" t="str">
        <f>HYPERLINK("https://worldwide.espacenet.com/publicationDetails/biblio?II=4&amp;ND=3&amp;adjacent=true&amp;locale=en_EP&amp;FT=D&amp;date=20180724&amp;CC=US&amp;NR=RE46964E&amp;KC=E")</f>
        <v>https://worldwide.espacenet.com/publicationDetails/biblio?II=4&amp;ND=3&amp;adjacent=true&amp;locale=en_EP&amp;FT=D&amp;date=20180724&amp;CC=US&amp;NR=RE46964E&amp;KC=E</v>
      </c>
    </row>
    <row r="652" spans="1:5" x14ac:dyDescent="0.25">
      <c r="C652" t="s">
        <v>37</v>
      </c>
      <c r="D652" t="s">
        <v>38</v>
      </c>
      <c r="E652" t="str">
        <f>HYPERLINK("https://worldwide.espacenet.com/publicationDetails/biblio?II=5&amp;ND=3&amp;adjacent=true&amp;locale=en_EP&amp;FT=D&amp;date=20180628&amp;CC=SG&amp;NR=11201803861WA&amp;KC=A")</f>
        <v>https://worldwide.espacenet.com/publicationDetails/biblio?II=5&amp;ND=3&amp;adjacent=true&amp;locale=en_EP&amp;FT=D&amp;date=20180628&amp;CC=SG&amp;NR=11201803861WA&amp;KC=A</v>
      </c>
    </row>
    <row r="653" spans="1:5" x14ac:dyDescent="0.25">
      <c r="C653" t="s">
        <v>39</v>
      </c>
      <c r="D653" t="s">
        <v>40</v>
      </c>
      <c r="E653" t="str">
        <f>HYPERLINK("https://worldwide.espacenet.com/publicationDetails/biblio?II=6&amp;ND=3&amp;adjacent=true&amp;locale=en_EP&amp;FT=D&amp;date=20180628&amp;CC=SG&amp;NR=11201803705VA&amp;KC=A")</f>
        <v>https://worldwide.espacenet.com/publicationDetails/biblio?II=6&amp;ND=3&amp;adjacent=true&amp;locale=en_EP&amp;FT=D&amp;date=20180628&amp;CC=SG&amp;NR=11201803705VA&amp;KC=A</v>
      </c>
    </row>
    <row r="654" spans="1:5" x14ac:dyDescent="0.25">
      <c r="C654" t="s">
        <v>51</v>
      </c>
      <c r="D654" t="s">
        <v>52</v>
      </c>
      <c r="E654" t="str">
        <f>HYPERLINK("https://worldwide.espacenet.com/publicationDetails/biblio?II=7&amp;ND=3&amp;adjacent=true&amp;locale=en_EP&amp;FT=D&amp;date=20180629&amp;CC=CN&amp;NR=207556832U&amp;KC=U")</f>
        <v>https://worldwide.espacenet.com/publicationDetails/biblio?II=7&amp;ND=3&amp;adjacent=true&amp;locale=en_EP&amp;FT=D&amp;date=20180629&amp;CC=CN&amp;NR=207556832U&amp;KC=U</v>
      </c>
    </row>
    <row r="655" spans="1:5" x14ac:dyDescent="0.25">
      <c r="C655" t="s">
        <v>61</v>
      </c>
      <c r="D655" t="s">
        <v>62</v>
      </c>
      <c r="E655" t="str">
        <f>HYPERLINK("https://worldwide.espacenet.com/publicationDetails/biblio?II=8&amp;ND=3&amp;adjacent=true&amp;locale=en_EP&amp;FT=D&amp;date=20180622&amp;CC=CN&amp;NR=207526940U&amp;KC=U")</f>
        <v>https://worldwide.espacenet.com/publicationDetails/biblio?II=8&amp;ND=3&amp;adjacent=true&amp;locale=en_EP&amp;FT=D&amp;date=20180622&amp;CC=CN&amp;NR=207526940U&amp;KC=U</v>
      </c>
    </row>
    <row r="656" spans="1:5" x14ac:dyDescent="0.25">
      <c r="C656" t="s">
        <v>63</v>
      </c>
      <c r="D656" t="s">
        <v>64</v>
      </c>
      <c r="E656" t="str">
        <f>HYPERLINK("https://worldwide.espacenet.com/publicationDetails/biblio?II=9&amp;ND=3&amp;adjacent=true&amp;locale=en_EP&amp;FT=D&amp;date=20180622&amp;CC=CN&amp;NR=207526941U&amp;KC=U")</f>
        <v>https://worldwide.espacenet.com/publicationDetails/biblio?II=9&amp;ND=3&amp;adjacent=true&amp;locale=en_EP&amp;FT=D&amp;date=20180622&amp;CC=CN&amp;NR=207526941U&amp;KC=U</v>
      </c>
    </row>
    <row r="657" spans="3:5" x14ac:dyDescent="0.25">
      <c r="C657" t="s">
        <v>65</v>
      </c>
      <c r="D657" t="s">
        <v>66</v>
      </c>
      <c r="E657" t="str">
        <f>HYPERLINK("https://worldwide.espacenet.com/publicationDetails/biblio?II=10&amp;ND=3&amp;adjacent=true&amp;locale=en_EP&amp;FT=D&amp;date=20180622&amp;CC=CN&amp;NR=207524924U&amp;KC=U")</f>
        <v>https://worldwide.espacenet.com/publicationDetails/biblio?II=10&amp;ND=3&amp;adjacent=true&amp;locale=en_EP&amp;FT=D&amp;date=20180622&amp;CC=CN&amp;NR=207524924U&amp;KC=U</v>
      </c>
    </row>
    <row r="658" spans="3:5" x14ac:dyDescent="0.25">
      <c r="C658" t="s">
        <v>103</v>
      </c>
      <c r="D658" t="s">
        <v>104</v>
      </c>
      <c r="E658" t="str">
        <f>HYPERLINK("https://worldwide.espacenet.com/publicationDetails/biblio?II=11&amp;ND=3&amp;adjacent=true&amp;locale=en_EP&amp;FT=D&amp;date=20180619&amp;CC=CN&amp;NR=207516180U&amp;KC=U")</f>
        <v>https://worldwide.espacenet.com/publicationDetails/biblio?II=11&amp;ND=3&amp;adjacent=true&amp;locale=en_EP&amp;FT=D&amp;date=20180619&amp;CC=CN&amp;NR=207516180U&amp;KC=U</v>
      </c>
    </row>
    <row r="659" spans="3:5" x14ac:dyDescent="0.25">
      <c r="C659" t="s">
        <v>105</v>
      </c>
      <c r="D659" t="s">
        <v>106</v>
      </c>
      <c r="E659" t="str">
        <f>HYPERLINK("https://worldwide.espacenet.com/publicationDetails/biblio?II=12&amp;ND=3&amp;adjacent=true&amp;locale=en_EP&amp;FT=D&amp;date=20180619&amp;CC=CN&amp;NR=207505735U&amp;KC=U")</f>
        <v>https://worldwide.espacenet.com/publicationDetails/biblio?II=12&amp;ND=3&amp;adjacent=true&amp;locale=en_EP&amp;FT=D&amp;date=20180619&amp;CC=CN&amp;NR=207505735U&amp;KC=U</v>
      </c>
    </row>
    <row r="660" spans="3:5" x14ac:dyDescent="0.25">
      <c r="C660" t="s">
        <v>107</v>
      </c>
      <c r="D660" t="s">
        <v>108</v>
      </c>
      <c r="E660" t="str">
        <f>HYPERLINK("https://worldwide.espacenet.com/publicationDetails/biblio?II=13&amp;ND=3&amp;adjacent=true&amp;locale=en_EP&amp;FT=D&amp;date=20180619&amp;CC=CN&amp;NR=207505734U&amp;KC=U")</f>
        <v>https://worldwide.espacenet.com/publicationDetails/biblio?II=13&amp;ND=3&amp;adjacent=true&amp;locale=en_EP&amp;FT=D&amp;date=20180619&amp;CC=CN&amp;NR=207505734U&amp;KC=U</v>
      </c>
    </row>
    <row r="661" spans="3:5" x14ac:dyDescent="0.25">
      <c r="C661" t="s">
        <v>117</v>
      </c>
      <c r="D661" t="s">
        <v>118</v>
      </c>
      <c r="E661" t="str">
        <f>HYPERLINK("https://worldwide.espacenet.com/publicationDetails/biblio?II=14&amp;ND=3&amp;adjacent=true&amp;locale=en_EP&amp;FT=D&amp;date=20180615&amp;CC=CN&amp;NR=108161887A&amp;KC=A")</f>
        <v>https://worldwide.espacenet.com/publicationDetails/biblio?II=14&amp;ND=3&amp;adjacent=true&amp;locale=en_EP&amp;FT=D&amp;date=20180615&amp;CC=CN&amp;NR=108161887A&amp;KC=A</v>
      </c>
    </row>
    <row r="662" spans="3:5" x14ac:dyDescent="0.25">
      <c r="C662" t="s">
        <v>151</v>
      </c>
      <c r="D662" t="s">
        <v>152</v>
      </c>
      <c r="E662" t="str">
        <f>HYPERLINK("https://worldwide.espacenet.com/publicationDetails/biblio?II=15&amp;ND=3&amp;adjacent=true&amp;locale=en_EP&amp;FT=D&amp;date=20180525&amp;CC=CN&amp;NR=207406359U&amp;KC=U")</f>
        <v>https://worldwide.espacenet.com/publicationDetails/biblio?II=15&amp;ND=3&amp;adjacent=true&amp;locale=en_EP&amp;FT=D&amp;date=20180525&amp;CC=CN&amp;NR=207406359U&amp;KC=U</v>
      </c>
    </row>
    <row r="663" spans="3:5" x14ac:dyDescent="0.25">
      <c r="C663" t="s">
        <v>203</v>
      </c>
      <c r="D663" t="s">
        <v>204</v>
      </c>
      <c r="E663" t="str">
        <f>HYPERLINK("https://worldwide.espacenet.com/publicationDetails/biblio?II=16&amp;ND=3&amp;adjacent=true&amp;locale=en_EP&amp;FT=D&amp;date=20180529&amp;CC=CN&amp;NR=207419218U&amp;KC=U")</f>
        <v>https://worldwide.espacenet.com/publicationDetails/biblio?II=16&amp;ND=3&amp;adjacent=true&amp;locale=en_EP&amp;FT=D&amp;date=20180529&amp;CC=CN&amp;NR=207419218U&amp;KC=U</v>
      </c>
    </row>
    <row r="664" spans="3:5" x14ac:dyDescent="0.25">
      <c r="C664" t="s">
        <v>231</v>
      </c>
      <c r="D664" t="s">
        <v>232</v>
      </c>
      <c r="E664" t="str">
        <f>HYPERLINK("https://worldwide.espacenet.com/publicationDetails/biblio?II=17&amp;ND=3&amp;adjacent=true&amp;locale=en_EP&amp;FT=D&amp;date=20180608&amp;CC=CN&amp;NR=207465215U&amp;KC=U")</f>
        <v>https://worldwide.espacenet.com/publicationDetails/biblio?II=17&amp;ND=3&amp;adjacent=true&amp;locale=en_EP&amp;FT=D&amp;date=20180608&amp;CC=CN&amp;NR=207465215U&amp;KC=U</v>
      </c>
    </row>
    <row r="665" spans="3:5" x14ac:dyDescent="0.25">
      <c r="C665" t="s">
        <v>239</v>
      </c>
      <c r="D665" t="s">
        <v>240</v>
      </c>
      <c r="E665" t="str">
        <f>HYPERLINK("https://worldwide.espacenet.com/publicationDetails/biblio?II=18&amp;ND=3&amp;adjacent=true&amp;locale=en_EP&amp;FT=D&amp;date=20180605&amp;CC=CN&amp;NR=108120826A&amp;KC=A")</f>
        <v>https://worldwide.espacenet.com/publicationDetails/biblio?II=18&amp;ND=3&amp;adjacent=true&amp;locale=en_EP&amp;FT=D&amp;date=20180605&amp;CC=CN&amp;NR=108120826A&amp;KC=A</v>
      </c>
    </row>
    <row r="666" spans="3:5" x14ac:dyDescent="0.25">
      <c r="C666" t="s">
        <v>243</v>
      </c>
      <c r="D666" t="s">
        <v>244</v>
      </c>
      <c r="E666" t="str">
        <f>HYPERLINK("https://worldwide.espacenet.com/publicationDetails/biblio?II=19&amp;ND=3&amp;adjacent=true&amp;locale=en_EP&amp;FT=D&amp;date=20180605&amp;CC=CN&amp;NR=108121351A&amp;KC=A")</f>
        <v>https://worldwide.espacenet.com/publicationDetails/biblio?II=19&amp;ND=3&amp;adjacent=true&amp;locale=en_EP&amp;FT=D&amp;date=20180605&amp;CC=CN&amp;NR=108121351A&amp;KC=A</v>
      </c>
    </row>
    <row r="667" spans="3:5" x14ac:dyDescent="0.25">
      <c r="C667" t="s">
        <v>259</v>
      </c>
      <c r="D667" t="s">
        <v>260</v>
      </c>
      <c r="E667" t="str">
        <f>HYPERLINK("https://worldwide.espacenet.com/publicationDetails/biblio?II=20&amp;ND=3&amp;adjacent=true&amp;locale=en_EP&amp;FT=D&amp;date=20180525&amp;CC=CN&amp;NR=108072988A&amp;KC=A")</f>
        <v>https://worldwide.espacenet.com/publicationDetails/biblio?II=20&amp;ND=3&amp;adjacent=true&amp;locale=en_EP&amp;FT=D&amp;date=20180525&amp;CC=CN&amp;NR=108072988A&amp;KC=A</v>
      </c>
    </row>
    <row r="668" spans="3:5" x14ac:dyDescent="0.25">
      <c r="C668" t="s">
        <v>263</v>
      </c>
      <c r="D668" t="s">
        <v>264</v>
      </c>
      <c r="E668" t="str">
        <f>HYPERLINK("https://worldwide.espacenet.com/publicationDetails/biblio?II=21&amp;ND=3&amp;adjacent=true&amp;locale=en_EP&amp;FT=D&amp;date=20180522&amp;CC=CN&amp;NR=108061647A&amp;KC=A")</f>
        <v>https://worldwide.espacenet.com/publicationDetails/biblio?II=21&amp;ND=3&amp;adjacent=true&amp;locale=en_EP&amp;FT=D&amp;date=20180522&amp;CC=CN&amp;NR=108061647A&amp;KC=A</v>
      </c>
    </row>
    <row r="669" spans="3:5" x14ac:dyDescent="0.25">
      <c r="C669" t="s">
        <v>277</v>
      </c>
      <c r="D669" t="s">
        <v>278</v>
      </c>
      <c r="E669" t="str">
        <f>HYPERLINK("https://worldwide.espacenet.com/publicationDetails/biblio?II=22&amp;ND=3&amp;adjacent=true&amp;locale=en_EP&amp;FT=D&amp;date=20180515&amp;CC=CN&amp;NR=108033397A&amp;KC=A")</f>
        <v>https://worldwide.espacenet.com/publicationDetails/biblio?II=22&amp;ND=3&amp;adjacent=true&amp;locale=en_EP&amp;FT=D&amp;date=20180515&amp;CC=CN&amp;NR=108033397A&amp;KC=A</v>
      </c>
    </row>
    <row r="670" spans="3:5" x14ac:dyDescent="0.25">
      <c r="C670" t="s">
        <v>279</v>
      </c>
      <c r="D670" t="s">
        <v>280</v>
      </c>
      <c r="E670" t="str">
        <f>HYPERLINK("https://worldwide.espacenet.com/publicationDetails/biblio?II=23&amp;ND=3&amp;adjacent=true&amp;locale=en_EP&amp;FT=D&amp;date=20180515&amp;CC=CN&amp;NR=108030251A&amp;KC=A")</f>
        <v>https://worldwide.espacenet.com/publicationDetails/biblio?II=23&amp;ND=3&amp;adjacent=true&amp;locale=en_EP&amp;FT=D&amp;date=20180515&amp;CC=CN&amp;NR=108030251A&amp;KC=A</v>
      </c>
    </row>
    <row r="671" spans="3:5" x14ac:dyDescent="0.25">
      <c r="C671" t="s">
        <v>9</v>
      </c>
      <c r="D671" t="s">
        <v>283</v>
      </c>
      <c r="E671" t="str">
        <f>HYPERLINK("https://worldwide.espacenet.com/publicationDetails/biblio?II=24&amp;ND=3&amp;adjacent=true&amp;locale=en_EP&amp;FT=D&amp;date=20180510&amp;CC=US&amp;NR=2018127045A1&amp;KC=A1")</f>
        <v>https://worldwide.espacenet.com/publicationDetails/biblio?II=24&amp;ND=3&amp;adjacent=true&amp;locale=en_EP&amp;FT=D&amp;date=20180510&amp;CC=US&amp;NR=2018127045A1&amp;KC=A1</v>
      </c>
    </row>
    <row r="672" spans="3:5" x14ac:dyDescent="0.25">
      <c r="C672" t="s">
        <v>290</v>
      </c>
      <c r="D672" t="s">
        <v>291</v>
      </c>
      <c r="E672" t="str">
        <f>HYPERLINK("https://worldwide.espacenet.com/publicationDetails/biblio?II=25&amp;ND=3&amp;adjacent=true&amp;locale=en_EP&amp;FT=D&amp;date=20180503&amp;CC=WO&amp;NR=2018081315A1&amp;KC=A1")</f>
        <v>https://worldwide.espacenet.com/publicationDetails/biblio?II=25&amp;ND=3&amp;adjacent=true&amp;locale=en_EP&amp;FT=D&amp;date=20180503&amp;CC=WO&amp;NR=2018081315A1&amp;KC=A1</v>
      </c>
    </row>
    <row r="673" spans="3:5" x14ac:dyDescent="0.25">
      <c r="C673" t="s">
        <v>294</v>
      </c>
      <c r="D673" t="s">
        <v>295</v>
      </c>
      <c r="E673" t="str">
        <f>HYPERLINK("https://worldwide.espacenet.com/publicationDetails/biblio?II=26&amp;ND=3&amp;adjacent=true&amp;locale=en_EP&amp;FT=D&amp;date=20180501&amp;CC=CN&amp;NR=107974926A&amp;KC=A")</f>
        <v>https://worldwide.espacenet.com/publicationDetails/biblio?II=26&amp;ND=3&amp;adjacent=true&amp;locale=en_EP&amp;FT=D&amp;date=20180501&amp;CC=CN&amp;NR=107974926A&amp;KC=A</v>
      </c>
    </row>
    <row r="674" spans="3:5" x14ac:dyDescent="0.25">
      <c r="C674" t="s">
        <v>308</v>
      </c>
      <c r="D674" t="s">
        <v>309</v>
      </c>
      <c r="E674" t="str">
        <f>HYPERLINK("https://worldwide.espacenet.com/publicationDetails/biblio?II=27&amp;ND=3&amp;adjacent=true&amp;locale=en_EP&amp;FT=D&amp;date=20180420&amp;CC=CN&amp;NR=107941146A&amp;KC=A")</f>
        <v>https://worldwide.espacenet.com/publicationDetails/biblio?II=27&amp;ND=3&amp;adjacent=true&amp;locale=en_EP&amp;FT=D&amp;date=20180420&amp;CC=CN&amp;NR=107941146A&amp;KC=A</v>
      </c>
    </row>
    <row r="675" spans="3:5" x14ac:dyDescent="0.25">
      <c r="C675" t="s">
        <v>314</v>
      </c>
      <c r="D675" t="s">
        <v>315</v>
      </c>
      <c r="E675" t="str">
        <f>HYPERLINK("https://worldwide.espacenet.com/publicationDetails/biblio?II=28&amp;ND=3&amp;adjacent=true&amp;locale=en_EP&amp;FT=D&amp;date=20180420&amp;CC=CN&amp;NR=107939605A&amp;KC=A")</f>
        <v>https://worldwide.espacenet.com/publicationDetails/biblio?II=28&amp;ND=3&amp;adjacent=true&amp;locale=en_EP&amp;FT=D&amp;date=20180420&amp;CC=CN&amp;NR=107939605A&amp;KC=A</v>
      </c>
    </row>
    <row r="676" spans="3:5" x14ac:dyDescent="0.25">
      <c r="C676" t="s">
        <v>324</v>
      </c>
      <c r="D676" t="s">
        <v>325</v>
      </c>
      <c r="E676" t="str">
        <f>HYPERLINK("https://worldwide.espacenet.com/publicationDetails/biblio?II=29&amp;ND=3&amp;adjacent=true&amp;locale=en_EP&amp;FT=D&amp;date=20180417&amp;CC=CN&amp;NR=107914752A&amp;KC=A")</f>
        <v>https://worldwide.espacenet.com/publicationDetails/biblio?II=29&amp;ND=3&amp;adjacent=true&amp;locale=en_EP&amp;FT=D&amp;date=20180417&amp;CC=CN&amp;NR=107914752A&amp;KC=A</v>
      </c>
    </row>
    <row r="677" spans="3:5" x14ac:dyDescent="0.25">
      <c r="C677" t="s">
        <v>344</v>
      </c>
      <c r="D677" t="s">
        <v>345</v>
      </c>
      <c r="E677" t="str">
        <f>HYPERLINK("https://worldwide.espacenet.com/publicationDetails/biblio?II=30&amp;ND=3&amp;adjacent=true&amp;locale=en_EP&amp;FT=D&amp;date=20170330&amp;CC=CA&amp;NR=2999062A1&amp;KC=A1")</f>
        <v>https://worldwide.espacenet.com/publicationDetails/biblio?II=30&amp;ND=3&amp;adjacent=true&amp;locale=en_EP&amp;FT=D&amp;date=20170330&amp;CC=CA&amp;NR=2999062A1&amp;KC=A1</v>
      </c>
    </row>
    <row r="678" spans="3:5" x14ac:dyDescent="0.25">
      <c r="C678" t="s">
        <v>368</v>
      </c>
      <c r="D678" t="s">
        <v>369</v>
      </c>
      <c r="E678" t="str">
        <f>HYPERLINK("https://worldwide.espacenet.com/publicationDetails/biblio?II=31&amp;ND=3&amp;adjacent=true&amp;locale=en_EP&amp;FT=D&amp;date=20180406&amp;CC=CN&amp;NR=107882684A&amp;KC=A")</f>
        <v>https://worldwide.espacenet.com/publicationDetails/biblio?II=31&amp;ND=3&amp;adjacent=true&amp;locale=en_EP&amp;FT=D&amp;date=20180406&amp;CC=CN&amp;NR=107882684A&amp;KC=A</v>
      </c>
    </row>
    <row r="679" spans="3:5" x14ac:dyDescent="0.25">
      <c r="C679" t="s">
        <v>390</v>
      </c>
      <c r="D679" t="s">
        <v>391</v>
      </c>
      <c r="E679" t="str">
        <f>HYPERLINK("https://worldwide.espacenet.com/publicationDetails/biblio?II=32&amp;ND=3&amp;adjacent=true&amp;locale=en_EP&amp;FT=D&amp;date=20180327&amp;CC=CN&amp;NR=207144957U&amp;KC=U")</f>
        <v>https://worldwide.espacenet.com/publicationDetails/biblio?II=32&amp;ND=3&amp;adjacent=true&amp;locale=en_EP&amp;FT=D&amp;date=20180327&amp;CC=CN&amp;NR=207144957U&amp;KC=U</v>
      </c>
    </row>
    <row r="680" spans="3:5" x14ac:dyDescent="0.25">
      <c r="C680" t="s">
        <v>398</v>
      </c>
      <c r="D680" t="s">
        <v>399</v>
      </c>
      <c r="E680" t="str">
        <f>HYPERLINK("https://worldwide.espacenet.com/publicationDetails/biblio?II=33&amp;ND=3&amp;adjacent=true&amp;locale=en_EP&amp;FT=D&amp;date=20180323&amp;CC=CN&amp;NR=207129071U&amp;KC=U")</f>
        <v>https://worldwide.espacenet.com/publicationDetails/biblio?II=33&amp;ND=3&amp;adjacent=true&amp;locale=en_EP&amp;FT=D&amp;date=20180323&amp;CC=CN&amp;NR=207129071U&amp;KC=U</v>
      </c>
    </row>
    <row r="681" spans="3:5" x14ac:dyDescent="0.25">
      <c r="C681" t="s">
        <v>404</v>
      </c>
      <c r="D681" t="s">
        <v>405</v>
      </c>
      <c r="E681" t="str">
        <f>HYPERLINK("https://worldwide.espacenet.com/publicationDetails/biblio?II=34&amp;ND=3&amp;adjacent=true&amp;locale=en_EP&amp;FT=D&amp;date=20180323&amp;CC=CN&amp;NR=207133129U&amp;KC=U")</f>
        <v>https://worldwide.espacenet.com/publicationDetails/biblio?II=34&amp;ND=3&amp;adjacent=true&amp;locale=en_EP&amp;FT=D&amp;date=20180323&amp;CC=CN&amp;NR=207133129U&amp;KC=U</v>
      </c>
    </row>
    <row r="682" spans="3:5" x14ac:dyDescent="0.25">
      <c r="C682" t="s">
        <v>410</v>
      </c>
      <c r="D682" t="s">
        <v>411</v>
      </c>
      <c r="E682" t="str">
        <f>HYPERLINK("https://worldwide.espacenet.com/publicationDetails/biblio?II=35&amp;ND=3&amp;adjacent=true&amp;locale=en_EP&amp;FT=D&amp;date=20180320&amp;CC=CN&amp;NR=207120824U&amp;KC=U")</f>
        <v>https://worldwide.espacenet.com/publicationDetails/biblio?II=35&amp;ND=3&amp;adjacent=true&amp;locale=en_EP&amp;FT=D&amp;date=20180320&amp;CC=CN&amp;NR=207120824U&amp;KC=U</v>
      </c>
    </row>
    <row r="683" spans="3:5" x14ac:dyDescent="0.25">
      <c r="C683" t="s">
        <v>439</v>
      </c>
      <c r="D683" t="s">
        <v>440</v>
      </c>
      <c r="E683" t="str">
        <f>HYPERLINK("https://worldwide.espacenet.com/publicationDetails/biblio?II=36&amp;ND=3&amp;adjacent=true&amp;locale=en_EP&amp;FT=D&amp;date=20180216&amp;CC=CN&amp;NR=207013713U&amp;KC=U")</f>
        <v>https://worldwide.espacenet.com/publicationDetails/biblio?II=36&amp;ND=3&amp;adjacent=true&amp;locale=en_EP&amp;FT=D&amp;date=20180216&amp;CC=CN&amp;NR=207013713U&amp;KC=U</v>
      </c>
    </row>
    <row r="684" spans="3:5" x14ac:dyDescent="0.25">
      <c r="C684" t="s">
        <v>441</v>
      </c>
      <c r="D684" t="s">
        <v>442</v>
      </c>
      <c r="E684" t="str">
        <f>HYPERLINK("https://worldwide.espacenet.com/publicationDetails/biblio?II=37&amp;ND=3&amp;adjacent=true&amp;locale=en_EP&amp;FT=D&amp;date=20180216&amp;CC=CN&amp;NR=207014351U&amp;KC=U")</f>
        <v>https://worldwide.espacenet.com/publicationDetails/biblio?II=37&amp;ND=3&amp;adjacent=true&amp;locale=en_EP&amp;FT=D&amp;date=20180216&amp;CC=CN&amp;NR=207014351U&amp;KC=U</v>
      </c>
    </row>
    <row r="685" spans="3:5" x14ac:dyDescent="0.25">
      <c r="C685" t="s">
        <v>443</v>
      </c>
      <c r="D685" t="s">
        <v>444</v>
      </c>
      <c r="E685" t="str">
        <f>HYPERLINK("https://worldwide.espacenet.com/publicationDetails/biblio?II=38&amp;ND=3&amp;adjacent=true&amp;locale=en_EP&amp;FT=D&amp;date=20180216&amp;CC=CN&amp;NR=207013711U&amp;KC=U")</f>
        <v>https://worldwide.espacenet.com/publicationDetails/biblio?II=38&amp;ND=3&amp;adjacent=true&amp;locale=en_EP&amp;FT=D&amp;date=20180216&amp;CC=CN&amp;NR=207013711U&amp;KC=U</v>
      </c>
    </row>
    <row r="686" spans="3:5" x14ac:dyDescent="0.25">
      <c r="C686" t="s">
        <v>479</v>
      </c>
      <c r="D686" t="s">
        <v>480</v>
      </c>
      <c r="E686" t="str">
        <f>HYPERLINK("https://worldwide.espacenet.com/publicationDetails/biblio?II=39&amp;ND=3&amp;adjacent=true&amp;locale=en_EP&amp;FT=D&amp;date=20180206&amp;CC=CN&amp;NR=206970001U&amp;KC=U")</f>
        <v>https://worldwide.espacenet.com/publicationDetails/biblio?II=39&amp;ND=3&amp;adjacent=true&amp;locale=en_EP&amp;FT=D&amp;date=20180206&amp;CC=CN&amp;NR=206970001U&amp;KC=U</v>
      </c>
    </row>
    <row r="687" spans="3:5" x14ac:dyDescent="0.25">
      <c r="C687" t="s">
        <v>494</v>
      </c>
      <c r="D687" t="s">
        <v>495</v>
      </c>
      <c r="E687" t="str">
        <f>HYPERLINK("https://worldwide.espacenet.com/publicationDetails/biblio?II=40&amp;ND=3&amp;adjacent=true&amp;locale=en_EP&amp;FT=D&amp;date=20180123&amp;CC=CN&amp;NR=206915670U&amp;KC=U")</f>
        <v>https://worldwide.espacenet.com/publicationDetails/biblio?II=40&amp;ND=3&amp;adjacent=true&amp;locale=en_EP&amp;FT=D&amp;date=20180123&amp;CC=CN&amp;NR=206915670U&amp;KC=U</v>
      </c>
    </row>
    <row r="688" spans="3:5" x14ac:dyDescent="0.25">
      <c r="C688" t="s">
        <v>512</v>
      </c>
      <c r="D688" t="s">
        <v>513</v>
      </c>
      <c r="E688" t="str">
        <f>HYPERLINK("https://worldwide.espacenet.com/publicationDetails/biblio?II=41&amp;ND=3&amp;adjacent=true&amp;locale=en_EP&amp;FT=D&amp;date=20180123&amp;CC=CN&amp;NR=206914379U&amp;KC=U")</f>
        <v>https://worldwide.espacenet.com/publicationDetails/biblio?II=41&amp;ND=3&amp;adjacent=true&amp;locale=en_EP&amp;FT=D&amp;date=20180123&amp;CC=CN&amp;NR=206914379U&amp;KC=U</v>
      </c>
    </row>
    <row r="689" spans="3:5" x14ac:dyDescent="0.25">
      <c r="C689" t="s">
        <v>532</v>
      </c>
      <c r="D689" t="s">
        <v>533</v>
      </c>
      <c r="E689" t="str">
        <f>HYPERLINK("https://worldwide.espacenet.com/publicationDetails/biblio?II=42&amp;ND=3&amp;adjacent=true&amp;locale=en_EP&amp;FT=D&amp;date=20180306&amp;CC=CN&amp;NR=107757737A&amp;KC=A")</f>
        <v>https://worldwide.espacenet.com/publicationDetails/biblio?II=42&amp;ND=3&amp;adjacent=true&amp;locale=en_EP&amp;FT=D&amp;date=20180306&amp;CC=CN&amp;NR=107757737A&amp;KC=A</v>
      </c>
    </row>
    <row r="690" spans="3:5" x14ac:dyDescent="0.25">
      <c r="C690" t="s">
        <v>612</v>
      </c>
      <c r="D690" t="s">
        <v>613</v>
      </c>
      <c r="E690" t="str">
        <f>HYPERLINK("https://worldwide.espacenet.com/publicationDetails/biblio?II=43&amp;ND=3&amp;adjacent=true&amp;locale=en_EP&amp;FT=D&amp;date=20180208&amp;CC=WO&amp;NR=2018026595A1&amp;KC=A1")</f>
        <v>https://worldwide.espacenet.com/publicationDetails/biblio?II=43&amp;ND=3&amp;adjacent=true&amp;locale=en_EP&amp;FT=D&amp;date=20180208&amp;CC=WO&amp;NR=2018026595A1&amp;KC=A1</v>
      </c>
    </row>
    <row r="691" spans="3:5" x14ac:dyDescent="0.25">
      <c r="C691" t="s">
        <v>614</v>
      </c>
      <c r="D691" t="s">
        <v>615</v>
      </c>
      <c r="E691" t="str">
        <f>HYPERLINK("https://worldwide.espacenet.com/publicationDetails/biblio?II=44&amp;ND=3&amp;adjacent=true&amp;locale=en_EP&amp;FT=D&amp;date=20180208&amp;CC=US&amp;NR=2018037293A1&amp;KC=A1")</f>
        <v>https://worldwide.espacenet.com/publicationDetails/biblio?II=44&amp;ND=3&amp;adjacent=true&amp;locale=en_EP&amp;FT=D&amp;date=20180208&amp;CC=US&amp;NR=2018037293A1&amp;KC=A1</v>
      </c>
    </row>
    <row r="692" spans="3:5" x14ac:dyDescent="0.25">
      <c r="C692" t="s">
        <v>691</v>
      </c>
      <c r="D692" t="s">
        <v>692</v>
      </c>
      <c r="E692" t="str">
        <f>HYPERLINK("https://worldwide.espacenet.com/publicationDetails/biblio?II=45&amp;ND=3&amp;adjacent=true&amp;locale=en_EP&amp;FT=D&amp;date=20180109&amp;CC=CN&amp;NR=206864148U&amp;KC=U")</f>
        <v>https://worldwide.espacenet.com/publicationDetails/biblio?II=45&amp;ND=3&amp;adjacent=true&amp;locale=en_EP&amp;FT=D&amp;date=20180109&amp;CC=CN&amp;NR=206864148U&amp;KC=U</v>
      </c>
    </row>
    <row r="693" spans="3:5" x14ac:dyDescent="0.25">
      <c r="C693" t="s">
        <v>703</v>
      </c>
      <c r="D693" t="s">
        <v>704</v>
      </c>
      <c r="E693" t="str">
        <f>HYPERLINK("https://worldwide.espacenet.com/publicationDetails/biblio?II=46&amp;ND=3&amp;adjacent=true&amp;locale=en_EP&amp;FT=D&amp;date=20180105&amp;CC=CN&amp;NR=206842794U&amp;KC=U")</f>
        <v>https://worldwide.espacenet.com/publicationDetails/biblio?II=46&amp;ND=3&amp;adjacent=true&amp;locale=en_EP&amp;FT=D&amp;date=20180105&amp;CC=CN&amp;NR=206842794U&amp;KC=U</v>
      </c>
    </row>
    <row r="694" spans="3:5" x14ac:dyDescent="0.25">
      <c r="C694" t="s">
        <v>705</v>
      </c>
      <c r="D694" t="s">
        <v>706</v>
      </c>
      <c r="E694" t="str">
        <f>HYPERLINK("https://worldwide.espacenet.com/publicationDetails/biblio?II=47&amp;ND=3&amp;adjacent=true&amp;locale=en_EP&amp;FT=D&amp;date=20180105&amp;CC=CN&amp;NR=206841563U&amp;KC=U")</f>
        <v>https://worldwide.espacenet.com/publicationDetails/biblio?II=47&amp;ND=3&amp;adjacent=true&amp;locale=en_EP&amp;FT=D&amp;date=20180105&amp;CC=CN&amp;NR=206841563U&amp;KC=U</v>
      </c>
    </row>
    <row r="695" spans="3:5" x14ac:dyDescent="0.25">
      <c r="C695" t="s">
        <v>709</v>
      </c>
      <c r="D695" t="s">
        <v>710</v>
      </c>
      <c r="E695" t="str">
        <f>HYPERLINK("https://worldwide.espacenet.com/publicationDetails/biblio?II=48&amp;ND=3&amp;adjacent=true&amp;locale=en_EP&amp;FT=D&amp;date=20171228&amp;CC=WO&amp;NR=2017219714A1&amp;KC=A1")</f>
        <v>https://worldwide.espacenet.com/publicationDetails/biblio?II=48&amp;ND=3&amp;adjacent=true&amp;locale=en_EP&amp;FT=D&amp;date=20171228&amp;CC=WO&amp;NR=2017219714A1&amp;KC=A1</v>
      </c>
    </row>
    <row r="696" spans="3:5" x14ac:dyDescent="0.25">
      <c r="C696" t="s">
        <v>723</v>
      </c>
      <c r="D696" t="s">
        <v>724</v>
      </c>
      <c r="E696" t="str">
        <f>HYPERLINK("https://worldwide.espacenet.com/publicationDetails/biblio?II=49&amp;ND=3&amp;adjacent=true&amp;locale=en_EP&amp;FT=D&amp;date=20171226&amp;CC=CN&amp;NR=206804451U&amp;KC=U")</f>
        <v>https://worldwide.espacenet.com/publicationDetails/biblio?II=49&amp;ND=3&amp;adjacent=true&amp;locale=en_EP&amp;FT=D&amp;date=20171226&amp;CC=CN&amp;NR=206804451U&amp;KC=U</v>
      </c>
    </row>
    <row r="697" spans="3:5" x14ac:dyDescent="0.25">
      <c r="C697" t="s">
        <v>729</v>
      </c>
      <c r="D697" t="s">
        <v>730</v>
      </c>
      <c r="E697" t="str">
        <f>HYPERLINK("https://worldwide.espacenet.com/publicationDetails/biblio?II=50&amp;ND=3&amp;adjacent=true&amp;locale=en_EP&amp;FT=D&amp;date=20171226&amp;CC=CN&amp;NR=206798959U&amp;KC=U")</f>
        <v>https://worldwide.espacenet.com/publicationDetails/biblio?II=50&amp;ND=3&amp;adjacent=true&amp;locale=en_EP&amp;FT=D&amp;date=20171226&amp;CC=CN&amp;NR=206798959U&amp;KC=U</v>
      </c>
    </row>
    <row r="698" spans="3:5" x14ac:dyDescent="0.25">
      <c r="C698" t="s">
        <v>737</v>
      </c>
      <c r="D698" t="s">
        <v>738</v>
      </c>
      <c r="E698" t="str">
        <f>HYPERLINK("https://worldwide.espacenet.com/publicationDetails/biblio?II=51&amp;ND=3&amp;adjacent=true&amp;locale=en_EP&amp;FT=D&amp;date=20171221&amp;CC=WO&amp;NR=2017215113A1&amp;KC=A1")</f>
        <v>https://worldwide.espacenet.com/publicationDetails/biblio?II=51&amp;ND=3&amp;adjacent=true&amp;locale=en_EP&amp;FT=D&amp;date=20171221&amp;CC=WO&amp;NR=2017215113A1&amp;KC=A1</v>
      </c>
    </row>
    <row r="699" spans="3:5" x14ac:dyDescent="0.25">
      <c r="C699" t="s">
        <v>739</v>
      </c>
      <c r="D699" t="s">
        <v>740</v>
      </c>
      <c r="E699" t="str">
        <f>HYPERLINK("https://worldwide.espacenet.com/publicationDetails/biblio?II=52&amp;ND=3&amp;adjacent=true&amp;locale=en_EP&amp;FT=D&amp;date=20171219&amp;CC=CN&amp;NR=206764791U&amp;KC=U")</f>
        <v>https://worldwide.espacenet.com/publicationDetails/biblio?II=52&amp;ND=3&amp;adjacent=true&amp;locale=en_EP&amp;FT=D&amp;date=20171219&amp;CC=CN&amp;NR=206764791U&amp;KC=U</v>
      </c>
    </row>
    <row r="700" spans="3:5" x14ac:dyDescent="0.25">
      <c r="C700" t="s">
        <v>786</v>
      </c>
      <c r="D700" t="s">
        <v>787</v>
      </c>
      <c r="E700" t="str">
        <f>HYPERLINK("https://worldwide.espacenet.com/publicationDetails/biblio?II=53&amp;ND=3&amp;adjacent=true&amp;locale=en_EP&amp;FT=D&amp;date=20171208&amp;CC=CN&amp;NR=206725073U&amp;KC=U")</f>
        <v>https://worldwide.espacenet.com/publicationDetails/biblio?II=53&amp;ND=3&amp;adjacent=true&amp;locale=en_EP&amp;FT=D&amp;date=20171208&amp;CC=CN&amp;NR=206725073U&amp;KC=U</v>
      </c>
    </row>
    <row r="701" spans="3:5" x14ac:dyDescent="0.25">
      <c r="C701" t="s">
        <v>790</v>
      </c>
      <c r="D701" t="s">
        <v>791</v>
      </c>
      <c r="E701" t="str">
        <f>HYPERLINK("https://worldwide.espacenet.com/publicationDetails/biblio?II=54&amp;ND=3&amp;adjacent=true&amp;locale=en_EP&amp;FT=D&amp;date=20171207&amp;CC=US&amp;NR=2017349231A1&amp;KC=A1")</f>
        <v>https://worldwide.espacenet.com/publicationDetails/biblio?II=54&amp;ND=3&amp;adjacent=true&amp;locale=en_EP&amp;FT=D&amp;date=20171207&amp;CC=US&amp;NR=2017349231A1&amp;KC=A1</v>
      </c>
    </row>
    <row r="702" spans="3:5" x14ac:dyDescent="0.25">
      <c r="C702" t="s">
        <v>829</v>
      </c>
      <c r="D702" t="s">
        <v>830</v>
      </c>
      <c r="E702" t="str">
        <f>HYPERLINK("https://worldwide.espacenet.com/publicationDetails/biblio?II=55&amp;ND=3&amp;adjacent=true&amp;locale=en_EP&amp;FT=D&amp;date=20171128&amp;CC=CN&amp;NR=206680859U&amp;KC=U")</f>
        <v>https://worldwide.espacenet.com/publicationDetails/biblio?II=55&amp;ND=3&amp;adjacent=true&amp;locale=en_EP&amp;FT=D&amp;date=20171128&amp;CC=CN&amp;NR=206680859U&amp;KC=U</v>
      </c>
    </row>
    <row r="703" spans="3:5" x14ac:dyDescent="0.25">
      <c r="C703" t="s">
        <v>870</v>
      </c>
      <c r="D703" t="s">
        <v>871</v>
      </c>
      <c r="E703" t="str">
        <f>HYPERLINK("https://worldwide.espacenet.com/publicationDetails/biblio?II=56&amp;ND=3&amp;adjacent=true&amp;locale=en_EP&amp;FT=D&amp;date=20171117&amp;CC=CN&amp;NR=107351987A&amp;KC=A")</f>
        <v>https://worldwide.espacenet.com/publicationDetails/biblio?II=56&amp;ND=3&amp;adjacent=true&amp;locale=en_EP&amp;FT=D&amp;date=20171117&amp;CC=CN&amp;NR=107351987A&amp;KC=A</v>
      </c>
    </row>
    <row r="704" spans="3:5" x14ac:dyDescent="0.25">
      <c r="C704" t="s">
        <v>560</v>
      </c>
      <c r="D704" t="s">
        <v>876</v>
      </c>
      <c r="E704" t="str">
        <f>HYPERLINK("https://worldwide.espacenet.com/publicationDetails/biblio?II=57&amp;ND=3&amp;adjacent=true&amp;locale=en_EP&amp;FT=D&amp;date=20171114&amp;CC=CN&amp;NR=107344588A&amp;KC=A")</f>
        <v>https://worldwide.espacenet.com/publicationDetails/biblio?II=57&amp;ND=3&amp;adjacent=true&amp;locale=en_EP&amp;FT=D&amp;date=20171114&amp;CC=CN&amp;NR=107344588A&amp;KC=A</v>
      </c>
    </row>
    <row r="705" spans="3:5" x14ac:dyDescent="0.25">
      <c r="C705" t="s">
        <v>877</v>
      </c>
      <c r="D705" t="s">
        <v>878</v>
      </c>
      <c r="E705" t="str">
        <f>HYPERLINK("https://worldwide.espacenet.com/publicationDetails/biblio?II=58&amp;ND=3&amp;adjacent=true&amp;locale=en_EP&amp;FT=D&amp;date=20171114&amp;CC=CN&amp;NR=206635781U&amp;KC=U")</f>
        <v>https://worldwide.espacenet.com/publicationDetails/biblio?II=58&amp;ND=3&amp;adjacent=true&amp;locale=en_EP&amp;FT=D&amp;date=20171114&amp;CC=CN&amp;NR=206635781U&amp;KC=U</v>
      </c>
    </row>
    <row r="706" spans="3:5" x14ac:dyDescent="0.25">
      <c r="C706" t="s">
        <v>889</v>
      </c>
      <c r="D706" t="s">
        <v>890</v>
      </c>
      <c r="E706" t="str">
        <f>HYPERLINK("https://worldwide.espacenet.com/publicationDetails/biblio?II=59&amp;ND=3&amp;adjacent=true&amp;locale=en_EP&amp;FT=D&amp;date=20171107&amp;CC=CN&amp;NR=107321969A&amp;KC=A")</f>
        <v>https://worldwide.espacenet.com/publicationDetails/biblio?II=59&amp;ND=3&amp;adjacent=true&amp;locale=en_EP&amp;FT=D&amp;date=20171107&amp;CC=CN&amp;NR=107321969A&amp;KC=A</v>
      </c>
    </row>
    <row r="707" spans="3:5" x14ac:dyDescent="0.25">
      <c r="C707" t="s">
        <v>943</v>
      </c>
      <c r="D707" t="s">
        <v>944</v>
      </c>
      <c r="E707" t="str">
        <f>HYPERLINK("https://worldwide.espacenet.com/publicationDetails/biblio?II=60&amp;ND=3&amp;adjacent=true&amp;locale=en_EP&amp;FT=D&amp;date=20171020&amp;CC=CN&amp;NR=206570757U&amp;KC=U")</f>
        <v>https://worldwide.espacenet.com/publicationDetails/biblio?II=60&amp;ND=3&amp;adjacent=true&amp;locale=en_EP&amp;FT=D&amp;date=20171020&amp;CC=CN&amp;NR=206570757U&amp;KC=U</v>
      </c>
    </row>
    <row r="708" spans="3:5" x14ac:dyDescent="0.25">
      <c r="C708" t="s">
        <v>947</v>
      </c>
      <c r="D708" t="s">
        <v>948</v>
      </c>
      <c r="E708" t="str">
        <f>HYPERLINK("https://worldwide.espacenet.com/publicationDetails/biblio?II=61&amp;ND=3&amp;adjacent=true&amp;locale=en_EP&amp;FT=D&amp;date=20171017&amp;CC=CN&amp;NR=206561410U&amp;KC=U")</f>
        <v>https://worldwide.espacenet.com/publicationDetails/biblio?II=61&amp;ND=3&amp;adjacent=true&amp;locale=en_EP&amp;FT=D&amp;date=20171017&amp;CC=CN&amp;NR=206561410U&amp;KC=U</v>
      </c>
    </row>
    <row r="709" spans="3:5" x14ac:dyDescent="0.25">
      <c r="C709" t="s">
        <v>951</v>
      </c>
      <c r="D709" t="s">
        <v>952</v>
      </c>
      <c r="E709" t="str">
        <f>HYPERLINK("https://worldwide.espacenet.com/publicationDetails/biblio?II=62&amp;ND=3&amp;adjacent=true&amp;locale=en_EP&amp;FT=D&amp;date=20171017&amp;CC=CN&amp;NR=107253179A&amp;KC=A")</f>
        <v>https://worldwide.espacenet.com/publicationDetails/biblio?II=62&amp;ND=3&amp;adjacent=true&amp;locale=en_EP&amp;FT=D&amp;date=20171017&amp;CC=CN&amp;NR=107253179A&amp;KC=A</v>
      </c>
    </row>
    <row r="710" spans="3:5" x14ac:dyDescent="0.25">
      <c r="C710" t="s">
        <v>953</v>
      </c>
      <c r="D710" t="s">
        <v>954</v>
      </c>
      <c r="E710" t="str">
        <f>HYPERLINK("https://worldwide.espacenet.com/publicationDetails/biblio?II=63&amp;ND=3&amp;adjacent=true&amp;locale=en_EP&amp;FT=D&amp;date=20170222&amp;CC=CN&amp;NR=205979594U&amp;KC=U")</f>
        <v>https://worldwide.espacenet.com/publicationDetails/biblio?II=63&amp;ND=3&amp;adjacent=true&amp;locale=en_EP&amp;FT=D&amp;date=20170222&amp;CC=CN&amp;NR=205979594U&amp;KC=U</v>
      </c>
    </row>
    <row r="711" spans="3:5" x14ac:dyDescent="0.25">
      <c r="C711" t="s">
        <v>969</v>
      </c>
      <c r="D711" t="s">
        <v>970</v>
      </c>
      <c r="E711" t="str">
        <f>HYPERLINK("https://worldwide.espacenet.com/publicationDetails/biblio?II=64&amp;ND=3&amp;adjacent=true&amp;locale=en_EP&amp;FT=D&amp;date=20170928&amp;CC=US&amp;NR=2017277202A1&amp;KC=A1")</f>
        <v>https://worldwide.espacenet.com/publicationDetails/biblio?II=64&amp;ND=3&amp;adjacent=true&amp;locale=en_EP&amp;FT=D&amp;date=20170928&amp;CC=US&amp;NR=2017277202A1&amp;KC=A1</v>
      </c>
    </row>
    <row r="712" spans="3:5" x14ac:dyDescent="0.25">
      <c r="C712" t="s">
        <v>1155</v>
      </c>
      <c r="D712" t="s">
        <v>1156</v>
      </c>
      <c r="E712" t="str">
        <f>HYPERLINK("https://worldwide.espacenet.com/publicationDetails/biblio?II=65&amp;ND=3&amp;adjacent=true&amp;locale=en_EP&amp;FT=D&amp;date=20170922&amp;CC=CN&amp;NR=107187556A&amp;KC=A")</f>
        <v>https://worldwide.espacenet.com/publicationDetails/biblio?II=65&amp;ND=3&amp;adjacent=true&amp;locale=en_EP&amp;FT=D&amp;date=20170922&amp;CC=CN&amp;NR=107187556A&amp;KC=A</v>
      </c>
    </row>
    <row r="713" spans="3:5" x14ac:dyDescent="0.25">
      <c r="C713" t="s">
        <v>1157</v>
      </c>
      <c r="D713" t="s">
        <v>1158</v>
      </c>
      <c r="E713" t="str">
        <f>HYPERLINK("https://worldwide.espacenet.com/publicationDetails/biblio?II=66&amp;ND=3&amp;adjacent=true&amp;locale=en_EP&amp;FT=D&amp;date=20170921&amp;CC=US&amp;NR=2017267306A1&amp;KC=A1")</f>
        <v>https://worldwide.espacenet.com/publicationDetails/biblio?II=66&amp;ND=3&amp;adjacent=true&amp;locale=en_EP&amp;FT=D&amp;date=20170921&amp;CC=US&amp;NR=2017267306A1&amp;KC=A1</v>
      </c>
    </row>
    <row r="714" spans="3:5" x14ac:dyDescent="0.25">
      <c r="C714" t="s">
        <v>1159</v>
      </c>
      <c r="D714" t="s">
        <v>1160</v>
      </c>
      <c r="E714" t="str">
        <f>HYPERLINK("https://worldwide.espacenet.com/publicationDetails/biblio?II=67&amp;ND=3&amp;adjacent=true&amp;locale=en_EP&amp;FT=D&amp;date=20170915&amp;CC=CN&amp;NR=107161295A&amp;KC=A")</f>
        <v>https://worldwide.espacenet.com/publicationDetails/biblio?II=67&amp;ND=3&amp;adjacent=true&amp;locale=en_EP&amp;FT=D&amp;date=20170915&amp;CC=CN&amp;NR=107161295A&amp;KC=A</v>
      </c>
    </row>
    <row r="715" spans="3:5" x14ac:dyDescent="0.25">
      <c r="C715" t="s">
        <v>1161</v>
      </c>
      <c r="D715" t="s">
        <v>1162</v>
      </c>
      <c r="E715" t="str">
        <f>HYPERLINK("https://worldwide.espacenet.com/publicationDetails/biblio?II=68&amp;ND=3&amp;adjacent=true&amp;locale=en_EP&amp;FT=D&amp;date=20170825&amp;CC=CN&amp;NR=206437835U&amp;KC=U")</f>
        <v>https://worldwide.espacenet.com/publicationDetails/biblio?II=68&amp;ND=3&amp;adjacent=true&amp;locale=en_EP&amp;FT=D&amp;date=20170825&amp;CC=CN&amp;NR=206437835U&amp;KC=U</v>
      </c>
    </row>
    <row r="716" spans="3:5" x14ac:dyDescent="0.25">
      <c r="C716" t="s">
        <v>1163</v>
      </c>
      <c r="D716" t="s">
        <v>1164</v>
      </c>
      <c r="E716" t="str">
        <f>HYPERLINK("https://worldwide.espacenet.com/publicationDetails/biblio?II=69&amp;ND=3&amp;adjacent=true&amp;locale=en_EP&amp;FT=D&amp;date=20170818&amp;CC=CN&amp;NR=107063896A&amp;KC=A")</f>
        <v>https://worldwide.espacenet.com/publicationDetails/biblio?II=69&amp;ND=3&amp;adjacent=true&amp;locale=en_EP&amp;FT=D&amp;date=20170818&amp;CC=CN&amp;NR=107063896A&amp;KC=A</v>
      </c>
    </row>
    <row r="717" spans="3:5" x14ac:dyDescent="0.25">
      <c r="C717" t="s">
        <v>1165</v>
      </c>
      <c r="D717" t="s">
        <v>1166</v>
      </c>
      <c r="E717" t="str">
        <f>HYPERLINK("https://worldwide.espacenet.com/publicationDetails/biblio?II=70&amp;ND=3&amp;adjacent=true&amp;locale=en_EP&amp;FT=D&amp;date=20170817&amp;CC=US&amp;NR=2017233023A1&amp;KC=A1")</f>
        <v>https://worldwide.espacenet.com/publicationDetails/biblio?II=70&amp;ND=3&amp;adjacent=true&amp;locale=en_EP&amp;FT=D&amp;date=20170817&amp;CC=US&amp;NR=2017233023A1&amp;KC=A1</v>
      </c>
    </row>
    <row r="718" spans="3:5" x14ac:dyDescent="0.25">
      <c r="C718" t="s">
        <v>1167</v>
      </c>
      <c r="D718" t="s">
        <v>1168</v>
      </c>
      <c r="E718" t="str">
        <f>HYPERLINK("https://worldwide.espacenet.com/publicationDetails/biblio?II=71&amp;ND=3&amp;adjacent=true&amp;locale=en_EP&amp;FT=D&amp;date=20170810&amp;CC=US&amp;NR=2017225736A1&amp;KC=A1")</f>
        <v>https://worldwide.espacenet.com/publicationDetails/biblio?II=71&amp;ND=3&amp;adjacent=true&amp;locale=en_EP&amp;FT=D&amp;date=20170810&amp;CC=US&amp;NR=2017225736A1&amp;KC=A1</v>
      </c>
    </row>
    <row r="719" spans="3:5" x14ac:dyDescent="0.25">
      <c r="C719" t="s">
        <v>1169</v>
      </c>
      <c r="D719" t="s">
        <v>1170</v>
      </c>
      <c r="E719" t="str">
        <f>HYPERLINK("https://worldwide.espacenet.com/publicationDetails/biblio?II=72&amp;ND=3&amp;adjacent=true&amp;locale=en_EP&amp;FT=D&amp;date=20170804&amp;CC=CN&amp;NR=107010207A&amp;KC=A")</f>
        <v>https://worldwide.espacenet.com/publicationDetails/biblio?II=72&amp;ND=3&amp;adjacent=true&amp;locale=en_EP&amp;FT=D&amp;date=20170804&amp;CC=CN&amp;NR=107010207A&amp;KC=A</v>
      </c>
    </row>
    <row r="720" spans="3:5" x14ac:dyDescent="0.25">
      <c r="C720" t="s">
        <v>1171</v>
      </c>
      <c r="D720" t="s">
        <v>1172</v>
      </c>
      <c r="E720" t="str">
        <f>HYPERLINK("https://worldwide.espacenet.com/publicationDetails/biblio?II=73&amp;ND=3&amp;adjacent=true&amp;locale=en_EP&amp;FT=D&amp;date=20170801&amp;CC=CN&amp;NR=107000804A&amp;KC=A")</f>
        <v>https://worldwide.espacenet.com/publicationDetails/biblio?II=73&amp;ND=3&amp;adjacent=true&amp;locale=en_EP&amp;FT=D&amp;date=20170801&amp;CC=CN&amp;NR=107000804A&amp;KC=A</v>
      </c>
    </row>
    <row r="721" spans="3:5" x14ac:dyDescent="0.25">
      <c r="C721" t="s">
        <v>1173</v>
      </c>
      <c r="D721" t="s">
        <v>1174</v>
      </c>
      <c r="E721" t="str">
        <f>HYPERLINK("https://worldwide.espacenet.com/publicationDetails/biblio?II=74&amp;ND=3&amp;adjacent=true&amp;locale=en_EP&amp;FT=D&amp;date=20170803&amp;CC=US&amp;NR=2017217529A1&amp;KC=A1")</f>
        <v>https://worldwide.espacenet.com/publicationDetails/biblio?II=74&amp;ND=3&amp;adjacent=true&amp;locale=en_EP&amp;FT=D&amp;date=20170803&amp;CC=US&amp;NR=2017217529A1&amp;KC=A1</v>
      </c>
    </row>
    <row r="722" spans="3:5" x14ac:dyDescent="0.25">
      <c r="C722" t="s">
        <v>1175</v>
      </c>
      <c r="D722" t="s">
        <v>1176</v>
      </c>
      <c r="E722" t="str">
        <f>HYPERLINK("https://worldwide.espacenet.com/publicationDetails/biblio?II=75&amp;ND=3&amp;adjacent=true&amp;locale=en_EP&amp;FT=D&amp;date=20170721&amp;CC=CN&amp;NR=106965886A&amp;KC=A")</f>
        <v>https://worldwide.espacenet.com/publicationDetails/biblio?II=75&amp;ND=3&amp;adjacent=true&amp;locale=en_EP&amp;FT=D&amp;date=20170721&amp;CC=CN&amp;NR=106965886A&amp;KC=A</v>
      </c>
    </row>
    <row r="723" spans="3:5" x14ac:dyDescent="0.25">
      <c r="C723" t="s">
        <v>1177</v>
      </c>
      <c r="D723" t="s">
        <v>1178</v>
      </c>
      <c r="E723" t="str">
        <f>HYPERLINK("https://worldwide.espacenet.com/publicationDetails/biblio?II=76&amp;ND=3&amp;adjacent=true&amp;locale=en_EP&amp;FT=D&amp;date=20170714&amp;CC=CN&amp;NR=206329280U&amp;KC=U")</f>
        <v>https://worldwide.espacenet.com/publicationDetails/biblio?II=76&amp;ND=3&amp;adjacent=true&amp;locale=en_EP&amp;FT=D&amp;date=20170714&amp;CC=CN&amp;NR=206329280U&amp;KC=U</v>
      </c>
    </row>
    <row r="724" spans="3:5" x14ac:dyDescent="0.25">
      <c r="C724" t="s">
        <v>1179</v>
      </c>
      <c r="D724" t="s">
        <v>1180</v>
      </c>
      <c r="E724" t="str">
        <f>HYPERLINK("https://worldwide.espacenet.com/publicationDetails/biblio?II=77&amp;ND=3&amp;adjacent=true&amp;locale=en_EP&amp;FT=D&amp;date=20170707&amp;CC=CN&amp;NR=206307163U&amp;KC=U")</f>
        <v>https://worldwide.espacenet.com/publicationDetails/biblio?II=77&amp;ND=3&amp;adjacent=true&amp;locale=en_EP&amp;FT=D&amp;date=20170707&amp;CC=CN&amp;NR=206307163U&amp;KC=U</v>
      </c>
    </row>
    <row r="725" spans="3:5" x14ac:dyDescent="0.25">
      <c r="C725" t="s">
        <v>1181</v>
      </c>
      <c r="D725" t="s">
        <v>1182</v>
      </c>
      <c r="E725" t="str">
        <f>HYPERLINK("https://worldwide.espacenet.com/publicationDetails/biblio?II=78&amp;ND=3&amp;adjacent=true&amp;locale=en_EP&amp;FT=D&amp;date=20170706&amp;CC=US&amp;NR=2017190335A1&amp;KC=A1")</f>
        <v>https://worldwide.espacenet.com/publicationDetails/biblio?II=78&amp;ND=3&amp;adjacent=true&amp;locale=en_EP&amp;FT=D&amp;date=20170706&amp;CC=US&amp;NR=2017190335A1&amp;KC=A1</v>
      </c>
    </row>
    <row r="726" spans="3:5" x14ac:dyDescent="0.25">
      <c r="C726" t="s">
        <v>1183</v>
      </c>
      <c r="D726" t="s">
        <v>1184</v>
      </c>
      <c r="E726" t="str">
        <f>HYPERLINK("https://worldwide.espacenet.com/publicationDetails/biblio?II=79&amp;ND=3&amp;adjacent=true&amp;locale=en_EP&amp;FT=D&amp;date=20170704&amp;CC=CN&amp;NR=206300783U&amp;KC=U")</f>
        <v>https://worldwide.espacenet.com/publicationDetails/biblio?II=79&amp;ND=3&amp;adjacent=true&amp;locale=en_EP&amp;FT=D&amp;date=20170704&amp;CC=CN&amp;NR=206300783U&amp;KC=U</v>
      </c>
    </row>
    <row r="727" spans="3:5" x14ac:dyDescent="0.25">
      <c r="C727" t="s">
        <v>1185</v>
      </c>
      <c r="D727" t="s">
        <v>1186</v>
      </c>
      <c r="E727" t="str">
        <f>HYPERLINK("https://worldwide.espacenet.com/publicationDetails/biblio?II=80&amp;ND=3&amp;adjacent=true&amp;locale=en_EP&amp;FT=D&amp;date=20170613&amp;CC=CN&amp;NR=106844991A&amp;KC=A")</f>
        <v>https://worldwide.espacenet.com/publicationDetails/biblio?II=80&amp;ND=3&amp;adjacent=true&amp;locale=en_EP&amp;FT=D&amp;date=20170613&amp;CC=CN&amp;NR=106844991A&amp;KC=A</v>
      </c>
    </row>
    <row r="728" spans="3:5" x14ac:dyDescent="0.25">
      <c r="C728" t="s">
        <v>1187</v>
      </c>
      <c r="D728" t="s">
        <v>1188</v>
      </c>
      <c r="E728" t="str">
        <f>HYPERLINK("https://worldwide.espacenet.com/publicationDetails/biblio?II=81&amp;ND=3&amp;adjacent=true&amp;locale=en_EP&amp;FT=D&amp;date=20170606&amp;CC=CN&amp;NR=106802147A&amp;KC=A")</f>
        <v>https://worldwide.espacenet.com/publicationDetails/biblio?II=81&amp;ND=3&amp;adjacent=true&amp;locale=en_EP&amp;FT=D&amp;date=20170606&amp;CC=CN&amp;NR=106802147A&amp;KC=A</v>
      </c>
    </row>
    <row r="729" spans="3:5" x14ac:dyDescent="0.25">
      <c r="C729" t="s">
        <v>1189</v>
      </c>
      <c r="D729" t="s">
        <v>1190</v>
      </c>
      <c r="E729" t="str">
        <f>HYPERLINK("https://worldwide.espacenet.com/publicationDetails/biblio?II=82&amp;ND=3&amp;adjacent=true&amp;locale=en_EP&amp;FT=D&amp;date=20170531&amp;CC=CN&amp;NR=106768250A&amp;KC=A")</f>
        <v>https://worldwide.espacenet.com/publicationDetails/biblio?II=82&amp;ND=3&amp;adjacent=true&amp;locale=en_EP&amp;FT=D&amp;date=20170531&amp;CC=CN&amp;NR=106768250A&amp;KC=A</v>
      </c>
    </row>
    <row r="730" spans="3:5" x14ac:dyDescent="0.25">
      <c r="C730" t="s">
        <v>1011</v>
      </c>
      <c r="D730" t="s">
        <v>1012</v>
      </c>
      <c r="E730" t="str">
        <f>HYPERLINK("https://worldwide.espacenet.com/publicationDetails/biblio?II=83&amp;ND=3&amp;adjacent=true&amp;locale=en_EP&amp;FT=D&amp;date=20170524&amp;CC=CN&amp;NR=106696629A&amp;KC=A")</f>
        <v>https://worldwide.espacenet.com/publicationDetails/biblio?II=83&amp;ND=3&amp;adjacent=true&amp;locale=en_EP&amp;FT=D&amp;date=20170524&amp;CC=CN&amp;NR=106696629A&amp;KC=A</v>
      </c>
    </row>
    <row r="731" spans="3:5" x14ac:dyDescent="0.25">
      <c r="C731" t="s">
        <v>1191</v>
      </c>
      <c r="D731" t="s">
        <v>1192</v>
      </c>
      <c r="E731" t="str">
        <f>HYPERLINK("https://worldwide.espacenet.com/publicationDetails/biblio?II=84&amp;ND=3&amp;adjacent=true&amp;locale=en_EP&amp;FT=D&amp;date=20170531&amp;CC=CN&amp;NR=106741785A&amp;KC=A")</f>
        <v>https://worldwide.espacenet.com/publicationDetails/biblio?II=84&amp;ND=3&amp;adjacent=true&amp;locale=en_EP&amp;FT=D&amp;date=20170531&amp;CC=CN&amp;NR=106741785A&amp;KC=A</v>
      </c>
    </row>
    <row r="732" spans="3:5" x14ac:dyDescent="0.25">
      <c r="C732" t="s">
        <v>1017</v>
      </c>
      <c r="D732" t="s">
        <v>1018</v>
      </c>
      <c r="E732" t="str">
        <f>HYPERLINK("https://worldwide.espacenet.com/publicationDetails/biblio?II=85&amp;ND=3&amp;adjacent=true&amp;locale=en_EP&amp;FT=D&amp;date=20170510&amp;CC=CN&amp;NR=106625569A&amp;KC=A")</f>
        <v>https://worldwide.espacenet.com/publicationDetails/biblio?II=85&amp;ND=3&amp;adjacent=true&amp;locale=en_EP&amp;FT=D&amp;date=20170510&amp;CC=CN&amp;NR=106625569A&amp;KC=A</v>
      </c>
    </row>
    <row r="733" spans="3:5" x14ac:dyDescent="0.25">
      <c r="C733" t="s">
        <v>1193</v>
      </c>
      <c r="D733" t="s">
        <v>1194</v>
      </c>
      <c r="E733" t="str">
        <f>HYPERLINK("https://worldwide.espacenet.com/publicationDetails/biblio?II=86&amp;ND=3&amp;adjacent=true&amp;locale=en_EP&amp;FT=D&amp;date=20170510&amp;CC=CN&amp;NR=106639894A&amp;KC=A")</f>
        <v>https://worldwide.espacenet.com/publicationDetails/biblio?II=86&amp;ND=3&amp;adjacent=true&amp;locale=en_EP&amp;FT=D&amp;date=20170510&amp;CC=CN&amp;NR=106639894A&amp;KC=A</v>
      </c>
    </row>
    <row r="734" spans="3:5" x14ac:dyDescent="0.25">
      <c r="C734" t="s">
        <v>976</v>
      </c>
      <c r="D734" t="s">
        <v>977</v>
      </c>
      <c r="E734" t="str">
        <f>HYPERLINK("https://worldwide.espacenet.com/publicationDetails/biblio?II=87&amp;ND=3&amp;adjacent=true&amp;locale=en_EP&amp;FT=D&amp;date=20170510&amp;CC=CN&amp;NR=106627824A&amp;KC=A")</f>
        <v>https://worldwide.espacenet.com/publicationDetails/biblio?II=87&amp;ND=3&amp;adjacent=true&amp;locale=en_EP&amp;FT=D&amp;date=20170510&amp;CC=CN&amp;NR=106627824A&amp;KC=A</v>
      </c>
    </row>
    <row r="735" spans="3:5" x14ac:dyDescent="0.25">
      <c r="C735" t="s">
        <v>1195</v>
      </c>
      <c r="D735" t="s">
        <v>1196</v>
      </c>
      <c r="E735" t="str">
        <f>HYPERLINK("https://worldwide.espacenet.com/publicationDetails/biblio?II=88&amp;ND=3&amp;adjacent=true&amp;locale=en_EP&amp;FT=D&amp;date=20171207&amp;CC=WO&amp;NR=2017207400A1&amp;KC=A1")</f>
        <v>https://worldwide.espacenet.com/publicationDetails/biblio?II=88&amp;ND=3&amp;adjacent=true&amp;locale=en_EP&amp;FT=D&amp;date=20171207&amp;CC=WO&amp;NR=2017207400A1&amp;KC=A1</v>
      </c>
    </row>
    <row r="736" spans="3:5" x14ac:dyDescent="0.25">
      <c r="C736" t="s">
        <v>1197</v>
      </c>
      <c r="D736" t="s">
        <v>1198</v>
      </c>
      <c r="E736" t="str">
        <f>HYPERLINK("https://worldwide.espacenet.com/publicationDetails/biblio?II=89&amp;ND=3&amp;adjacent=true&amp;locale=en_EP&amp;FT=D&amp;date=20170426&amp;CC=CN&amp;NR=106585749A&amp;KC=A")</f>
        <v>https://worldwide.espacenet.com/publicationDetails/biblio?II=89&amp;ND=3&amp;adjacent=true&amp;locale=en_EP&amp;FT=D&amp;date=20170426&amp;CC=CN&amp;NR=106585749A&amp;KC=A</v>
      </c>
    </row>
    <row r="737" spans="3:5" x14ac:dyDescent="0.25">
      <c r="C737" t="s">
        <v>1022</v>
      </c>
      <c r="D737" t="s">
        <v>1023</v>
      </c>
      <c r="E737" t="str">
        <f>HYPERLINK("https://worldwide.espacenet.com/publicationDetails/biblio?II=90&amp;ND=3&amp;adjacent=true&amp;locale=en_EP&amp;FT=D&amp;date=20170426&amp;CC=CN&amp;NR=106593438A&amp;KC=A")</f>
        <v>https://worldwide.espacenet.com/publicationDetails/biblio?II=90&amp;ND=3&amp;adjacent=true&amp;locale=en_EP&amp;FT=D&amp;date=20170426&amp;CC=CN&amp;NR=106593438A&amp;KC=A</v>
      </c>
    </row>
    <row r="738" spans="3:5" x14ac:dyDescent="0.25">
      <c r="C738" t="s">
        <v>1199</v>
      </c>
      <c r="D738" t="s">
        <v>1200</v>
      </c>
      <c r="E738" t="str">
        <f>HYPERLINK("https://worldwide.espacenet.com/publicationDetails/biblio?II=91&amp;ND=3&amp;adjacent=true&amp;locale=en_EP&amp;FT=D&amp;date=20170426&amp;CC=CN&amp;NR=206127970U&amp;KC=U")</f>
        <v>https://worldwide.espacenet.com/publicationDetails/biblio?II=91&amp;ND=3&amp;adjacent=true&amp;locale=en_EP&amp;FT=D&amp;date=20170426&amp;CC=CN&amp;NR=206127970U&amp;KC=U</v>
      </c>
    </row>
    <row r="739" spans="3:5" x14ac:dyDescent="0.25">
      <c r="C739" t="s">
        <v>1201</v>
      </c>
      <c r="D739" t="s">
        <v>1202</v>
      </c>
      <c r="E739" t="str">
        <f>HYPERLINK("https://worldwide.espacenet.com/publicationDetails/biblio?II=92&amp;ND=3&amp;adjacent=true&amp;locale=en_EP&amp;FT=D&amp;date=20170329&amp;CC=CN&amp;NR=206049991U&amp;KC=U")</f>
        <v>https://worldwide.espacenet.com/publicationDetails/biblio?II=92&amp;ND=3&amp;adjacent=true&amp;locale=en_EP&amp;FT=D&amp;date=20170329&amp;CC=CN&amp;NR=206049991U&amp;KC=U</v>
      </c>
    </row>
    <row r="740" spans="3:5" x14ac:dyDescent="0.25">
      <c r="C740" t="s">
        <v>1203</v>
      </c>
      <c r="D740" t="s">
        <v>1204</v>
      </c>
      <c r="E740" t="str">
        <f>HYPERLINK("https://worldwide.espacenet.com/publicationDetails/biblio?II=93&amp;ND=3&amp;adjacent=true&amp;locale=en_EP&amp;FT=D&amp;date=20170315&amp;CC=CN&amp;NR=106494584A&amp;KC=A")</f>
        <v>https://worldwide.espacenet.com/publicationDetails/biblio?II=93&amp;ND=3&amp;adjacent=true&amp;locale=en_EP&amp;FT=D&amp;date=20170315&amp;CC=CN&amp;NR=106494584A&amp;KC=A</v>
      </c>
    </row>
    <row r="741" spans="3:5" x14ac:dyDescent="0.25">
      <c r="C741" t="s">
        <v>1205</v>
      </c>
      <c r="D741" t="s">
        <v>1206</v>
      </c>
      <c r="E741" t="str">
        <f>HYPERLINK("https://worldwide.espacenet.com/publicationDetails/biblio?II=94&amp;ND=3&amp;adjacent=true&amp;locale=en_EP&amp;FT=D&amp;date=20180627&amp;CC=GB&amp;NR=2557589A&amp;KC=A")</f>
        <v>https://worldwide.espacenet.com/publicationDetails/biblio?II=94&amp;ND=3&amp;adjacent=true&amp;locale=en_EP&amp;FT=D&amp;date=20180627&amp;CC=GB&amp;NR=2557589A&amp;KC=A</v>
      </c>
    </row>
    <row r="742" spans="3:5" x14ac:dyDescent="0.25">
      <c r="C742" t="s">
        <v>1207</v>
      </c>
      <c r="D742" t="s">
        <v>1208</v>
      </c>
      <c r="E742" t="str">
        <f>HYPERLINK("https://worldwide.espacenet.com/publicationDetails/biblio?II=95&amp;ND=3&amp;adjacent=true&amp;locale=en_EP&amp;FT=D&amp;date=20170222&amp;CC=CN&amp;NR=205987061U&amp;KC=U")</f>
        <v>https://worldwide.espacenet.com/publicationDetails/biblio?II=95&amp;ND=3&amp;adjacent=true&amp;locale=en_EP&amp;FT=D&amp;date=20170222&amp;CC=CN&amp;NR=205987061U&amp;KC=U</v>
      </c>
    </row>
    <row r="743" spans="3:5" x14ac:dyDescent="0.25">
      <c r="C743" t="s">
        <v>1209</v>
      </c>
      <c r="D743" t="s">
        <v>1210</v>
      </c>
      <c r="E743" t="str">
        <f>HYPERLINK("https://worldwide.espacenet.com/publicationDetails/biblio?II=96&amp;ND=3&amp;adjacent=true&amp;locale=en_EP&amp;FT=D&amp;date=20170222&amp;CC=CN&amp;NR=205987062U&amp;KC=U")</f>
        <v>https://worldwide.espacenet.com/publicationDetails/biblio?II=96&amp;ND=3&amp;adjacent=true&amp;locale=en_EP&amp;FT=D&amp;date=20170222&amp;CC=CN&amp;NR=205987062U&amp;KC=U</v>
      </c>
    </row>
    <row r="744" spans="3:5" x14ac:dyDescent="0.25">
      <c r="C744" t="s">
        <v>1211</v>
      </c>
      <c r="D744" t="s">
        <v>1212</v>
      </c>
      <c r="E744" t="str">
        <f>HYPERLINK("https://worldwide.espacenet.com/publicationDetails/biblio?II=97&amp;ND=3&amp;adjacent=true&amp;locale=en_EP&amp;FT=D&amp;date=20170215&amp;CC=CN&amp;NR=106400730A&amp;KC=A")</f>
        <v>https://worldwide.espacenet.com/publicationDetails/biblio?II=97&amp;ND=3&amp;adjacent=true&amp;locale=en_EP&amp;FT=D&amp;date=20170215&amp;CC=CN&amp;NR=106400730A&amp;KC=A</v>
      </c>
    </row>
    <row r="745" spans="3:5" x14ac:dyDescent="0.25">
      <c r="C745" t="s">
        <v>1213</v>
      </c>
      <c r="D745" t="s">
        <v>1214</v>
      </c>
      <c r="E745" t="str">
        <f>HYPERLINK("https://worldwide.espacenet.com/publicationDetails/biblio?II=98&amp;ND=3&amp;adjacent=true&amp;locale=en_EP&amp;FT=D&amp;date=20170215&amp;CC=CN&amp;NR=106402541A&amp;KC=A")</f>
        <v>https://worldwide.espacenet.com/publicationDetails/biblio?II=98&amp;ND=3&amp;adjacent=true&amp;locale=en_EP&amp;FT=D&amp;date=20170215&amp;CC=CN&amp;NR=106402541A&amp;KC=A</v>
      </c>
    </row>
    <row r="746" spans="3:5" x14ac:dyDescent="0.25">
      <c r="C746" t="s">
        <v>1215</v>
      </c>
      <c r="D746" t="s">
        <v>1216</v>
      </c>
      <c r="E746" t="str">
        <f>HYPERLINK("https://worldwide.espacenet.com/publicationDetails/biblio?II=99&amp;ND=3&amp;adjacent=true&amp;locale=en_EP&amp;FT=D&amp;date=20170208&amp;CC=CN&amp;NR=205924782U&amp;KC=U")</f>
        <v>https://worldwide.espacenet.com/publicationDetails/biblio?II=99&amp;ND=3&amp;adjacent=true&amp;locale=en_EP&amp;FT=D&amp;date=20170208&amp;CC=CN&amp;NR=205924782U&amp;KC=U</v>
      </c>
    </row>
    <row r="747" spans="3:5" x14ac:dyDescent="0.25">
      <c r="C747" t="s">
        <v>1217</v>
      </c>
      <c r="D747" t="s">
        <v>1218</v>
      </c>
      <c r="E747" t="str">
        <f>HYPERLINK("https://worldwide.espacenet.com/publicationDetails/biblio?II=100&amp;ND=3&amp;adjacent=true&amp;locale=en_EP&amp;FT=D&amp;date=20170201&amp;CC=CN&amp;NR=205915333U&amp;KC=U")</f>
        <v>https://worldwide.espacenet.com/publicationDetails/biblio?II=100&amp;ND=3&amp;adjacent=true&amp;locale=en_EP&amp;FT=D&amp;date=20170201&amp;CC=CN&amp;NR=205915333U&amp;KC=U</v>
      </c>
    </row>
    <row r="748" spans="3:5" x14ac:dyDescent="0.25">
      <c r="C748" t="s">
        <v>1219</v>
      </c>
      <c r="D748" t="s">
        <v>1220</v>
      </c>
      <c r="E748" t="str">
        <f>HYPERLINK("https://worldwide.espacenet.com/publicationDetails/biblio?II=101&amp;ND=3&amp;adjacent=true&amp;locale=en_EP&amp;FT=D&amp;date=20170125&amp;CC=CN&amp;NR=205908977U&amp;KC=U")</f>
        <v>https://worldwide.espacenet.com/publicationDetails/biblio?II=101&amp;ND=3&amp;adjacent=true&amp;locale=en_EP&amp;FT=D&amp;date=20170125&amp;CC=CN&amp;NR=205908977U&amp;KC=U</v>
      </c>
    </row>
    <row r="749" spans="3:5" x14ac:dyDescent="0.25">
      <c r="C749" t="s">
        <v>1221</v>
      </c>
      <c r="D749" t="s">
        <v>1222</v>
      </c>
      <c r="E749" t="str">
        <f>HYPERLINK("https://worldwide.espacenet.com/publicationDetails/biblio?II=102&amp;ND=3&amp;adjacent=true&amp;locale=en_EP&amp;FT=D&amp;date=20170125&amp;CC=CN&amp;NR=205904863U&amp;KC=U")</f>
        <v>https://worldwide.espacenet.com/publicationDetails/biblio?II=102&amp;ND=3&amp;adjacent=true&amp;locale=en_EP&amp;FT=D&amp;date=20170125&amp;CC=CN&amp;NR=205904863U&amp;KC=U</v>
      </c>
    </row>
    <row r="750" spans="3:5" x14ac:dyDescent="0.25">
      <c r="C750" t="s">
        <v>1223</v>
      </c>
      <c r="D750" t="s">
        <v>1224</v>
      </c>
      <c r="E750" t="str">
        <f>HYPERLINK("https://worldwide.espacenet.com/publicationDetails/biblio?II=103&amp;ND=3&amp;adjacent=true&amp;locale=en_EP&amp;FT=D&amp;date=20170112&amp;CC=US&amp;NR=2017008590A1&amp;KC=A1")</f>
        <v>https://worldwide.espacenet.com/publicationDetails/biblio?II=103&amp;ND=3&amp;adjacent=true&amp;locale=en_EP&amp;FT=D&amp;date=20170112&amp;CC=US&amp;NR=2017008590A1&amp;KC=A1</v>
      </c>
    </row>
    <row r="751" spans="3:5" x14ac:dyDescent="0.25">
      <c r="C751" t="s">
        <v>1225</v>
      </c>
      <c r="D751" t="s">
        <v>1226</v>
      </c>
      <c r="E751" t="str">
        <f>HYPERLINK("https://worldwide.espacenet.com/publicationDetails/biblio?II=104&amp;ND=3&amp;adjacent=true&amp;locale=en_EP&amp;FT=D&amp;date=20170104&amp;CC=CN&amp;NR=205854379U&amp;KC=U")</f>
        <v>https://worldwide.espacenet.com/publicationDetails/biblio?II=104&amp;ND=3&amp;adjacent=true&amp;locale=en_EP&amp;FT=D&amp;date=20170104&amp;CC=CN&amp;NR=205854379U&amp;KC=U</v>
      </c>
    </row>
    <row r="752" spans="3:5" x14ac:dyDescent="0.25">
      <c r="C752" t="s">
        <v>1195</v>
      </c>
      <c r="D752" t="s">
        <v>1227</v>
      </c>
      <c r="E752" t="str">
        <f>HYPERLINK("https://worldwide.espacenet.com/publicationDetails/biblio?II=105&amp;ND=3&amp;adjacent=true&amp;locale=en_EP&amp;FT=D&amp;date=20170629&amp;CC=WO&amp;NR=2017108481A1&amp;KC=A1")</f>
        <v>https://worldwide.espacenet.com/publicationDetails/biblio?II=105&amp;ND=3&amp;adjacent=true&amp;locale=en_EP&amp;FT=D&amp;date=20170629&amp;CC=WO&amp;NR=2017108481A1&amp;KC=A1</v>
      </c>
    </row>
    <row r="753" spans="3:5" x14ac:dyDescent="0.25">
      <c r="C753" t="s">
        <v>1228</v>
      </c>
      <c r="D753" t="s">
        <v>1229</v>
      </c>
      <c r="E753" t="str">
        <f>HYPERLINK("https://worldwide.espacenet.com/publicationDetails/biblio?II=106&amp;ND=3&amp;adjacent=true&amp;locale=en_EP&amp;FT=D&amp;date=20161130&amp;CC=CN&amp;NR=205737859U&amp;KC=U")</f>
        <v>https://worldwide.espacenet.com/publicationDetails/biblio?II=106&amp;ND=3&amp;adjacent=true&amp;locale=en_EP&amp;FT=D&amp;date=20161130&amp;CC=CN&amp;NR=205737859U&amp;KC=U</v>
      </c>
    </row>
    <row r="754" spans="3:5" x14ac:dyDescent="0.25">
      <c r="C754" t="s">
        <v>1230</v>
      </c>
      <c r="D754" t="s">
        <v>1231</v>
      </c>
      <c r="E754" t="str">
        <f>HYPERLINK("https://worldwide.espacenet.com/publicationDetails/biblio?II=107&amp;ND=3&amp;adjacent=true&amp;locale=en_EP&amp;FT=D&amp;date=20161124&amp;CC=US&amp;NR=2016341439A1&amp;KC=A1")</f>
        <v>https://worldwide.espacenet.com/publicationDetails/biblio?II=107&amp;ND=3&amp;adjacent=true&amp;locale=en_EP&amp;FT=D&amp;date=20161124&amp;CC=US&amp;NR=2016341439A1&amp;KC=A1</v>
      </c>
    </row>
    <row r="755" spans="3:5" x14ac:dyDescent="0.25">
      <c r="C755" t="s">
        <v>1038</v>
      </c>
      <c r="D755" t="s">
        <v>1039</v>
      </c>
      <c r="E755" t="str">
        <f>HYPERLINK("https://worldwide.espacenet.com/publicationDetails/biblio?II=108&amp;ND=3&amp;adjacent=true&amp;locale=en_EP&amp;FT=D&amp;date=20161116&amp;CC=CN&amp;NR=205692040U&amp;KC=U")</f>
        <v>https://worldwide.espacenet.com/publicationDetails/biblio?II=108&amp;ND=3&amp;adjacent=true&amp;locale=en_EP&amp;FT=D&amp;date=20161116&amp;CC=CN&amp;NR=205692040U&amp;KC=U</v>
      </c>
    </row>
    <row r="756" spans="3:5" x14ac:dyDescent="0.25">
      <c r="C756" t="s">
        <v>1232</v>
      </c>
      <c r="D756" t="s">
        <v>1233</v>
      </c>
      <c r="E756" t="str">
        <f>HYPERLINK("https://worldwide.espacenet.com/publicationDetails/biblio?II=109&amp;ND=3&amp;adjacent=true&amp;locale=en_EP&amp;FT=D&amp;date=20161116&amp;CC=CN&amp;NR=205690018U&amp;KC=U")</f>
        <v>https://worldwide.espacenet.com/publicationDetails/biblio?II=109&amp;ND=3&amp;adjacent=true&amp;locale=en_EP&amp;FT=D&amp;date=20161116&amp;CC=CN&amp;NR=205690018U&amp;KC=U</v>
      </c>
    </row>
    <row r="757" spans="3:5" x14ac:dyDescent="0.25">
      <c r="C757" t="s">
        <v>1234</v>
      </c>
      <c r="D757" t="s">
        <v>1235</v>
      </c>
      <c r="E757" t="str">
        <f>HYPERLINK("https://worldwide.espacenet.com/publicationDetails/biblio?II=110&amp;ND=3&amp;adjacent=true&amp;locale=en_EP&amp;FT=D&amp;date=20161110&amp;CC=US&amp;NR=2016325801A1&amp;KC=A1")</f>
        <v>https://worldwide.espacenet.com/publicationDetails/biblio?II=110&amp;ND=3&amp;adjacent=true&amp;locale=en_EP&amp;FT=D&amp;date=20161110&amp;CC=US&amp;NR=2016325801A1&amp;KC=A1</v>
      </c>
    </row>
    <row r="758" spans="3:5" x14ac:dyDescent="0.25">
      <c r="C758" t="s">
        <v>1236</v>
      </c>
      <c r="D758" t="s">
        <v>1237</v>
      </c>
      <c r="E758" t="str">
        <f>HYPERLINK("https://worldwide.espacenet.com/publicationDetails/biblio?II=111&amp;ND=3&amp;adjacent=true&amp;locale=en_EP&amp;FT=D&amp;date=20161109&amp;CC=CN&amp;NR=106078688A&amp;KC=A")</f>
        <v>https://worldwide.espacenet.com/publicationDetails/biblio?II=111&amp;ND=3&amp;adjacent=true&amp;locale=en_EP&amp;FT=D&amp;date=20161109&amp;CC=CN&amp;NR=106078688A&amp;KC=A</v>
      </c>
    </row>
    <row r="759" spans="3:5" x14ac:dyDescent="0.25">
      <c r="C759" t="s">
        <v>1238</v>
      </c>
      <c r="D759" t="s">
        <v>1239</v>
      </c>
      <c r="E759" t="str">
        <f>HYPERLINK("https://worldwide.espacenet.com/publicationDetails/biblio?II=112&amp;ND=3&amp;adjacent=true&amp;locale=en_EP&amp;FT=D&amp;date=20161012&amp;CC=CN&amp;NR=106002956A&amp;KC=A")</f>
        <v>https://worldwide.espacenet.com/publicationDetails/biblio?II=112&amp;ND=3&amp;adjacent=true&amp;locale=en_EP&amp;FT=D&amp;date=20161012&amp;CC=CN&amp;NR=106002956A&amp;KC=A</v>
      </c>
    </row>
    <row r="760" spans="3:5" x14ac:dyDescent="0.25">
      <c r="C760" t="s">
        <v>1240</v>
      </c>
      <c r="D760" t="s">
        <v>1241</v>
      </c>
      <c r="E760" t="str">
        <f>HYPERLINK("https://worldwide.espacenet.com/publicationDetails/biblio?II=113&amp;ND=3&amp;adjacent=true&amp;locale=en_EP&amp;FT=D&amp;date=20161005&amp;CC=CN&amp;NR=205621048U&amp;KC=U")</f>
        <v>https://worldwide.espacenet.com/publicationDetails/biblio?II=113&amp;ND=3&amp;adjacent=true&amp;locale=en_EP&amp;FT=D&amp;date=20161005&amp;CC=CN&amp;NR=205621048U&amp;KC=U</v>
      </c>
    </row>
    <row r="761" spans="3:5" x14ac:dyDescent="0.25">
      <c r="C761" t="s">
        <v>1242</v>
      </c>
      <c r="D761" t="s">
        <v>1243</v>
      </c>
      <c r="E761" t="str">
        <f>HYPERLINK("https://worldwide.espacenet.com/publicationDetails/biblio?II=114&amp;ND=3&amp;adjacent=true&amp;locale=en_EP&amp;FT=D&amp;date=20160831&amp;CC=CN&amp;NR=205529935U&amp;KC=U")</f>
        <v>https://worldwide.espacenet.com/publicationDetails/biblio?II=114&amp;ND=3&amp;adjacent=true&amp;locale=en_EP&amp;FT=D&amp;date=20160831&amp;CC=CN&amp;NR=205529935U&amp;KC=U</v>
      </c>
    </row>
    <row r="762" spans="3:5" x14ac:dyDescent="0.25">
      <c r="C762" t="s">
        <v>1244</v>
      </c>
      <c r="D762" t="s">
        <v>1245</v>
      </c>
      <c r="E762" t="str">
        <f>HYPERLINK("https://worldwide.espacenet.com/publicationDetails/biblio?II=115&amp;ND=3&amp;adjacent=true&amp;locale=en_EP&amp;FT=D&amp;date=20160824&amp;CC=CN&amp;NR=205499187U&amp;KC=U")</f>
        <v>https://worldwide.espacenet.com/publicationDetails/biblio?II=115&amp;ND=3&amp;adjacent=true&amp;locale=en_EP&amp;FT=D&amp;date=20160824&amp;CC=CN&amp;NR=205499187U&amp;KC=U</v>
      </c>
    </row>
    <row r="763" spans="3:5" x14ac:dyDescent="0.25">
      <c r="C763" t="s">
        <v>1044</v>
      </c>
      <c r="D763" t="s">
        <v>1045</v>
      </c>
      <c r="E763" t="str">
        <f>HYPERLINK("https://worldwide.espacenet.com/publicationDetails/biblio?II=116&amp;ND=3&amp;adjacent=true&amp;locale=en_EP&amp;FT=D&amp;date=20160817&amp;CC=CN&amp;NR=205468385U&amp;KC=U")</f>
        <v>https://worldwide.espacenet.com/publicationDetails/biblio?II=116&amp;ND=3&amp;adjacent=true&amp;locale=en_EP&amp;FT=D&amp;date=20160817&amp;CC=CN&amp;NR=205468385U&amp;KC=U</v>
      </c>
    </row>
    <row r="764" spans="3:5" x14ac:dyDescent="0.25">
      <c r="C764" t="s">
        <v>1246</v>
      </c>
      <c r="D764" t="s">
        <v>1247</v>
      </c>
      <c r="E764" t="str">
        <f>HYPERLINK("https://worldwide.espacenet.com/publicationDetails/biblio?II=117&amp;ND=3&amp;adjacent=true&amp;locale=en_EP&amp;FT=D&amp;date=20160817&amp;CC=CN&amp;NR=205490832U&amp;KC=U")</f>
        <v>https://worldwide.espacenet.com/publicationDetails/biblio?II=117&amp;ND=3&amp;adjacent=true&amp;locale=en_EP&amp;FT=D&amp;date=20160817&amp;CC=CN&amp;NR=205490832U&amp;KC=U</v>
      </c>
    </row>
    <row r="765" spans="3:5" x14ac:dyDescent="0.25">
      <c r="C765" t="s">
        <v>1248</v>
      </c>
      <c r="D765" t="s">
        <v>1249</v>
      </c>
      <c r="E765" t="str">
        <f>HYPERLINK("https://worldwide.espacenet.com/publicationDetails/biblio?II=118&amp;ND=3&amp;adjacent=true&amp;locale=en_EP&amp;FT=D&amp;date=20160810&amp;CC=CN&amp;NR=205440451U&amp;KC=U")</f>
        <v>https://worldwide.espacenet.com/publicationDetails/biblio?II=118&amp;ND=3&amp;adjacent=true&amp;locale=en_EP&amp;FT=D&amp;date=20160810&amp;CC=CN&amp;NR=205440451U&amp;KC=U</v>
      </c>
    </row>
    <row r="766" spans="3:5" x14ac:dyDescent="0.25">
      <c r="C766" t="s">
        <v>1250</v>
      </c>
      <c r="D766" t="s">
        <v>1251</v>
      </c>
      <c r="E766" t="str">
        <f>HYPERLINK("https://worldwide.espacenet.com/publicationDetails/biblio?II=119&amp;ND=3&amp;adjacent=true&amp;locale=en_EP&amp;FT=D&amp;date=20170119&amp;CC=WO&amp;NR=2017009612A1&amp;KC=A1")</f>
        <v>https://worldwide.espacenet.com/publicationDetails/biblio?II=119&amp;ND=3&amp;adjacent=true&amp;locale=en_EP&amp;FT=D&amp;date=20170119&amp;CC=WO&amp;NR=2017009612A1&amp;KC=A1</v>
      </c>
    </row>
    <row r="767" spans="3:5" x14ac:dyDescent="0.25">
      <c r="C767" t="s">
        <v>1252</v>
      </c>
      <c r="D767" t="s">
        <v>1253</v>
      </c>
      <c r="E767" t="str">
        <f>HYPERLINK("https://worldwide.espacenet.com/publicationDetails/biblio?II=120&amp;ND=3&amp;adjacent=true&amp;locale=en_EP&amp;FT=D&amp;date=20160720&amp;CC=CN&amp;NR=105780786A&amp;KC=A")</f>
        <v>https://worldwide.espacenet.com/publicationDetails/biblio?II=120&amp;ND=3&amp;adjacent=true&amp;locale=en_EP&amp;FT=D&amp;date=20160720&amp;CC=CN&amp;NR=105780786A&amp;KC=A</v>
      </c>
    </row>
    <row r="768" spans="3:5" x14ac:dyDescent="0.25">
      <c r="C768" t="s">
        <v>1254</v>
      </c>
      <c r="D768" t="s">
        <v>1255</v>
      </c>
      <c r="E768" t="str">
        <f>HYPERLINK("https://worldwide.espacenet.com/publicationDetails/biblio?II=121&amp;ND=3&amp;adjacent=true&amp;locale=en_EP&amp;FT=D&amp;date=20160720&amp;CC=CN&amp;NR=205387664U&amp;KC=U")</f>
        <v>https://worldwide.espacenet.com/publicationDetails/biblio?II=121&amp;ND=3&amp;adjacent=true&amp;locale=en_EP&amp;FT=D&amp;date=20160720&amp;CC=CN&amp;NR=205387664U&amp;KC=U</v>
      </c>
    </row>
    <row r="769" spans="3:5" x14ac:dyDescent="0.25">
      <c r="C769" t="s">
        <v>1256</v>
      </c>
      <c r="D769" t="s">
        <v>1257</v>
      </c>
      <c r="E769" t="str">
        <f>HYPERLINK("https://worldwide.espacenet.com/publicationDetails/biblio?II=122&amp;ND=3&amp;adjacent=true&amp;locale=en_EP&amp;FT=D&amp;date=20160622&amp;CC=CN&amp;NR=205328561U&amp;KC=U")</f>
        <v>https://worldwide.espacenet.com/publicationDetails/biblio?II=122&amp;ND=3&amp;adjacent=true&amp;locale=en_EP&amp;FT=D&amp;date=20160622&amp;CC=CN&amp;NR=205328561U&amp;KC=U</v>
      </c>
    </row>
    <row r="770" spans="3:5" x14ac:dyDescent="0.25">
      <c r="C770" t="s">
        <v>1258</v>
      </c>
      <c r="D770" t="s">
        <v>1259</v>
      </c>
      <c r="E770" t="str">
        <f>HYPERLINK("https://worldwide.espacenet.com/publicationDetails/biblio?II=123&amp;ND=3&amp;adjacent=true&amp;locale=en_EP&amp;FT=D&amp;date=20160615&amp;CC=CN&amp;NR=105676858A&amp;KC=A")</f>
        <v>https://worldwide.espacenet.com/publicationDetails/biblio?II=123&amp;ND=3&amp;adjacent=true&amp;locale=en_EP&amp;FT=D&amp;date=20160615&amp;CC=CN&amp;NR=105676858A&amp;KC=A</v>
      </c>
    </row>
    <row r="771" spans="3:5" x14ac:dyDescent="0.25">
      <c r="C771" t="s">
        <v>1260</v>
      </c>
      <c r="D771" t="s">
        <v>1261</v>
      </c>
      <c r="E771" t="str">
        <f>HYPERLINK("https://worldwide.espacenet.com/publicationDetails/biblio?II=124&amp;ND=3&amp;adjacent=true&amp;locale=en_EP&amp;FT=D&amp;date=20160629&amp;CC=CN&amp;NR=105715599A&amp;KC=A")</f>
        <v>https://worldwide.espacenet.com/publicationDetails/biblio?II=124&amp;ND=3&amp;adjacent=true&amp;locale=en_EP&amp;FT=D&amp;date=20160629&amp;CC=CN&amp;NR=105715599A&amp;KC=A</v>
      </c>
    </row>
    <row r="772" spans="3:5" x14ac:dyDescent="0.25">
      <c r="C772" t="s">
        <v>1262</v>
      </c>
      <c r="D772" t="s">
        <v>1263</v>
      </c>
      <c r="E772" t="str">
        <f>HYPERLINK("https://worldwide.espacenet.com/publicationDetails/biblio?II=125&amp;ND=3&amp;adjacent=true&amp;locale=en_EP&amp;FT=D&amp;date=20160601&amp;CC=CN&amp;NR=105618380A&amp;KC=A")</f>
        <v>https://worldwide.espacenet.com/publicationDetails/biblio?II=125&amp;ND=3&amp;adjacent=true&amp;locale=en_EP&amp;FT=D&amp;date=20160601&amp;CC=CN&amp;NR=105618380A&amp;KC=A</v>
      </c>
    </row>
    <row r="773" spans="3:5" x14ac:dyDescent="0.25">
      <c r="C773" t="s">
        <v>1264</v>
      </c>
      <c r="D773" t="s">
        <v>1265</v>
      </c>
      <c r="E773" t="str">
        <f>HYPERLINK("https://worldwide.espacenet.com/publicationDetails/biblio?II=126&amp;ND=3&amp;adjacent=true&amp;locale=en_EP&amp;FT=D&amp;date=20160525&amp;CC=CN&amp;NR=205260463U&amp;KC=U")</f>
        <v>https://worldwide.espacenet.com/publicationDetails/biblio?II=126&amp;ND=3&amp;adjacent=true&amp;locale=en_EP&amp;FT=D&amp;date=20160525&amp;CC=CN&amp;NR=205260463U&amp;KC=U</v>
      </c>
    </row>
    <row r="774" spans="3:5" x14ac:dyDescent="0.25">
      <c r="C774" t="s">
        <v>1266</v>
      </c>
      <c r="D774" t="s">
        <v>1267</v>
      </c>
      <c r="E774" t="str">
        <f>HYPERLINK("https://worldwide.espacenet.com/publicationDetails/biblio?II=127&amp;ND=3&amp;adjacent=true&amp;locale=en_EP&amp;FT=D&amp;date=20160525&amp;CC=CN&amp;NR=205260008U&amp;KC=U")</f>
        <v>https://worldwide.espacenet.com/publicationDetails/biblio?II=127&amp;ND=3&amp;adjacent=true&amp;locale=en_EP&amp;FT=D&amp;date=20160525&amp;CC=CN&amp;NR=205260008U&amp;KC=U</v>
      </c>
    </row>
    <row r="775" spans="3:5" x14ac:dyDescent="0.25">
      <c r="C775" t="s">
        <v>1268</v>
      </c>
      <c r="D775" t="s">
        <v>1269</v>
      </c>
      <c r="E775" t="str">
        <f>HYPERLINK("https://worldwide.espacenet.com/publicationDetails/biblio?II=128&amp;ND=3&amp;adjacent=true&amp;locale=en_EP&amp;FT=D&amp;date=20161117&amp;CC=WO&amp;NR=2016181113A1&amp;KC=A1")</f>
        <v>https://worldwide.espacenet.com/publicationDetails/biblio?II=128&amp;ND=3&amp;adjacent=true&amp;locale=en_EP&amp;FT=D&amp;date=20161117&amp;CC=WO&amp;NR=2016181113A1&amp;KC=A1</v>
      </c>
    </row>
    <row r="776" spans="3:5" x14ac:dyDescent="0.25">
      <c r="C776" t="s">
        <v>1270</v>
      </c>
      <c r="D776" t="s">
        <v>1271</v>
      </c>
      <c r="E776" t="str">
        <f>HYPERLINK("https://worldwide.espacenet.com/publicationDetails/biblio?II=129&amp;ND=3&amp;adjacent=true&amp;locale=en_EP&amp;FT=D&amp;date=20160518&amp;CC=CN&amp;NR=105583157A&amp;KC=A")</f>
        <v>https://worldwide.espacenet.com/publicationDetails/biblio?II=129&amp;ND=3&amp;adjacent=true&amp;locale=en_EP&amp;FT=D&amp;date=20160518&amp;CC=CN&amp;NR=105583157A&amp;KC=A</v>
      </c>
    </row>
    <row r="777" spans="3:5" x14ac:dyDescent="0.25">
      <c r="C777" t="s">
        <v>1272</v>
      </c>
      <c r="D777" t="s">
        <v>1273</v>
      </c>
      <c r="E777" t="str">
        <f>HYPERLINK("https://worldwide.espacenet.com/publicationDetails/biblio?II=130&amp;ND=3&amp;adjacent=true&amp;locale=en_EP&amp;FT=D&amp;date=20160511&amp;CC=CN&amp;NR=105564534A&amp;KC=A")</f>
        <v>https://worldwide.espacenet.com/publicationDetails/biblio?II=130&amp;ND=3&amp;adjacent=true&amp;locale=en_EP&amp;FT=D&amp;date=20160511&amp;CC=CN&amp;NR=105564534A&amp;KC=A</v>
      </c>
    </row>
    <row r="778" spans="3:5" x14ac:dyDescent="0.25">
      <c r="C778" t="s">
        <v>1274</v>
      </c>
      <c r="D778" t="s">
        <v>1275</v>
      </c>
      <c r="E778" t="str">
        <f>HYPERLINK("https://worldwide.espacenet.com/publicationDetails/biblio?II=131&amp;ND=3&amp;adjacent=true&amp;locale=en_EP&amp;FT=D&amp;date=20160504&amp;CC=CN&amp;NR=105544374A&amp;KC=A")</f>
        <v>https://worldwide.espacenet.com/publicationDetails/biblio?II=131&amp;ND=3&amp;adjacent=true&amp;locale=en_EP&amp;FT=D&amp;date=20160504&amp;CC=CN&amp;NR=105544374A&amp;KC=A</v>
      </c>
    </row>
    <row r="779" spans="3:5" x14ac:dyDescent="0.25">
      <c r="C779" t="s">
        <v>1276</v>
      </c>
      <c r="D779" t="s">
        <v>1277</v>
      </c>
      <c r="E779" t="str">
        <f>HYPERLINK("https://worldwide.espacenet.com/publicationDetails/biblio?II=132&amp;ND=3&amp;adjacent=true&amp;locale=en_EP&amp;FT=D&amp;date=20160504&amp;CC=CN&amp;NR=105539673A&amp;KC=A")</f>
        <v>https://worldwide.espacenet.com/publicationDetails/biblio?II=132&amp;ND=3&amp;adjacent=true&amp;locale=en_EP&amp;FT=D&amp;date=20160504&amp;CC=CN&amp;NR=105539673A&amp;KC=A</v>
      </c>
    </row>
    <row r="780" spans="3:5" x14ac:dyDescent="0.25">
      <c r="C780" t="s">
        <v>1050</v>
      </c>
      <c r="D780" t="s">
        <v>1051</v>
      </c>
      <c r="E780" t="str">
        <f>HYPERLINK("https://worldwide.espacenet.com/publicationDetails/biblio?II=133&amp;ND=3&amp;adjacent=true&amp;locale=en_EP&amp;FT=D&amp;date=20160420&amp;CC=CN&amp;NR=205169904U&amp;KC=U")</f>
        <v>https://worldwide.espacenet.com/publicationDetails/biblio?II=133&amp;ND=3&amp;adjacent=true&amp;locale=en_EP&amp;FT=D&amp;date=20160420&amp;CC=CN&amp;NR=205169904U&amp;KC=U</v>
      </c>
    </row>
    <row r="781" spans="3:5" x14ac:dyDescent="0.25">
      <c r="C781" t="s">
        <v>1278</v>
      </c>
      <c r="D781" t="s">
        <v>1279</v>
      </c>
      <c r="E781" t="str">
        <f>HYPERLINK("https://worldwide.espacenet.com/publicationDetails/biblio?II=134&amp;ND=3&amp;adjacent=true&amp;locale=en_EP&amp;FT=D&amp;date=20160413&amp;CC=CN&amp;NR=205150945U&amp;KC=U")</f>
        <v>https://worldwide.espacenet.com/publicationDetails/biblio?II=134&amp;ND=3&amp;adjacent=true&amp;locale=en_EP&amp;FT=D&amp;date=20160413&amp;CC=CN&amp;NR=205150945U&amp;KC=U</v>
      </c>
    </row>
    <row r="782" spans="3:5" x14ac:dyDescent="0.25">
      <c r="C782" t="s">
        <v>1280</v>
      </c>
      <c r="D782" t="s">
        <v>1281</v>
      </c>
      <c r="E782" t="str">
        <f>HYPERLINK("https://worldwide.espacenet.com/publicationDetails/biblio?II=135&amp;ND=3&amp;adjacent=true&amp;locale=en_EP&amp;FT=D&amp;date=20160413&amp;CC=CN&amp;NR=205150173U&amp;KC=U")</f>
        <v>https://worldwide.espacenet.com/publicationDetails/biblio?II=135&amp;ND=3&amp;adjacent=true&amp;locale=en_EP&amp;FT=D&amp;date=20160413&amp;CC=CN&amp;NR=205150173U&amp;KC=U</v>
      </c>
    </row>
    <row r="783" spans="3:5" x14ac:dyDescent="0.25">
      <c r="C783" t="s">
        <v>1282</v>
      </c>
      <c r="D783" t="s">
        <v>1283</v>
      </c>
      <c r="E783" t="str">
        <f>HYPERLINK("https://worldwide.espacenet.com/publicationDetails/biblio?II=136&amp;ND=3&amp;adjacent=true&amp;locale=en_EP&amp;FT=D&amp;date=20160323&amp;CC=CN&amp;NR=105424483A&amp;KC=A")</f>
        <v>https://worldwide.espacenet.com/publicationDetails/biblio?II=136&amp;ND=3&amp;adjacent=true&amp;locale=en_EP&amp;FT=D&amp;date=20160323&amp;CC=CN&amp;NR=105424483A&amp;KC=A</v>
      </c>
    </row>
    <row r="784" spans="3:5" x14ac:dyDescent="0.25">
      <c r="C784" t="s">
        <v>1052</v>
      </c>
      <c r="D784" t="s">
        <v>1053</v>
      </c>
      <c r="E784" t="str">
        <f>HYPERLINK("https://worldwide.espacenet.com/publicationDetails/biblio?II=137&amp;ND=3&amp;adjacent=true&amp;locale=en_EP&amp;FT=D&amp;date=20160316&amp;CC=CN&amp;NR=105404296A&amp;KC=A")</f>
        <v>https://worldwide.espacenet.com/publicationDetails/biblio?II=137&amp;ND=3&amp;adjacent=true&amp;locale=en_EP&amp;FT=D&amp;date=20160316&amp;CC=CN&amp;NR=105404296A&amp;KC=A</v>
      </c>
    </row>
    <row r="785" spans="3:5" x14ac:dyDescent="0.25">
      <c r="C785" t="s">
        <v>1284</v>
      </c>
      <c r="D785" t="s">
        <v>1285</v>
      </c>
      <c r="E785" t="str">
        <f>HYPERLINK("https://worldwide.espacenet.com/publicationDetails/biblio?II=138&amp;ND=3&amp;adjacent=true&amp;locale=en_EP&amp;FT=D&amp;date=20160302&amp;CC=CN&amp;NR=205066710U&amp;KC=U")</f>
        <v>https://worldwide.espacenet.com/publicationDetails/biblio?II=138&amp;ND=3&amp;adjacent=true&amp;locale=en_EP&amp;FT=D&amp;date=20160302&amp;CC=CN&amp;NR=205066710U&amp;KC=U</v>
      </c>
    </row>
    <row r="786" spans="3:5" x14ac:dyDescent="0.25">
      <c r="C786" t="s">
        <v>1286</v>
      </c>
      <c r="D786" t="s">
        <v>1287</v>
      </c>
      <c r="E786" t="str">
        <f>HYPERLINK("https://worldwide.espacenet.com/publicationDetails/biblio?II=139&amp;ND=3&amp;adjacent=true&amp;locale=en_EP&amp;FT=D&amp;date=20160224&amp;CC=CN&amp;NR=205044930U&amp;KC=U")</f>
        <v>https://worldwide.espacenet.com/publicationDetails/biblio?II=139&amp;ND=3&amp;adjacent=true&amp;locale=en_EP&amp;FT=D&amp;date=20160224&amp;CC=CN&amp;NR=205044930U&amp;KC=U</v>
      </c>
    </row>
    <row r="787" spans="3:5" x14ac:dyDescent="0.25">
      <c r="C787" t="s">
        <v>1288</v>
      </c>
      <c r="D787" t="s">
        <v>1289</v>
      </c>
      <c r="E787" t="str">
        <f>HYPERLINK("https://worldwide.espacenet.com/publicationDetails/biblio?II=140&amp;ND=3&amp;adjacent=true&amp;locale=en_EP&amp;FT=D&amp;date=20160224&amp;CC=CN&amp;NR=205042791U&amp;KC=U")</f>
        <v>https://worldwide.espacenet.com/publicationDetails/biblio?II=140&amp;ND=3&amp;adjacent=true&amp;locale=en_EP&amp;FT=D&amp;date=20160224&amp;CC=CN&amp;NR=205042791U&amp;KC=U</v>
      </c>
    </row>
    <row r="788" spans="3:5" x14ac:dyDescent="0.25">
      <c r="C788" t="s">
        <v>1290</v>
      </c>
      <c r="D788" t="s">
        <v>1291</v>
      </c>
      <c r="E788" t="str">
        <f>HYPERLINK("https://worldwide.espacenet.com/publicationDetails/biblio?II=141&amp;ND=3&amp;adjacent=true&amp;locale=en_EP&amp;FT=D&amp;date=20160224&amp;CC=CN&amp;NR=105350945A&amp;KC=A")</f>
        <v>https://worldwide.espacenet.com/publicationDetails/biblio?II=141&amp;ND=3&amp;adjacent=true&amp;locale=en_EP&amp;FT=D&amp;date=20160224&amp;CC=CN&amp;NR=105350945A&amp;KC=A</v>
      </c>
    </row>
    <row r="789" spans="3:5" x14ac:dyDescent="0.25">
      <c r="C789" t="s">
        <v>1292</v>
      </c>
      <c r="D789" t="s">
        <v>1293</v>
      </c>
      <c r="E789" t="str">
        <f>HYPERLINK("https://worldwide.espacenet.com/publicationDetails/biblio?II=142&amp;ND=3&amp;adjacent=true&amp;locale=en_EP&amp;FT=D&amp;date=20160217&amp;CC=CN&amp;NR=205034254U&amp;KC=U")</f>
        <v>https://worldwide.espacenet.com/publicationDetails/biblio?II=142&amp;ND=3&amp;adjacent=true&amp;locale=en_EP&amp;FT=D&amp;date=20160217&amp;CC=CN&amp;NR=205034254U&amp;KC=U</v>
      </c>
    </row>
    <row r="790" spans="3:5" x14ac:dyDescent="0.25">
      <c r="C790" t="s">
        <v>398</v>
      </c>
      <c r="D790" t="s">
        <v>1294</v>
      </c>
      <c r="E790" t="str">
        <f>HYPERLINK("https://worldwide.espacenet.com/publicationDetails/biblio?II=143&amp;ND=3&amp;adjacent=true&amp;locale=en_EP&amp;FT=D&amp;date=20160210&amp;CC=CN&amp;NR=205022781U&amp;KC=U")</f>
        <v>https://worldwide.espacenet.com/publicationDetails/biblio?II=143&amp;ND=3&amp;adjacent=true&amp;locale=en_EP&amp;FT=D&amp;date=20160210&amp;CC=CN&amp;NR=205022781U&amp;KC=U</v>
      </c>
    </row>
    <row r="791" spans="3:5" x14ac:dyDescent="0.25">
      <c r="C791" t="s">
        <v>1068</v>
      </c>
      <c r="D791" t="s">
        <v>1069</v>
      </c>
      <c r="E791" t="str">
        <f>HYPERLINK("https://worldwide.espacenet.com/publicationDetails/biblio?II=144&amp;ND=3&amp;adjacent=true&amp;locale=en_EP&amp;FT=D&amp;date=20160127&amp;CC=CN&amp;NR=105270524A&amp;KC=A")</f>
        <v>https://worldwide.espacenet.com/publicationDetails/biblio?II=144&amp;ND=3&amp;adjacent=true&amp;locale=en_EP&amp;FT=D&amp;date=20160127&amp;CC=CN&amp;NR=105270524A&amp;KC=A</v>
      </c>
    </row>
    <row r="792" spans="3:5" x14ac:dyDescent="0.25">
      <c r="C792" t="s">
        <v>1228</v>
      </c>
      <c r="D792" t="s">
        <v>1295</v>
      </c>
      <c r="E792" t="str">
        <f>HYPERLINK("https://worldwide.espacenet.com/publicationDetails/biblio?II=145&amp;ND=3&amp;adjacent=true&amp;locale=en_EP&amp;FT=D&amp;date=20160120&amp;CC=CN&amp;NR=204979012U&amp;KC=U")</f>
        <v>https://worldwide.espacenet.com/publicationDetails/biblio?II=145&amp;ND=3&amp;adjacent=true&amp;locale=en_EP&amp;FT=D&amp;date=20160120&amp;CC=CN&amp;NR=204979012U&amp;KC=U</v>
      </c>
    </row>
    <row r="793" spans="3:5" x14ac:dyDescent="0.25">
      <c r="C793" t="s">
        <v>1296</v>
      </c>
      <c r="D793" t="s">
        <v>1297</v>
      </c>
      <c r="E793" t="str">
        <f>HYPERLINK("https://worldwide.espacenet.com/publicationDetails/biblio?II=146&amp;ND=3&amp;adjacent=true&amp;locale=en_EP&amp;FT=D&amp;date=20160120&amp;CC=CN&amp;NR=204978382U&amp;KC=U")</f>
        <v>https://worldwide.espacenet.com/publicationDetails/biblio?II=146&amp;ND=3&amp;adjacent=true&amp;locale=en_EP&amp;FT=D&amp;date=20160120&amp;CC=CN&amp;NR=204978382U&amp;KC=U</v>
      </c>
    </row>
    <row r="794" spans="3:5" x14ac:dyDescent="0.25">
      <c r="C794" t="s">
        <v>1298</v>
      </c>
      <c r="D794" t="s">
        <v>1299</v>
      </c>
      <c r="E794" t="str">
        <f>HYPERLINK("https://worldwide.espacenet.com/publicationDetails/biblio?II=147&amp;ND=3&amp;adjacent=true&amp;locale=en_EP&amp;FT=D&amp;date=20151202&amp;CC=CN&amp;NR=105109647A&amp;KC=A")</f>
        <v>https://worldwide.espacenet.com/publicationDetails/biblio?II=147&amp;ND=3&amp;adjacent=true&amp;locale=en_EP&amp;FT=D&amp;date=20151202&amp;CC=CN&amp;NR=105109647A&amp;KC=A</v>
      </c>
    </row>
    <row r="795" spans="3:5" x14ac:dyDescent="0.25">
      <c r="C795" t="s">
        <v>982</v>
      </c>
      <c r="D795" t="s">
        <v>983</v>
      </c>
      <c r="E795" t="str">
        <f>HYPERLINK("https://worldwide.espacenet.com/publicationDetails/biblio?II=148&amp;ND=3&amp;adjacent=true&amp;locale=en_EP&amp;FT=D&amp;date=20151118&amp;CC=CN&amp;NR=204775573U&amp;KC=U")</f>
        <v>https://worldwide.espacenet.com/publicationDetails/biblio?II=148&amp;ND=3&amp;adjacent=true&amp;locale=en_EP&amp;FT=D&amp;date=20151118&amp;CC=CN&amp;NR=204775573U&amp;KC=U</v>
      </c>
    </row>
    <row r="796" spans="3:5" x14ac:dyDescent="0.25">
      <c r="C796" t="s">
        <v>1300</v>
      </c>
      <c r="D796" t="s">
        <v>1301</v>
      </c>
      <c r="E796" t="str">
        <f>HYPERLINK("https://worldwide.espacenet.com/publicationDetails/biblio?II=149&amp;ND=3&amp;adjacent=true&amp;locale=en_EP&amp;FT=D&amp;date=20150930&amp;CC=CN&amp;NR=204673592U&amp;KC=U")</f>
        <v>https://worldwide.espacenet.com/publicationDetails/biblio?II=149&amp;ND=3&amp;adjacent=true&amp;locale=en_EP&amp;FT=D&amp;date=20150930&amp;CC=CN&amp;NR=204673592U&amp;KC=U</v>
      </c>
    </row>
    <row r="797" spans="3:5" x14ac:dyDescent="0.25">
      <c r="C797" t="s">
        <v>1302</v>
      </c>
      <c r="D797" t="s">
        <v>1303</v>
      </c>
      <c r="E797" t="str">
        <f>HYPERLINK("https://worldwide.espacenet.com/publicationDetails/biblio?II=150&amp;ND=3&amp;adjacent=true&amp;locale=en_EP&amp;FT=D&amp;date=20150930&amp;CC=CN&amp;NR=104949888A&amp;KC=A")</f>
        <v>https://worldwide.espacenet.com/publicationDetails/biblio?II=150&amp;ND=3&amp;adjacent=true&amp;locale=en_EP&amp;FT=D&amp;date=20150930&amp;CC=CN&amp;NR=104949888A&amp;KC=A</v>
      </c>
    </row>
    <row r="798" spans="3:5" x14ac:dyDescent="0.25">
      <c r="C798" t="s">
        <v>1304</v>
      </c>
      <c r="D798" t="s">
        <v>1305</v>
      </c>
      <c r="E798" t="str">
        <f>HYPERLINK("https://worldwide.espacenet.com/publicationDetails/biblio?II=151&amp;ND=3&amp;adjacent=true&amp;locale=en_EP&amp;FT=D&amp;date=20150930&amp;CC=CN&amp;NR=104949885A&amp;KC=A")</f>
        <v>https://worldwide.espacenet.com/publicationDetails/biblio?II=151&amp;ND=3&amp;adjacent=true&amp;locale=en_EP&amp;FT=D&amp;date=20150930&amp;CC=CN&amp;NR=104949885A&amp;KC=A</v>
      </c>
    </row>
    <row r="799" spans="3:5" x14ac:dyDescent="0.25">
      <c r="C799" t="s">
        <v>1306</v>
      </c>
      <c r="D799" t="s">
        <v>1307</v>
      </c>
      <c r="E799" t="str">
        <f>HYPERLINK("https://worldwide.espacenet.com/publicationDetails/biblio?II=152&amp;ND=3&amp;adjacent=true&amp;locale=en_EP&amp;FT=D&amp;date=20150909&amp;CC=CN&amp;NR=104897391A&amp;KC=A")</f>
        <v>https://worldwide.espacenet.com/publicationDetails/biblio?II=152&amp;ND=3&amp;adjacent=true&amp;locale=en_EP&amp;FT=D&amp;date=20150909&amp;CC=CN&amp;NR=104897391A&amp;KC=A</v>
      </c>
    </row>
    <row r="800" spans="3:5" x14ac:dyDescent="0.25">
      <c r="C800" t="s">
        <v>1110</v>
      </c>
      <c r="D800" t="s">
        <v>1111</v>
      </c>
      <c r="E800" t="str">
        <f>HYPERLINK("https://worldwide.espacenet.com/publicationDetails/biblio?II=153&amp;ND=3&amp;adjacent=true&amp;locale=en_EP&amp;FT=D&amp;date=20150827&amp;CC=US&amp;NR=2015239499A1&amp;KC=A1")</f>
        <v>https://worldwide.espacenet.com/publicationDetails/biblio?II=153&amp;ND=3&amp;adjacent=true&amp;locale=en_EP&amp;FT=D&amp;date=20150827&amp;CC=US&amp;NR=2015239499A1&amp;KC=A1</v>
      </c>
    </row>
    <row r="801" spans="1:5" x14ac:dyDescent="0.25">
      <c r="C801" t="s">
        <v>1308</v>
      </c>
      <c r="D801" t="s">
        <v>1309</v>
      </c>
      <c r="E801" t="str">
        <f>HYPERLINK("https://worldwide.espacenet.com/publicationDetails/biblio?II=154&amp;ND=3&amp;adjacent=true&amp;locale=en_EP&amp;FT=D&amp;date=20150812&amp;CC=CN&amp;NR=204542386U&amp;KC=U")</f>
        <v>https://worldwide.espacenet.com/publicationDetails/biblio?II=154&amp;ND=3&amp;adjacent=true&amp;locale=en_EP&amp;FT=D&amp;date=20150812&amp;CC=CN&amp;NR=204542386U&amp;KC=U</v>
      </c>
    </row>
    <row r="802" spans="1:5" x14ac:dyDescent="0.25">
      <c r="C802" t="s">
        <v>1310</v>
      </c>
      <c r="D802" t="s">
        <v>1311</v>
      </c>
      <c r="E802" t="str">
        <f>HYPERLINK("https://worldwide.espacenet.com/publicationDetails/biblio?II=155&amp;ND=3&amp;adjacent=true&amp;locale=en_EP&amp;FT=D&amp;date=20150805&amp;CC=CN&amp;NR=204536780U&amp;KC=U")</f>
        <v>https://worldwide.espacenet.com/publicationDetails/biblio?II=155&amp;ND=3&amp;adjacent=true&amp;locale=en_EP&amp;FT=D&amp;date=20150805&amp;CC=CN&amp;NR=204536780U&amp;KC=U</v>
      </c>
    </row>
    <row r="803" spans="1:5" x14ac:dyDescent="0.25">
      <c r="C803" t="s">
        <v>1312</v>
      </c>
      <c r="D803" t="s">
        <v>1313</v>
      </c>
      <c r="E803" t="str">
        <f>HYPERLINK("https://worldwide.espacenet.com/publicationDetails/biblio?II=156&amp;ND=3&amp;adjacent=true&amp;locale=en_EP&amp;FT=D&amp;date=20150805&amp;CC=CN&amp;NR=204534005U&amp;KC=U")</f>
        <v>https://worldwide.espacenet.com/publicationDetails/biblio?II=156&amp;ND=3&amp;adjacent=true&amp;locale=en_EP&amp;FT=D&amp;date=20150805&amp;CC=CN&amp;NR=204534005U&amp;KC=U</v>
      </c>
    </row>
    <row r="804" spans="1:5" x14ac:dyDescent="0.25">
      <c r="C804" t="s">
        <v>1314</v>
      </c>
      <c r="D804" t="s">
        <v>1315</v>
      </c>
      <c r="E804" t="str">
        <f>HYPERLINK("https://worldwide.espacenet.com/publicationDetails/biblio?II=157&amp;ND=3&amp;adjacent=true&amp;locale=en_EP&amp;FT=D&amp;date=20150520&amp;CC=CN&amp;NR=104627335A&amp;KC=A")</f>
        <v>https://worldwide.espacenet.com/publicationDetails/biblio?II=157&amp;ND=3&amp;adjacent=true&amp;locale=en_EP&amp;FT=D&amp;date=20150520&amp;CC=CN&amp;NR=104627335A&amp;KC=A</v>
      </c>
    </row>
    <row r="805" spans="1:5" x14ac:dyDescent="0.25">
      <c r="C805" t="s">
        <v>1316</v>
      </c>
      <c r="D805" t="s">
        <v>1317</v>
      </c>
      <c r="E805" t="str">
        <f>HYPERLINK("https://worldwide.espacenet.com/publicationDetails/biblio?II=158&amp;ND=3&amp;adjacent=true&amp;locale=en_EP&amp;FT=D&amp;date=20150318&amp;CC=CN&amp;NR=104422567A&amp;KC=A")</f>
        <v>https://worldwide.espacenet.com/publicationDetails/biblio?II=158&amp;ND=3&amp;adjacent=true&amp;locale=en_EP&amp;FT=D&amp;date=20150318&amp;CC=CN&amp;NR=104422567A&amp;KC=A</v>
      </c>
    </row>
    <row r="806" spans="1:5" x14ac:dyDescent="0.25">
      <c r="C806" t="s">
        <v>1318</v>
      </c>
      <c r="D806" t="s">
        <v>1319</v>
      </c>
      <c r="E806" t="str">
        <f>HYPERLINK("https://worldwide.espacenet.com/publicationDetails/biblio?II=159&amp;ND=3&amp;adjacent=true&amp;locale=en_EP&amp;FT=D&amp;date=20150408&amp;CC=CN&amp;NR=104499501A&amp;KC=A")</f>
        <v>https://worldwide.espacenet.com/publicationDetails/biblio?II=159&amp;ND=3&amp;adjacent=true&amp;locale=en_EP&amp;FT=D&amp;date=20150408&amp;CC=CN&amp;NR=104499501A&amp;KC=A</v>
      </c>
    </row>
    <row r="807" spans="1:5" x14ac:dyDescent="0.25">
      <c r="A807" t="s">
        <v>1320</v>
      </c>
      <c r="B807">
        <v>55</v>
      </c>
    </row>
    <row r="808" spans="1:5" x14ac:dyDescent="0.25">
      <c r="C808" t="s">
        <v>165</v>
      </c>
      <c r="D808" t="s">
        <v>166</v>
      </c>
      <c r="E808" t="str">
        <f>HYPERLINK("https://worldwide.espacenet.com/publicationDetails/biblio?II=0&amp;ND=3&amp;adjacent=true&amp;locale=en_EP&amp;FT=D&amp;date=20180608&amp;CC=CN&amp;NR=108128187A&amp;KC=A")</f>
        <v>https://worldwide.espacenet.com/publicationDetails/biblio?II=0&amp;ND=3&amp;adjacent=true&amp;locale=en_EP&amp;FT=D&amp;date=20180608&amp;CC=CN&amp;NR=108128187A&amp;KC=A</v>
      </c>
    </row>
    <row r="809" spans="1:5" x14ac:dyDescent="0.25">
      <c r="C809" t="s">
        <v>261</v>
      </c>
      <c r="D809" t="s">
        <v>262</v>
      </c>
      <c r="E809" t="str">
        <f>HYPERLINK("https://worldwide.espacenet.com/publicationDetails/biblio?II=1&amp;ND=3&amp;adjacent=true&amp;locale=en_EP&amp;FT=D&amp;date=20180518&amp;CC=RU&amp;NR=2016145259A&amp;KC=A")</f>
        <v>https://worldwide.espacenet.com/publicationDetails/biblio?II=1&amp;ND=3&amp;adjacent=true&amp;locale=en_EP&amp;FT=D&amp;date=20180518&amp;CC=RU&amp;NR=2016145259A&amp;KC=A</v>
      </c>
    </row>
    <row r="810" spans="1:5" x14ac:dyDescent="0.25">
      <c r="C810" t="s">
        <v>300</v>
      </c>
      <c r="D810" t="s">
        <v>301</v>
      </c>
      <c r="E810" t="str">
        <f>HYPERLINK("https://worldwide.espacenet.com/publicationDetails/biblio?II=2&amp;ND=3&amp;adjacent=true&amp;locale=en_EP&amp;FT=D&amp;date=20180427&amp;CC=CN&amp;NR=207274967U&amp;KC=U")</f>
        <v>https://worldwide.espacenet.com/publicationDetails/biblio?II=2&amp;ND=3&amp;adjacent=true&amp;locale=en_EP&amp;FT=D&amp;date=20180427&amp;CC=CN&amp;NR=207274967U&amp;KC=U</v>
      </c>
    </row>
    <row r="811" spans="1:5" x14ac:dyDescent="0.25">
      <c r="C811" t="s">
        <v>457</v>
      </c>
      <c r="D811" t="s">
        <v>458</v>
      </c>
      <c r="E811" t="str">
        <f>HYPERLINK("https://worldwide.espacenet.com/publicationDetails/biblio?II=3&amp;ND=3&amp;adjacent=true&amp;locale=en_EP&amp;FT=D&amp;date=20180309&amp;CC=CN&amp;NR=107776436A&amp;KC=A")</f>
        <v>https://worldwide.espacenet.com/publicationDetails/biblio?II=3&amp;ND=3&amp;adjacent=true&amp;locale=en_EP&amp;FT=D&amp;date=20180309&amp;CC=CN&amp;NR=107776436A&amp;KC=A</v>
      </c>
    </row>
    <row r="812" spans="1:5" x14ac:dyDescent="0.25">
      <c r="C812" t="s">
        <v>473</v>
      </c>
      <c r="D812" t="s">
        <v>474</v>
      </c>
      <c r="E812" t="str">
        <f>HYPERLINK("https://worldwide.espacenet.com/publicationDetails/biblio?II=4&amp;ND=3&amp;adjacent=true&amp;locale=en_EP&amp;FT=D&amp;date=20180206&amp;CC=CN&amp;NR=206968889U&amp;KC=U")</f>
        <v>https://worldwide.espacenet.com/publicationDetails/biblio?II=4&amp;ND=3&amp;adjacent=true&amp;locale=en_EP&amp;FT=D&amp;date=20180206&amp;CC=CN&amp;NR=206968889U&amp;KC=U</v>
      </c>
    </row>
    <row r="813" spans="1:5" x14ac:dyDescent="0.25">
      <c r="C813" t="s">
        <v>576</v>
      </c>
      <c r="D813" t="s">
        <v>577</v>
      </c>
      <c r="E813" t="str">
        <f>HYPERLINK("https://worldwide.espacenet.com/publicationDetails/biblio?II=5&amp;ND=3&amp;adjacent=true&amp;locale=en_EP&amp;FT=D&amp;date=20180213&amp;CC=CN&amp;NR=107685325A&amp;KC=A")</f>
        <v>https://worldwide.espacenet.com/publicationDetails/biblio?II=5&amp;ND=3&amp;adjacent=true&amp;locale=en_EP&amp;FT=D&amp;date=20180213&amp;CC=CN&amp;NR=107685325A&amp;KC=A</v>
      </c>
    </row>
    <row r="814" spans="1:5" x14ac:dyDescent="0.25">
      <c r="C814" t="s">
        <v>632</v>
      </c>
      <c r="D814" t="s">
        <v>633</v>
      </c>
      <c r="E814" t="str">
        <f>HYPERLINK("https://worldwide.espacenet.com/publicationDetails/biblio?II=6&amp;ND=3&amp;adjacent=true&amp;locale=en_EP&amp;FT=D&amp;date=20180201&amp;CC=US&amp;NR=2018029661A1&amp;KC=A1")</f>
        <v>https://worldwide.espacenet.com/publicationDetails/biblio?II=6&amp;ND=3&amp;adjacent=true&amp;locale=en_EP&amp;FT=D&amp;date=20180201&amp;CC=US&amp;NR=2018029661A1&amp;KC=A1</v>
      </c>
    </row>
    <row r="815" spans="1:5" x14ac:dyDescent="0.25">
      <c r="C815" t="s">
        <v>636</v>
      </c>
      <c r="D815" t="s">
        <v>637</v>
      </c>
      <c r="E815" t="str">
        <f>HYPERLINK("https://worldwide.espacenet.com/publicationDetails/biblio?II=7&amp;ND=3&amp;adjacent=true&amp;locale=en_EP&amp;FT=D&amp;date=20180125&amp;CC=WO&amp;NR=2018014321A1&amp;KC=A1")</f>
        <v>https://worldwide.espacenet.com/publicationDetails/biblio?II=7&amp;ND=3&amp;adjacent=true&amp;locale=en_EP&amp;FT=D&amp;date=20180125&amp;CC=WO&amp;NR=2018014321A1&amp;KC=A1</v>
      </c>
    </row>
    <row r="816" spans="1:5" x14ac:dyDescent="0.25">
      <c r="C816" t="s">
        <v>677</v>
      </c>
      <c r="D816" t="s">
        <v>678</v>
      </c>
      <c r="E816" t="str">
        <f>HYPERLINK("https://worldwide.espacenet.com/publicationDetails/biblio?II=8&amp;ND=3&amp;adjacent=true&amp;locale=en_EP&amp;FT=D&amp;date=20180111&amp;CC=WO&amp;NR=2018006301A1&amp;KC=A1")</f>
        <v>https://worldwide.espacenet.com/publicationDetails/biblio?II=8&amp;ND=3&amp;adjacent=true&amp;locale=en_EP&amp;FT=D&amp;date=20180111&amp;CC=WO&amp;NR=2018006301A1&amp;KC=A1</v>
      </c>
    </row>
    <row r="817" spans="1:5" x14ac:dyDescent="0.25">
      <c r="C817" t="s">
        <v>691</v>
      </c>
      <c r="D817" t="s">
        <v>692</v>
      </c>
      <c r="E817" t="str">
        <f>HYPERLINK("https://worldwide.espacenet.com/publicationDetails/biblio?II=9&amp;ND=3&amp;adjacent=true&amp;locale=en_EP&amp;FT=D&amp;date=20180109&amp;CC=CN&amp;NR=206864148U&amp;KC=U")</f>
        <v>https://worldwide.espacenet.com/publicationDetails/biblio?II=9&amp;ND=3&amp;adjacent=true&amp;locale=en_EP&amp;FT=D&amp;date=20180109&amp;CC=CN&amp;NR=206864148U&amp;KC=U</v>
      </c>
    </row>
    <row r="818" spans="1:5" x14ac:dyDescent="0.25">
      <c r="C818" t="s">
        <v>705</v>
      </c>
      <c r="D818" t="s">
        <v>706</v>
      </c>
      <c r="E818" t="str">
        <f>HYPERLINK("https://worldwide.espacenet.com/publicationDetails/biblio?II=10&amp;ND=3&amp;adjacent=true&amp;locale=en_EP&amp;FT=D&amp;date=20180105&amp;CC=CN&amp;NR=206841563U&amp;KC=U")</f>
        <v>https://worldwide.espacenet.com/publicationDetails/biblio?II=10&amp;ND=3&amp;adjacent=true&amp;locale=en_EP&amp;FT=D&amp;date=20180105&amp;CC=CN&amp;NR=206841563U&amp;KC=U</v>
      </c>
    </row>
    <row r="819" spans="1:5" x14ac:dyDescent="0.25">
      <c r="C819" t="s">
        <v>943</v>
      </c>
      <c r="D819" t="s">
        <v>944</v>
      </c>
      <c r="E819" t="str">
        <f>HYPERLINK("https://worldwide.espacenet.com/publicationDetails/biblio?II=11&amp;ND=3&amp;adjacent=true&amp;locale=en_EP&amp;FT=D&amp;date=20171020&amp;CC=CN&amp;NR=206570757U&amp;KC=U")</f>
        <v>https://worldwide.espacenet.com/publicationDetails/biblio?II=11&amp;ND=3&amp;adjacent=true&amp;locale=en_EP&amp;FT=D&amp;date=20171020&amp;CC=CN&amp;NR=206570757U&amp;KC=U</v>
      </c>
    </row>
    <row r="820" spans="1:5" x14ac:dyDescent="0.25">
      <c r="C820" t="s">
        <v>957</v>
      </c>
      <c r="D820" t="s">
        <v>958</v>
      </c>
      <c r="E820" t="str">
        <f>HYPERLINK("https://worldwide.espacenet.com/publicationDetails/biblio?II=12&amp;ND=3&amp;adjacent=true&amp;locale=en_EP&amp;FT=D&amp;date=20171005&amp;CC=US&amp;NR=2017285650A1&amp;KC=A1")</f>
        <v>https://worldwide.espacenet.com/publicationDetails/biblio?II=12&amp;ND=3&amp;adjacent=true&amp;locale=en_EP&amp;FT=D&amp;date=20171005&amp;CC=US&amp;NR=2017285650A1&amp;KC=A1</v>
      </c>
    </row>
    <row r="821" spans="1:5" x14ac:dyDescent="0.25">
      <c r="C821" t="s">
        <v>961</v>
      </c>
      <c r="D821" t="s">
        <v>962</v>
      </c>
      <c r="E821" t="str">
        <f>HYPERLINK("https://worldwide.espacenet.com/publicationDetails/biblio?II=13&amp;ND=3&amp;adjacent=true&amp;locale=en_EP&amp;FT=D&amp;date=20171005&amp;CC=US&amp;NR=2017282913A1&amp;KC=A1")</f>
        <v>https://worldwide.espacenet.com/publicationDetails/biblio?II=13&amp;ND=3&amp;adjacent=true&amp;locale=en_EP&amp;FT=D&amp;date=20171005&amp;CC=US&amp;NR=2017282913A1&amp;KC=A1</v>
      </c>
    </row>
    <row r="822" spans="1:5" x14ac:dyDescent="0.25">
      <c r="C822" t="s">
        <v>1321</v>
      </c>
      <c r="D822" t="s">
        <v>1322</v>
      </c>
      <c r="E822" t="str">
        <f>HYPERLINK("https://worldwide.espacenet.com/publicationDetails/biblio?II=14&amp;ND=3&amp;adjacent=true&amp;locale=en_EP&amp;FT=D&amp;date=20170804&amp;CC=CN&amp;NR=107008898A&amp;KC=A")</f>
        <v>https://worldwide.espacenet.com/publicationDetails/biblio?II=14&amp;ND=3&amp;adjacent=true&amp;locale=en_EP&amp;FT=D&amp;date=20170804&amp;CC=CN&amp;NR=107008898A&amp;KC=A</v>
      </c>
    </row>
    <row r="823" spans="1:5" x14ac:dyDescent="0.25">
      <c r="C823" t="s">
        <v>974</v>
      </c>
      <c r="D823" t="s">
        <v>975</v>
      </c>
      <c r="E823" t="str">
        <f>HYPERLINK("https://worldwide.espacenet.com/publicationDetails/biblio?II=15&amp;ND=3&amp;adjacent=true&amp;locale=en_EP&amp;FT=D&amp;date=20170613&amp;CC=CN&amp;NR=106826753A&amp;KC=A")</f>
        <v>https://worldwide.espacenet.com/publicationDetails/biblio?II=15&amp;ND=3&amp;adjacent=true&amp;locale=en_EP&amp;FT=D&amp;date=20170613&amp;CC=CN&amp;NR=106826753A&amp;KC=A</v>
      </c>
    </row>
    <row r="824" spans="1:5" x14ac:dyDescent="0.25">
      <c r="C824" t="s">
        <v>1323</v>
      </c>
      <c r="D824" t="s">
        <v>1324</v>
      </c>
      <c r="E824" t="str">
        <f>HYPERLINK("https://worldwide.espacenet.com/publicationDetails/biblio?II=16&amp;ND=3&amp;adjacent=true&amp;locale=en_EP&amp;FT=D&amp;date=20170620&amp;CC=CN&amp;NR=206269393U&amp;KC=U")</f>
        <v>https://worldwide.espacenet.com/publicationDetails/biblio?II=16&amp;ND=3&amp;adjacent=true&amp;locale=en_EP&amp;FT=D&amp;date=20170620&amp;CC=CN&amp;NR=206269393U&amp;KC=U</v>
      </c>
    </row>
    <row r="825" spans="1:5" x14ac:dyDescent="0.25">
      <c r="C825" t="s">
        <v>1325</v>
      </c>
      <c r="D825" t="s">
        <v>1326</v>
      </c>
      <c r="E825" t="str">
        <f>HYPERLINK("https://worldwide.espacenet.com/publicationDetails/biblio?II=17&amp;ND=3&amp;adjacent=true&amp;locale=en_EP&amp;FT=D&amp;date=20170620&amp;CC=CN&amp;NR=206269394U&amp;KC=U")</f>
        <v>https://worldwide.espacenet.com/publicationDetails/biblio?II=17&amp;ND=3&amp;adjacent=true&amp;locale=en_EP&amp;FT=D&amp;date=20170620&amp;CC=CN&amp;NR=206269394U&amp;KC=U</v>
      </c>
    </row>
    <row r="826" spans="1:5" x14ac:dyDescent="0.25">
      <c r="C826" t="s">
        <v>976</v>
      </c>
      <c r="D826" t="s">
        <v>977</v>
      </c>
      <c r="E826" t="str">
        <f>HYPERLINK("https://worldwide.espacenet.com/publicationDetails/biblio?II=18&amp;ND=3&amp;adjacent=true&amp;locale=en_EP&amp;FT=D&amp;date=20170510&amp;CC=CN&amp;NR=106627824A&amp;KC=A")</f>
        <v>https://worldwide.espacenet.com/publicationDetails/biblio?II=18&amp;ND=3&amp;adjacent=true&amp;locale=en_EP&amp;FT=D&amp;date=20170510&amp;CC=CN&amp;NR=106627824A&amp;KC=A</v>
      </c>
    </row>
    <row r="827" spans="1:5" x14ac:dyDescent="0.25">
      <c r="C827" t="s">
        <v>1327</v>
      </c>
      <c r="D827" t="s">
        <v>1328</v>
      </c>
      <c r="E827" t="str">
        <f>HYPERLINK("https://worldwide.espacenet.com/publicationDetails/biblio?II=19&amp;ND=3&amp;adjacent=true&amp;locale=en_EP&amp;FT=D&amp;date=20170510&amp;CC=CN&amp;NR=206162197U&amp;KC=U")</f>
        <v>https://worldwide.espacenet.com/publicationDetails/biblio?II=19&amp;ND=3&amp;adjacent=true&amp;locale=en_EP&amp;FT=D&amp;date=20170510&amp;CC=CN&amp;NR=206162197U&amp;KC=U</v>
      </c>
    </row>
    <row r="828" spans="1:5" x14ac:dyDescent="0.25">
      <c r="C828" t="s">
        <v>1329</v>
      </c>
      <c r="D828" t="s">
        <v>1330</v>
      </c>
      <c r="E828" t="str">
        <f>HYPERLINK("https://worldwide.espacenet.com/publicationDetails/biblio?II=20&amp;ND=3&amp;adjacent=true&amp;locale=en_EP&amp;FT=D&amp;date=20161221&amp;CC=CN&amp;NR=106240705A&amp;KC=A")</f>
        <v>https://worldwide.espacenet.com/publicationDetails/biblio?II=20&amp;ND=3&amp;adjacent=true&amp;locale=en_EP&amp;FT=D&amp;date=20161221&amp;CC=CN&amp;NR=106240705A&amp;KC=A</v>
      </c>
    </row>
    <row r="829" spans="1:5" x14ac:dyDescent="0.25">
      <c r="C829" t="s">
        <v>1331</v>
      </c>
      <c r="D829" t="s">
        <v>1332</v>
      </c>
      <c r="E829" t="str">
        <f>HYPERLINK("https://worldwide.espacenet.com/publicationDetails/biblio?II=21&amp;ND=3&amp;adjacent=true&amp;locale=en_EP&amp;FT=D&amp;date=20161207&amp;CC=CN&amp;NR=106184519A&amp;KC=A")</f>
        <v>https://worldwide.espacenet.com/publicationDetails/biblio?II=21&amp;ND=3&amp;adjacent=true&amp;locale=en_EP&amp;FT=D&amp;date=20161207&amp;CC=CN&amp;NR=106184519A&amp;KC=A</v>
      </c>
    </row>
    <row r="830" spans="1:5" x14ac:dyDescent="0.25">
      <c r="C830" t="s">
        <v>1333</v>
      </c>
      <c r="D830" t="s">
        <v>1334</v>
      </c>
      <c r="E830" t="str">
        <f>HYPERLINK("https://worldwide.espacenet.com/publicationDetails/biblio?II=22&amp;ND=3&amp;adjacent=true&amp;locale=en_EP&amp;FT=D&amp;date=20161109&amp;CC=CN&amp;NR=106092112A&amp;KC=A")</f>
        <v>https://worldwide.espacenet.com/publicationDetails/biblio?II=22&amp;ND=3&amp;adjacent=true&amp;locale=en_EP&amp;FT=D&amp;date=20161109&amp;CC=CN&amp;NR=106092112A&amp;KC=A</v>
      </c>
    </row>
    <row r="831" spans="1:5" x14ac:dyDescent="0.25">
      <c r="A831" t="s">
        <v>1335</v>
      </c>
      <c r="B831">
        <v>11</v>
      </c>
    </row>
    <row r="832" spans="1:5" x14ac:dyDescent="0.25">
      <c r="A832" t="s">
        <v>1336</v>
      </c>
      <c r="B832">
        <v>0</v>
      </c>
    </row>
    <row r="833" spans="1:5" x14ac:dyDescent="0.25">
      <c r="A833" t="s">
        <v>1337</v>
      </c>
      <c r="B833">
        <v>0</v>
      </c>
    </row>
    <row r="834" spans="1:5" x14ac:dyDescent="0.25">
      <c r="A834" t="s">
        <v>1338</v>
      </c>
      <c r="B834">
        <v>1</v>
      </c>
    </row>
    <row r="835" spans="1:5" x14ac:dyDescent="0.25">
      <c r="A835" t="s">
        <v>1339</v>
      </c>
      <c r="B835">
        <v>1</v>
      </c>
    </row>
    <row r="836" spans="1:5" x14ac:dyDescent="0.25">
      <c r="A836" t="s">
        <v>1340</v>
      </c>
      <c r="B836">
        <v>0</v>
      </c>
    </row>
    <row r="837" spans="1:5" x14ac:dyDescent="0.25">
      <c r="A837" t="s">
        <v>1341</v>
      </c>
      <c r="B837">
        <v>0</v>
      </c>
    </row>
    <row r="838" spans="1:5" x14ac:dyDescent="0.25">
      <c r="A838" t="s">
        <v>1342</v>
      </c>
      <c r="B838">
        <v>0</v>
      </c>
    </row>
    <row r="839" spans="1:5" x14ac:dyDescent="0.25">
      <c r="A839" t="s">
        <v>1343</v>
      </c>
      <c r="B839">
        <v>12</v>
      </c>
    </row>
    <row r="840" spans="1:5" x14ac:dyDescent="0.25">
      <c r="C840" t="s">
        <v>1344</v>
      </c>
      <c r="D840" t="s">
        <v>1345</v>
      </c>
      <c r="E840" t="str">
        <f>HYPERLINK("https://worldwide.espacenet.com/publicationDetails/biblio?II=0&amp;ND=3&amp;adjacent=true&amp;locale=en_EP&amp;FT=D&amp;date=20180622&amp;CC=CN&amp;NR=207522607U&amp;KC=U")</f>
        <v>https://worldwide.espacenet.com/publicationDetails/biblio?II=0&amp;ND=3&amp;adjacent=true&amp;locale=en_EP&amp;FT=D&amp;date=20180622&amp;CC=CN&amp;NR=207522607U&amp;KC=U</v>
      </c>
    </row>
    <row r="841" spans="1:5" x14ac:dyDescent="0.25">
      <c r="C841" t="s">
        <v>1346</v>
      </c>
      <c r="D841" t="s">
        <v>1347</v>
      </c>
      <c r="E841" t="str">
        <f>HYPERLINK("https://worldwide.espacenet.com/publicationDetails/biblio?II=1&amp;ND=3&amp;adjacent=true&amp;locale=en_EP&amp;FT=D&amp;date=20180410&amp;CC=CN&amp;NR=207216426U&amp;KC=U")</f>
        <v>https://worldwide.espacenet.com/publicationDetails/biblio?II=1&amp;ND=3&amp;adjacent=true&amp;locale=en_EP&amp;FT=D&amp;date=20180410&amp;CC=CN&amp;NR=207216426U&amp;KC=U</v>
      </c>
    </row>
    <row r="842" spans="1:5" x14ac:dyDescent="0.25">
      <c r="C842" t="s">
        <v>1348</v>
      </c>
      <c r="D842" t="s">
        <v>1349</v>
      </c>
      <c r="E842" t="str">
        <f>HYPERLINK("https://worldwide.espacenet.com/publicationDetails/biblio?II=2&amp;ND=3&amp;adjacent=true&amp;locale=en_EP&amp;FT=D&amp;date=20180323&amp;CC=CN&amp;NR=107832770A&amp;KC=A")</f>
        <v>https://worldwide.espacenet.com/publicationDetails/biblio?II=2&amp;ND=3&amp;adjacent=true&amp;locale=en_EP&amp;FT=D&amp;date=20180323&amp;CC=CN&amp;NR=107832770A&amp;KC=A</v>
      </c>
    </row>
    <row r="843" spans="1:5" x14ac:dyDescent="0.25">
      <c r="C843" t="s">
        <v>1350</v>
      </c>
      <c r="D843" t="s">
        <v>1351</v>
      </c>
      <c r="E843" t="str">
        <f>HYPERLINK("https://worldwide.espacenet.com/publicationDetails/biblio?II=3&amp;ND=3&amp;adjacent=true&amp;locale=en_EP&amp;FT=D&amp;date=20180320&amp;CC=CN&amp;NR=207123750U&amp;KC=U")</f>
        <v>https://worldwide.espacenet.com/publicationDetails/biblio?II=3&amp;ND=3&amp;adjacent=true&amp;locale=en_EP&amp;FT=D&amp;date=20180320&amp;CC=CN&amp;NR=207123750U&amp;KC=U</v>
      </c>
    </row>
    <row r="844" spans="1:5" x14ac:dyDescent="0.25">
      <c r="C844" t="s">
        <v>1352</v>
      </c>
      <c r="D844" t="s">
        <v>1353</v>
      </c>
      <c r="E844" t="str">
        <f>HYPERLINK("https://worldwide.espacenet.com/publicationDetails/biblio?II=4&amp;ND=3&amp;adjacent=true&amp;locale=en_EP&amp;FT=D&amp;date=20180130&amp;CC=CN&amp;NR=206937299U&amp;KC=U")</f>
        <v>https://worldwide.espacenet.com/publicationDetails/biblio?II=4&amp;ND=3&amp;adjacent=true&amp;locale=en_EP&amp;FT=D&amp;date=20180130&amp;CC=CN&amp;NR=206937299U&amp;KC=U</v>
      </c>
    </row>
    <row r="845" spans="1:5" x14ac:dyDescent="0.25">
      <c r="C845" t="s">
        <v>1354</v>
      </c>
      <c r="D845" t="s">
        <v>1355</v>
      </c>
      <c r="E845" t="str">
        <f>HYPERLINK("https://worldwide.espacenet.com/publicationDetails/biblio?II=5&amp;ND=3&amp;adjacent=true&amp;locale=en_EP&amp;FT=D&amp;date=20170215&amp;CC=CN&amp;NR=106393142A&amp;KC=A")</f>
        <v>https://worldwide.espacenet.com/publicationDetails/biblio?II=5&amp;ND=3&amp;adjacent=true&amp;locale=en_EP&amp;FT=D&amp;date=20170215&amp;CC=CN&amp;NR=106393142A&amp;KC=A</v>
      </c>
    </row>
    <row r="846" spans="1:5" x14ac:dyDescent="0.25">
      <c r="C846" t="s">
        <v>1356</v>
      </c>
      <c r="D846" t="s">
        <v>1357</v>
      </c>
      <c r="E846" t="str">
        <f>HYPERLINK("https://worldwide.espacenet.com/publicationDetails/biblio?II=6&amp;ND=3&amp;adjacent=true&amp;locale=en_EP&amp;FT=D&amp;date=20170118&amp;CC=CN&amp;NR=205897359U&amp;KC=U")</f>
        <v>https://worldwide.espacenet.com/publicationDetails/biblio?II=6&amp;ND=3&amp;adjacent=true&amp;locale=en_EP&amp;FT=D&amp;date=20170118&amp;CC=CN&amp;NR=205897359U&amp;KC=U</v>
      </c>
    </row>
    <row r="847" spans="1:5" x14ac:dyDescent="0.25">
      <c r="C847" t="s">
        <v>1358</v>
      </c>
      <c r="D847" t="s">
        <v>1359</v>
      </c>
      <c r="E847" t="str">
        <f>HYPERLINK("https://worldwide.espacenet.com/publicationDetails/biblio?II=7&amp;ND=3&amp;adjacent=true&amp;locale=en_EP&amp;FT=D&amp;date=20161005&amp;CC=CN&amp;NR=205614688U&amp;KC=U")</f>
        <v>https://worldwide.espacenet.com/publicationDetails/biblio?II=7&amp;ND=3&amp;adjacent=true&amp;locale=en_EP&amp;FT=D&amp;date=20161005&amp;CC=CN&amp;NR=205614688U&amp;KC=U</v>
      </c>
    </row>
    <row r="848" spans="1:5" x14ac:dyDescent="0.25">
      <c r="C848" t="s">
        <v>1360</v>
      </c>
      <c r="D848" t="s">
        <v>1361</v>
      </c>
      <c r="E848" t="str">
        <f>HYPERLINK("https://worldwide.espacenet.com/publicationDetails/biblio?II=8&amp;ND=3&amp;adjacent=true&amp;locale=en_EP&amp;FT=D&amp;date=20160511&amp;CC=CN&amp;NR=205219159U&amp;KC=U")</f>
        <v>https://worldwide.espacenet.com/publicationDetails/biblio?II=8&amp;ND=3&amp;adjacent=true&amp;locale=en_EP&amp;FT=D&amp;date=20160511&amp;CC=CN&amp;NR=205219159U&amp;KC=U</v>
      </c>
    </row>
    <row r="849" spans="1:5" x14ac:dyDescent="0.25">
      <c r="C849" t="s">
        <v>1362</v>
      </c>
      <c r="D849" t="s">
        <v>1363</v>
      </c>
      <c r="E849" t="str">
        <f>HYPERLINK("https://worldwide.espacenet.com/publicationDetails/biblio?II=9&amp;ND=3&amp;adjacent=true&amp;locale=en_EP&amp;FT=D&amp;date=20160120&amp;CC=CN&amp;NR=204976641U&amp;KC=U")</f>
        <v>https://worldwide.espacenet.com/publicationDetails/biblio?II=9&amp;ND=3&amp;adjacent=true&amp;locale=en_EP&amp;FT=D&amp;date=20160120&amp;CC=CN&amp;NR=204976641U&amp;KC=U</v>
      </c>
    </row>
    <row r="850" spans="1:5" x14ac:dyDescent="0.25">
      <c r="C850" t="s">
        <v>1364</v>
      </c>
      <c r="D850" t="s">
        <v>1365</v>
      </c>
      <c r="E850" t="str">
        <f>HYPERLINK("https://worldwide.espacenet.com/publicationDetails/biblio?II=10&amp;ND=3&amp;adjacent=true&amp;locale=en_EP&amp;FT=D&amp;date=20151230&amp;CC=CN&amp;NR=204913887U&amp;KC=U")</f>
        <v>https://worldwide.espacenet.com/publicationDetails/biblio?II=10&amp;ND=3&amp;adjacent=true&amp;locale=en_EP&amp;FT=D&amp;date=20151230&amp;CC=CN&amp;NR=204913887U&amp;KC=U</v>
      </c>
    </row>
    <row r="851" spans="1:5" x14ac:dyDescent="0.25">
      <c r="C851" t="s">
        <v>1366</v>
      </c>
      <c r="D851" t="s">
        <v>1367</v>
      </c>
      <c r="E851" t="str">
        <f>HYPERLINK("https://worldwide.espacenet.com/publicationDetails/biblio?II=11&amp;ND=3&amp;adjacent=true&amp;locale=en_EP&amp;FT=D&amp;date=20140402&amp;CC=CN&amp;NR=103699126A&amp;KC=A")</f>
        <v>https://worldwide.espacenet.com/publicationDetails/biblio?II=11&amp;ND=3&amp;adjacent=true&amp;locale=en_EP&amp;FT=D&amp;date=20140402&amp;CC=CN&amp;NR=103699126A&amp;KC=A</v>
      </c>
    </row>
    <row r="852" spans="1:5" x14ac:dyDescent="0.25">
      <c r="A852" t="s">
        <v>1368</v>
      </c>
      <c r="B852">
        <v>3</v>
      </c>
    </row>
    <row r="853" spans="1:5" x14ac:dyDescent="0.25">
      <c r="C853" t="s">
        <v>1369</v>
      </c>
      <c r="D853" t="s">
        <v>1370</v>
      </c>
      <c r="E853" t="str">
        <f>HYPERLINK("https://worldwide.espacenet.com/publicationDetails/biblio?II=0&amp;ND=3&amp;adjacent=true&amp;locale=en_EP&amp;FT=D&amp;date=20161207&amp;CC=CN&amp;NR=205793013U&amp;KC=U")</f>
        <v>https://worldwide.espacenet.com/publicationDetails/biblio?II=0&amp;ND=3&amp;adjacent=true&amp;locale=en_EP&amp;FT=D&amp;date=20161207&amp;CC=CN&amp;NR=205793013U&amp;KC=U</v>
      </c>
    </row>
    <row r="854" spans="1:5" x14ac:dyDescent="0.25">
      <c r="C854" t="s">
        <v>1360</v>
      </c>
      <c r="D854" t="s">
        <v>1361</v>
      </c>
      <c r="E854" t="str">
        <f>HYPERLINK("https://worldwide.espacenet.com/publicationDetails/biblio?II=1&amp;ND=3&amp;adjacent=true&amp;locale=en_EP&amp;FT=D&amp;date=20160511&amp;CC=CN&amp;NR=205219159U&amp;KC=U")</f>
        <v>https://worldwide.espacenet.com/publicationDetails/biblio?II=1&amp;ND=3&amp;adjacent=true&amp;locale=en_EP&amp;FT=D&amp;date=20160511&amp;CC=CN&amp;NR=205219159U&amp;KC=U</v>
      </c>
    </row>
    <row r="855" spans="1:5" x14ac:dyDescent="0.25">
      <c r="A855" t="s">
        <v>1371</v>
      </c>
      <c r="B855">
        <v>6</v>
      </c>
    </row>
    <row r="856" spans="1:5" x14ac:dyDescent="0.25">
      <c r="C856" t="s">
        <v>1372</v>
      </c>
      <c r="D856" t="s">
        <v>1373</v>
      </c>
      <c r="E856" t="str">
        <f>HYPERLINK("https://worldwide.espacenet.com/publicationDetails/biblio?II=0&amp;ND=3&amp;adjacent=true&amp;locale=en_EP&amp;FT=D&amp;date=20170711&amp;CC=CN&amp;NR=106941654A&amp;KC=A")</f>
        <v>https://worldwide.espacenet.com/publicationDetails/biblio?II=0&amp;ND=3&amp;adjacent=true&amp;locale=en_EP&amp;FT=D&amp;date=20170711&amp;CC=CN&amp;NR=106941654A&amp;KC=A</v>
      </c>
    </row>
    <row r="857" spans="1:5" x14ac:dyDescent="0.25">
      <c r="C857" t="s">
        <v>1356</v>
      </c>
      <c r="D857" t="s">
        <v>1357</v>
      </c>
      <c r="E857" t="str">
        <f>HYPERLINK("https://worldwide.espacenet.com/publicationDetails/biblio?II=1&amp;ND=3&amp;adjacent=true&amp;locale=en_EP&amp;FT=D&amp;date=20170118&amp;CC=CN&amp;NR=205897359U&amp;KC=U")</f>
        <v>https://worldwide.espacenet.com/publicationDetails/biblio?II=1&amp;ND=3&amp;adjacent=true&amp;locale=en_EP&amp;FT=D&amp;date=20170118&amp;CC=CN&amp;NR=205897359U&amp;KC=U</v>
      </c>
    </row>
    <row r="858" spans="1:5" x14ac:dyDescent="0.25">
      <c r="C858" t="s">
        <v>1360</v>
      </c>
      <c r="D858" t="s">
        <v>1361</v>
      </c>
      <c r="E858" t="str">
        <f>HYPERLINK("https://worldwide.espacenet.com/publicationDetails/biblio?II=2&amp;ND=3&amp;adjacent=true&amp;locale=en_EP&amp;FT=D&amp;date=20160511&amp;CC=CN&amp;NR=205219159U&amp;KC=U")</f>
        <v>https://worldwide.espacenet.com/publicationDetails/biblio?II=2&amp;ND=3&amp;adjacent=true&amp;locale=en_EP&amp;FT=D&amp;date=20160511&amp;CC=CN&amp;NR=205219159U&amp;KC=U</v>
      </c>
    </row>
    <row r="859" spans="1:5" x14ac:dyDescent="0.25">
      <c r="C859" t="s">
        <v>1374</v>
      </c>
      <c r="D859" t="s">
        <v>1375</v>
      </c>
      <c r="E859" t="str">
        <f>HYPERLINK("https://worldwide.espacenet.com/publicationDetails/biblio?II=3&amp;ND=3&amp;adjacent=true&amp;locale=en_EP&amp;FT=D&amp;date=20160217&amp;CC=CN&amp;NR=105336285A&amp;KC=A")</f>
        <v>https://worldwide.espacenet.com/publicationDetails/biblio?II=3&amp;ND=3&amp;adjacent=true&amp;locale=en_EP&amp;FT=D&amp;date=20160217&amp;CC=CN&amp;NR=105336285A&amp;KC=A</v>
      </c>
    </row>
    <row r="860" spans="1:5" x14ac:dyDescent="0.25">
      <c r="A860" t="s">
        <v>1376</v>
      </c>
      <c r="B860">
        <v>1</v>
      </c>
    </row>
    <row r="861" spans="1:5" x14ac:dyDescent="0.25">
      <c r="C861" t="s">
        <v>1377</v>
      </c>
      <c r="D861" t="s">
        <v>1378</v>
      </c>
      <c r="E861" t="str">
        <f>HYPERLINK("https://worldwide.espacenet.com/publicationDetails/biblio?II=0&amp;ND=3&amp;adjacent=true&amp;locale=en_EP&amp;FT=D&amp;date=20150729&amp;CC=CN&amp;NR=204515533U&amp;KC=U")</f>
        <v>https://worldwide.espacenet.com/publicationDetails/biblio?II=0&amp;ND=3&amp;adjacent=true&amp;locale=en_EP&amp;FT=D&amp;date=20150729&amp;CC=CN&amp;NR=204515533U&amp;KC=U</v>
      </c>
    </row>
    <row r="862" spans="1:5" x14ac:dyDescent="0.25">
      <c r="A862" t="s">
        <v>1379</v>
      </c>
      <c r="B862">
        <v>4</v>
      </c>
    </row>
    <row r="863" spans="1:5" x14ac:dyDescent="0.25">
      <c r="C863" t="s">
        <v>1380</v>
      </c>
      <c r="D863" t="s">
        <v>1381</v>
      </c>
      <c r="E863" t="str">
        <f>HYPERLINK("https://worldwide.espacenet.com/publicationDetails/biblio?II=0&amp;ND=3&amp;adjacent=true&amp;locale=en_EP&amp;FT=D&amp;date=20130710&amp;CC=CN&amp;NR=103192961A&amp;KC=A")</f>
        <v>https://worldwide.espacenet.com/publicationDetails/biblio?II=0&amp;ND=3&amp;adjacent=true&amp;locale=en_EP&amp;FT=D&amp;date=20130710&amp;CC=CN&amp;NR=103192961A&amp;KC=A</v>
      </c>
    </row>
    <row r="864" spans="1:5" x14ac:dyDescent="0.25">
      <c r="C864" t="s">
        <v>1382</v>
      </c>
      <c r="D864" t="s">
        <v>1383</v>
      </c>
      <c r="E864" t="str">
        <f>HYPERLINK("https://worldwide.espacenet.com/publicationDetails/biblio?II=1&amp;ND=3&amp;adjacent=true&amp;locale=en_EP&amp;FT=D&amp;date=20121031&amp;CC=CN&amp;NR=202509697U&amp;KC=U")</f>
        <v>https://worldwide.espacenet.com/publicationDetails/biblio?II=1&amp;ND=3&amp;adjacent=true&amp;locale=en_EP&amp;FT=D&amp;date=20121031&amp;CC=CN&amp;NR=202509697U&amp;KC=U</v>
      </c>
    </row>
    <row r="865" spans="1:5" x14ac:dyDescent="0.25">
      <c r="C865" t="s">
        <v>1384</v>
      </c>
      <c r="D865" t="s">
        <v>1385</v>
      </c>
      <c r="E865" t="str">
        <f>HYPERLINK("https://worldwide.espacenet.com/publicationDetails/biblio?II=2&amp;ND=3&amp;adjacent=true&amp;locale=en_EP&amp;FT=D&amp;date=20030416&amp;CC=CN&amp;NR=1410906A&amp;KC=A")</f>
        <v>https://worldwide.espacenet.com/publicationDetails/biblio?II=2&amp;ND=3&amp;adjacent=true&amp;locale=en_EP&amp;FT=D&amp;date=20030416&amp;CC=CN&amp;NR=1410906A&amp;KC=A</v>
      </c>
    </row>
    <row r="866" spans="1:5" x14ac:dyDescent="0.25">
      <c r="C866" t="s">
        <v>1386</v>
      </c>
      <c r="D866" t="s">
        <v>1387</v>
      </c>
      <c r="E866" t="str">
        <f>HYPERLINK("https://worldwide.espacenet.com/publicationDetails/biblio?II=3&amp;ND=3&amp;adjacent=true&amp;locale=en_EP&amp;FT=D&amp;date=20030416&amp;CC=CN&amp;NR=1410858A&amp;KC=A")</f>
        <v>https://worldwide.espacenet.com/publicationDetails/biblio?II=3&amp;ND=3&amp;adjacent=true&amp;locale=en_EP&amp;FT=D&amp;date=20030416&amp;CC=CN&amp;NR=1410858A&amp;KC=A</v>
      </c>
    </row>
    <row r="867" spans="1:5" x14ac:dyDescent="0.25">
      <c r="A867" t="s">
        <v>1388</v>
      </c>
      <c r="B867">
        <v>1</v>
      </c>
    </row>
    <row r="868" spans="1:5" x14ac:dyDescent="0.25">
      <c r="C868" t="s">
        <v>1354</v>
      </c>
      <c r="D868" t="s">
        <v>1389</v>
      </c>
      <c r="E868" t="str">
        <f>HYPERLINK("https://worldwide.espacenet.com/publicationDetails/biblio?II=0&amp;ND=3&amp;adjacent=true&amp;locale=en_EP&amp;FT=D&amp;date=20180327&amp;CC=CN&amp;NR=207139820U&amp;KC=U")</f>
        <v>https://worldwide.espacenet.com/publicationDetails/biblio?II=0&amp;ND=3&amp;adjacent=true&amp;locale=en_EP&amp;FT=D&amp;date=20180327&amp;CC=CN&amp;NR=207139820U&amp;KC=U</v>
      </c>
    </row>
    <row r="869" spans="1:5" x14ac:dyDescent="0.25">
      <c r="A869" t="s">
        <v>1390</v>
      </c>
      <c r="B869">
        <v>0</v>
      </c>
    </row>
    <row r="870" spans="1:5" x14ac:dyDescent="0.25">
      <c r="A870" t="s">
        <v>1391</v>
      </c>
      <c r="B870">
        <v>37</v>
      </c>
    </row>
    <row r="871" spans="1:5" x14ac:dyDescent="0.25">
      <c r="C871" t="s">
        <v>1392</v>
      </c>
      <c r="D871" t="s">
        <v>1393</v>
      </c>
      <c r="E871" t="str">
        <f>HYPERLINK("https://worldwide.espacenet.com/publicationDetails/biblio?II=0&amp;ND=3&amp;adjacent=true&amp;locale=en_EP&amp;FT=D&amp;date=20181011&amp;CC=AU&amp;NR=2017344125A1&amp;KC=A1")</f>
        <v>https://worldwide.espacenet.com/publicationDetails/biblio?II=0&amp;ND=3&amp;adjacent=true&amp;locale=en_EP&amp;FT=D&amp;date=20181011&amp;CC=AU&amp;NR=2017344125A1&amp;KC=A1</v>
      </c>
    </row>
    <row r="872" spans="1:5" x14ac:dyDescent="0.25">
      <c r="C872" t="s">
        <v>1394</v>
      </c>
      <c r="D872" t="s">
        <v>1395</v>
      </c>
      <c r="E872" t="str">
        <f>HYPERLINK("https://worldwide.espacenet.com/publicationDetails/biblio?II=1&amp;ND=3&amp;adjacent=true&amp;locale=en_EP&amp;FT=D&amp;date=20180622&amp;CC=CN&amp;NR=108196542A&amp;KC=A")</f>
        <v>https://worldwide.espacenet.com/publicationDetails/biblio?II=1&amp;ND=3&amp;adjacent=true&amp;locale=en_EP&amp;FT=D&amp;date=20180622&amp;CC=CN&amp;NR=108196542A&amp;KC=A</v>
      </c>
    </row>
    <row r="873" spans="1:5" x14ac:dyDescent="0.25">
      <c r="C873" t="s">
        <v>1396</v>
      </c>
      <c r="D873" t="s">
        <v>1397</v>
      </c>
      <c r="E873" t="str">
        <f>HYPERLINK("https://worldwide.espacenet.com/publicationDetails/biblio?II=2&amp;ND=3&amp;adjacent=true&amp;locale=en_EP&amp;FT=D&amp;date=20180612&amp;CC=CN&amp;NR=207489434U&amp;KC=U")</f>
        <v>https://worldwide.espacenet.com/publicationDetails/biblio?II=2&amp;ND=3&amp;adjacent=true&amp;locale=en_EP&amp;FT=D&amp;date=20180612&amp;CC=CN&amp;NR=207489434U&amp;KC=U</v>
      </c>
    </row>
    <row r="874" spans="1:5" x14ac:dyDescent="0.25">
      <c r="C874" t="s">
        <v>1398</v>
      </c>
      <c r="D874" t="s">
        <v>1399</v>
      </c>
      <c r="E874" t="str">
        <f>HYPERLINK("https://worldwide.espacenet.com/publicationDetails/biblio?II=3&amp;ND=3&amp;adjacent=true&amp;locale=en_EP&amp;FT=D&amp;date=20180504&amp;CC=CN&amp;NR=107993601A&amp;KC=A")</f>
        <v>https://worldwide.espacenet.com/publicationDetails/biblio?II=3&amp;ND=3&amp;adjacent=true&amp;locale=en_EP&amp;FT=D&amp;date=20180504&amp;CC=CN&amp;NR=107993601A&amp;KC=A</v>
      </c>
    </row>
    <row r="875" spans="1:5" x14ac:dyDescent="0.25">
      <c r="C875" t="s">
        <v>1400</v>
      </c>
      <c r="D875" t="s">
        <v>1401</v>
      </c>
      <c r="E875" t="str">
        <f>HYPERLINK("https://worldwide.espacenet.com/publicationDetails/biblio?II=4&amp;ND=3&amp;adjacent=true&amp;locale=en_EP&amp;FT=D&amp;date=20180420&amp;CC=CN&amp;NR=107947016A&amp;KC=A")</f>
        <v>https://worldwide.espacenet.com/publicationDetails/biblio?II=4&amp;ND=3&amp;adjacent=true&amp;locale=en_EP&amp;FT=D&amp;date=20180420&amp;CC=CN&amp;NR=107947016A&amp;KC=A</v>
      </c>
    </row>
    <row r="876" spans="1:5" x14ac:dyDescent="0.25">
      <c r="C876" t="s">
        <v>1354</v>
      </c>
      <c r="D876" t="s">
        <v>1389</v>
      </c>
      <c r="E876" t="str">
        <f>HYPERLINK("https://worldwide.espacenet.com/publicationDetails/biblio?II=5&amp;ND=3&amp;adjacent=true&amp;locale=en_EP&amp;FT=D&amp;date=20180327&amp;CC=CN&amp;NR=207139820U&amp;KC=U")</f>
        <v>https://worldwide.espacenet.com/publicationDetails/biblio?II=5&amp;ND=3&amp;adjacent=true&amp;locale=en_EP&amp;FT=D&amp;date=20180327&amp;CC=CN&amp;NR=207139820U&amp;KC=U</v>
      </c>
    </row>
    <row r="877" spans="1:5" x14ac:dyDescent="0.25">
      <c r="C877" t="s">
        <v>1350</v>
      </c>
      <c r="D877" t="s">
        <v>1351</v>
      </c>
      <c r="E877" t="str">
        <f>HYPERLINK("https://worldwide.espacenet.com/publicationDetails/biblio?II=6&amp;ND=3&amp;adjacent=true&amp;locale=en_EP&amp;FT=D&amp;date=20180320&amp;CC=CN&amp;NR=207123750U&amp;KC=U")</f>
        <v>https://worldwide.espacenet.com/publicationDetails/biblio?II=6&amp;ND=3&amp;adjacent=true&amp;locale=en_EP&amp;FT=D&amp;date=20180320&amp;CC=CN&amp;NR=207123750U&amp;KC=U</v>
      </c>
    </row>
    <row r="878" spans="1:5" x14ac:dyDescent="0.25">
      <c r="C878" t="s">
        <v>1402</v>
      </c>
      <c r="D878" t="s">
        <v>1403</v>
      </c>
      <c r="E878" t="str">
        <f>HYPERLINK("https://worldwide.espacenet.com/publicationDetails/biblio?II=7&amp;ND=3&amp;adjacent=true&amp;locale=en_EP&amp;FT=D&amp;date=20180119&amp;CC=CN&amp;NR=206908182U&amp;KC=U")</f>
        <v>https://worldwide.espacenet.com/publicationDetails/biblio?II=7&amp;ND=3&amp;adjacent=true&amp;locale=en_EP&amp;FT=D&amp;date=20180119&amp;CC=CN&amp;NR=206908182U&amp;KC=U</v>
      </c>
    </row>
    <row r="879" spans="1:5" x14ac:dyDescent="0.25">
      <c r="C879" t="s">
        <v>1404</v>
      </c>
      <c r="D879" t="s">
        <v>1405</v>
      </c>
      <c r="E879" t="str">
        <f>HYPERLINK("https://worldwide.espacenet.com/publicationDetails/biblio?II=8&amp;ND=3&amp;adjacent=true&amp;locale=en_EP&amp;FT=D&amp;date=20170915&amp;CC=CN&amp;NR=107168320A&amp;KC=A")</f>
        <v>https://worldwide.espacenet.com/publicationDetails/biblio?II=8&amp;ND=3&amp;adjacent=true&amp;locale=en_EP&amp;FT=D&amp;date=20170915&amp;CC=CN&amp;NR=107168320A&amp;KC=A</v>
      </c>
    </row>
    <row r="880" spans="1:5" x14ac:dyDescent="0.25">
      <c r="C880" t="s">
        <v>1406</v>
      </c>
      <c r="D880" t="s">
        <v>1407</v>
      </c>
      <c r="E880" t="str">
        <f>HYPERLINK("https://worldwide.espacenet.com/publicationDetails/biblio?II=9&amp;ND=3&amp;adjacent=true&amp;locale=en_EP&amp;FT=D&amp;date=20170815&amp;CC=CN&amp;NR=107045342A&amp;KC=A")</f>
        <v>https://worldwide.espacenet.com/publicationDetails/biblio?II=9&amp;ND=3&amp;adjacent=true&amp;locale=en_EP&amp;FT=D&amp;date=20170815&amp;CC=CN&amp;NR=107045342A&amp;KC=A</v>
      </c>
    </row>
    <row r="881" spans="1:5" x14ac:dyDescent="0.25">
      <c r="C881" t="s">
        <v>1408</v>
      </c>
      <c r="D881" t="s">
        <v>1409</v>
      </c>
      <c r="E881" t="str">
        <f>HYPERLINK("https://worldwide.espacenet.com/publicationDetails/biblio?II=10&amp;ND=3&amp;adjacent=true&amp;locale=en_EP&amp;FT=D&amp;date=20170801&amp;CC=CN&amp;NR=206370655U&amp;KC=U")</f>
        <v>https://worldwide.espacenet.com/publicationDetails/biblio?II=10&amp;ND=3&amp;adjacent=true&amp;locale=en_EP&amp;FT=D&amp;date=20170801&amp;CC=CN&amp;NR=206370655U&amp;KC=U</v>
      </c>
    </row>
    <row r="882" spans="1:5" x14ac:dyDescent="0.25">
      <c r="C882" t="s">
        <v>1410</v>
      </c>
      <c r="D882" t="s">
        <v>1411</v>
      </c>
      <c r="E882" t="str">
        <f>HYPERLINK("https://worldwide.espacenet.com/publicationDetails/biblio?II=11&amp;ND=3&amp;adjacent=true&amp;locale=en_EP&amp;FT=D&amp;date=20170215&amp;CC=CN&amp;NR=106406319A&amp;KC=A")</f>
        <v>https://worldwide.espacenet.com/publicationDetails/biblio?II=11&amp;ND=3&amp;adjacent=true&amp;locale=en_EP&amp;FT=D&amp;date=20170215&amp;CC=CN&amp;NR=106406319A&amp;KC=A</v>
      </c>
    </row>
    <row r="883" spans="1:5" x14ac:dyDescent="0.25">
      <c r="C883" t="s">
        <v>1412</v>
      </c>
      <c r="D883" t="s">
        <v>1413</v>
      </c>
      <c r="E883" t="str">
        <f>HYPERLINK("https://worldwide.espacenet.com/publicationDetails/biblio?II=12&amp;ND=3&amp;adjacent=true&amp;locale=en_EP&amp;FT=D&amp;date=20170630&amp;CC=CN&amp;NR=206287133U&amp;KC=U")</f>
        <v>https://worldwide.espacenet.com/publicationDetails/biblio?II=12&amp;ND=3&amp;adjacent=true&amp;locale=en_EP&amp;FT=D&amp;date=20170630&amp;CC=CN&amp;NR=206287133U&amp;KC=U</v>
      </c>
    </row>
    <row r="884" spans="1:5" x14ac:dyDescent="0.25">
      <c r="C884" t="s">
        <v>1414</v>
      </c>
      <c r="D884" t="s">
        <v>1415</v>
      </c>
      <c r="E884" t="str">
        <f>HYPERLINK("https://worldwide.espacenet.com/publicationDetails/biblio?II=13&amp;ND=3&amp;adjacent=true&amp;locale=en_EP&amp;FT=D&amp;date=20170419&amp;CC=CN&amp;NR=206115270U&amp;KC=U")</f>
        <v>https://worldwide.espacenet.com/publicationDetails/biblio?II=13&amp;ND=3&amp;adjacent=true&amp;locale=en_EP&amp;FT=D&amp;date=20170419&amp;CC=CN&amp;NR=206115270U&amp;KC=U</v>
      </c>
    </row>
    <row r="885" spans="1:5" x14ac:dyDescent="0.25">
      <c r="C885" t="s">
        <v>1416</v>
      </c>
      <c r="D885" t="s">
        <v>1417</v>
      </c>
      <c r="E885" t="str">
        <f>HYPERLINK("https://worldwide.espacenet.com/publicationDetails/biblio?II=14&amp;ND=3&amp;adjacent=true&amp;locale=en_EP&amp;FT=D&amp;date=20170322&amp;CC=CN&amp;NR=106532946A&amp;KC=A")</f>
        <v>https://worldwide.espacenet.com/publicationDetails/biblio?II=14&amp;ND=3&amp;adjacent=true&amp;locale=en_EP&amp;FT=D&amp;date=20170322&amp;CC=CN&amp;NR=106532946A&amp;KC=A</v>
      </c>
    </row>
    <row r="886" spans="1:5" x14ac:dyDescent="0.25">
      <c r="C886" t="s">
        <v>1418</v>
      </c>
      <c r="D886" t="s">
        <v>1419</v>
      </c>
      <c r="E886" t="str">
        <f>HYPERLINK("https://worldwide.espacenet.com/publicationDetails/biblio?II=15&amp;ND=3&amp;adjacent=true&amp;locale=en_EP&amp;FT=D&amp;date=20170222&amp;CC=CN&amp;NR=106446290A&amp;KC=A")</f>
        <v>https://worldwide.espacenet.com/publicationDetails/biblio?II=15&amp;ND=3&amp;adjacent=true&amp;locale=en_EP&amp;FT=D&amp;date=20170222&amp;CC=CN&amp;NR=106446290A&amp;KC=A</v>
      </c>
    </row>
    <row r="887" spans="1:5" x14ac:dyDescent="0.25">
      <c r="C887" t="s">
        <v>1420</v>
      </c>
      <c r="D887" t="s">
        <v>1421</v>
      </c>
      <c r="E887" t="str">
        <f>HYPERLINK("https://worldwide.espacenet.com/publicationDetails/biblio?II=16&amp;ND=3&amp;adjacent=true&amp;locale=en_EP&amp;FT=D&amp;date=20161221&amp;CC=CN&amp;NR=106251253A&amp;KC=A")</f>
        <v>https://worldwide.espacenet.com/publicationDetails/biblio?II=16&amp;ND=3&amp;adjacent=true&amp;locale=en_EP&amp;FT=D&amp;date=20161221&amp;CC=CN&amp;NR=106251253A&amp;KC=A</v>
      </c>
    </row>
    <row r="888" spans="1:5" x14ac:dyDescent="0.25">
      <c r="C888" t="s">
        <v>1354</v>
      </c>
      <c r="D888" t="s">
        <v>1355</v>
      </c>
      <c r="E888" t="str">
        <f>HYPERLINK("https://worldwide.espacenet.com/publicationDetails/biblio?II=17&amp;ND=3&amp;adjacent=true&amp;locale=en_EP&amp;FT=D&amp;date=20170215&amp;CC=CN&amp;NR=106393142A&amp;KC=A")</f>
        <v>https://worldwide.espacenet.com/publicationDetails/biblio?II=17&amp;ND=3&amp;adjacent=true&amp;locale=en_EP&amp;FT=D&amp;date=20170215&amp;CC=CN&amp;NR=106393142A&amp;KC=A</v>
      </c>
    </row>
    <row r="889" spans="1:5" x14ac:dyDescent="0.25">
      <c r="C889" t="s">
        <v>1422</v>
      </c>
      <c r="D889" t="s">
        <v>1423</v>
      </c>
      <c r="E889" t="str">
        <f>HYPERLINK("https://worldwide.espacenet.com/publicationDetails/biblio?II=18&amp;ND=3&amp;adjacent=true&amp;locale=en_EP&amp;FT=D&amp;date=20161130&amp;CC=CN&amp;NR=205753571U&amp;KC=U")</f>
        <v>https://worldwide.espacenet.com/publicationDetails/biblio?II=18&amp;ND=3&amp;adjacent=true&amp;locale=en_EP&amp;FT=D&amp;date=20161130&amp;CC=CN&amp;NR=205753571U&amp;KC=U</v>
      </c>
    </row>
    <row r="890" spans="1:5" x14ac:dyDescent="0.25">
      <c r="C890" t="s">
        <v>1424</v>
      </c>
      <c r="D890" t="s">
        <v>1425</v>
      </c>
      <c r="E890" t="str">
        <f>HYPERLINK("https://worldwide.espacenet.com/publicationDetails/biblio?II=19&amp;ND=3&amp;adjacent=true&amp;locale=en_EP&amp;FT=D&amp;date=20160921&amp;CC=CN&amp;NR=105955252A&amp;KC=A")</f>
        <v>https://worldwide.espacenet.com/publicationDetails/biblio?II=19&amp;ND=3&amp;adjacent=true&amp;locale=en_EP&amp;FT=D&amp;date=20160921&amp;CC=CN&amp;NR=105955252A&amp;KC=A</v>
      </c>
    </row>
    <row r="891" spans="1:5" x14ac:dyDescent="0.25">
      <c r="C891" t="s">
        <v>1426</v>
      </c>
      <c r="D891" t="s">
        <v>1427</v>
      </c>
      <c r="E891" t="str">
        <f>HYPERLINK("https://worldwide.espacenet.com/publicationDetails/biblio?II=20&amp;ND=3&amp;adjacent=true&amp;locale=en_EP&amp;FT=D&amp;date=20160622&amp;CC=KR&amp;NR=20160071640A&amp;KC=A")</f>
        <v>https://worldwide.espacenet.com/publicationDetails/biblio?II=20&amp;ND=3&amp;adjacent=true&amp;locale=en_EP&amp;FT=D&amp;date=20160622&amp;CC=KR&amp;NR=20160071640A&amp;KC=A</v>
      </c>
    </row>
    <row r="892" spans="1:5" x14ac:dyDescent="0.25">
      <c r="C892" t="s">
        <v>1428</v>
      </c>
      <c r="D892" t="s">
        <v>1429</v>
      </c>
      <c r="E892" t="str">
        <f>HYPERLINK("https://worldwide.espacenet.com/publicationDetails/biblio?II=21&amp;ND=3&amp;adjacent=true&amp;locale=en_EP&amp;FT=D&amp;date=20160203&amp;CC=CN&amp;NR=205017474U&amp;KC=U")</f>
        <v>https://worldwide.espacenet.com/publicationDetails/biblio?II=21&amp;ND=3&amp;adjacent=true&amp;locale=en_EP&amp;FT=D&amp;date=20160203&amp;CC=CN&amp;NR=205017474U&amp;KC=U</v>
      </c>
    </row>
    <row r="893" spans="1:5" x14ac:dyDescent="0.25">
      <c r="A893" t="s">
        <v>1430</v>
      </c>
      <c r="B893">
        <v>563</v>
      </c>
    </row>
    <row r="894" spans="1:5" x14ac:dyDescent="0.25">
      <c r="C894" t="s">
        <v>1431</v>
      </c>
      <c r="D894" t="s">
        <v>1432</v>
      </c>
      <c r="E894" t="str">
        <f>HYPERLINK("https://worldwide.espacenet.com/publicationDetails/biblio?II=0&amp;ND=3&amp;adjacent=true&amp;locale=en_EP&amp;FT=D&amp;date=20181018&amp;CC=US&amp;NR=2018300826A1&amp;KC=A1")</f>
        <v>https://worldwide.espacenet.com/publicationDetails/biblio?II=0&amp;ND=3&amp;adjacent=true&amp;locale=en_EP&amp;FT=D&amp;date=20181018&amp;CC=US&amp;NR=2018300826A1&amp;KC=A1</v>
      </c>
    </row>
    <row r="895" spans="1:5" x14ac:dyDescent="0.25">
      <c r="C895" t="s">
        <v>1433</v>
      </c>
      <c r="D895" t="s">
        <v>1434</v>
      </c>
      <c r="E895" t="str">
        <f>HYPERLINK("https://worldwide.espacenet.com/publicationDetails/biblio?II=1&amp;ND=3&amp;adjacent=true&amp;locale=en_EP&amp;FT=D&amp;date=20180920&amp;CC=US&amp;NR=2018268460A1&amp;KC=A1")</f>
        <v>https://worldwide.espacenet.com/publicationDetails/biblio?II=1&amp;ND=3&amp;adjacent=true&amp;locale=en_EP&amp;FT=D&amp;date=20180920&amp;CC=US&amp;NR=2018268460A1&amp;KC=A1</v>
      </c>
    </row>
    <row r="896" spans="1:5" x14ac:dyDescent="0.25">
      <c r="C896" t="s">
        <v>1435</v>
      </c>
      <c r="D896" t="s">
        <v>1436</v>
      </c>
      <c r="E896" t="str">
        <f>HYPERLINK("https://worldwide.espacenet.com/publicationDetails/biblio?II=2&amp;ND=3&amp;adjacent=true&amp;locale=en_EP&amp;FT=D&amp;date=20180705&amp;CC=KR&amp;NR=20180075860A&amp;KC=A")</f>
        <v>https://worldwide.espacenet.com/publicationDetails/biblio?II=2&amp;ND=3&amp;adjacent=true&amp;locale=en_EP&amp;FT=D&amp;date=20180705&amp;CC=KR&amp;NR=20180075860A&amp;KC=A</v>
      </c>
    </row>
    <row r="897" spans="3:5" x14ac:dyDescent="0.25">
      <c r="C897" t="s">
        <v>1437</v>
      </c>
      <c r="D897" t="s">
        <v>1438</v>
      </c>
      <c r="E897" t="str">
        <f>HYPERLINK("https://worldwide.espacenet.com/publicationDetails/biblio?II=3&amp;ND=3&amp;adjacent=true&amp;locale=en_EP&amp;FT=D&amp;date=20180618&amp;CC=KR&amp;NR=20180065634A&amp;KC=A")</f>
        <v>https://worldwide.espacenet.com/publicationDetails/biblio?II=3&amp;ND=3&amp;adjacent=true&amp;locale=en_EP&amp;FT=D&amp;date=20180618&amp;CC=KR&amp;NR=20180065634A&amp;KC=A</v>
      </c>
    </row>
    <row r="898" spans="3:5" x14ac:dyDescent="0.25">
      <c r="C898" t="s">
        <v>1439</v>
      </c>
      <c r="D898" t="s">
        <v>1440</v>
      </c>
      <c r="E898" t="str">
        <f>HYPERLINK("https://worldwide.espacenet.com/publicationDetails/biblio?II=4&amp;ND=3&amp;adjacent=true&amp;locale=en_EP&amp;FT=D&amp;date=20180629&amp;CC=CN&amp;NR=108230597A&amp;KC=A")</f>
        <v>https://worldwide.espacenet.com/publicationDetails/biblio?II=4&amp;ND=3&amp;adjacent=true&amp;locale=en_EP&amp;FT=D&amp;date=20180629&amp;CC=CN&amp;NR=108230597A&amp;KC=A</v>
      </c>
    </row>
    <row r="899" spans="3:5" x14ac:dyDescent="0.25">
      <c r="C899" t="s">
        <v>1441</v>
      </c>
      <c r="D899" t="s">
        <v>1442</v>
      </c>
      <c r="E899" t="str">
        <f>HYPERLINK("https://worldwide.espacenet.com/publicationDetails/biblio?II=5&amp;ND=3&amp;adjacent=true&amp;locale=en_EP&amp;FT=D&amp;date=20180622&amp;CC=CN&amp;NR=108200539A&amp;KC=A")</f>
        <v>https://worldwide.espacenet.com/publicationDetails/biblio?II=5&amp;ND=3&amp;adjacent=true&amp;locale=en_EP&amp;FT=D&amp;date=20180622&amp;CC=CN&amp;NR=108200539A&amp;KC=A</v>
      </c>
    </row>
    <row r="900" spans="3:5" x14ac:dyDescent="0.25">
      <c r="C900" t="s">
        <v>1443</v>
      </c>
      <c r="D900" t="s">
        <v>1444</v>
      </c>
      <c r="E900" t="str">
        <f>HYPERLINK("https://worldwide.espacenet.com/publicationDetails/biblio?II=6&amp;ND=3&amp;adjacent=true&amp;locale=en_EP&amp;FT=D&amp;date=20180622&amp;CC=CN&amp;NR=108198098A&amp;KC=A")</f>
        <v>https://worldwide.espacenet.com/publicationDetails/biblio?II=6&amp;ND=3&amp;adjacent=true&amp;locale=en_EP&amp;FT=D&amp;date=20180622&amp;CC=CN&amp;NR=108198098A&amp;KC=A</v>
      </c>
    </row>
    <row r="901" spans="3:5" x14ac:dyDescent="0.25">
      <c r="C901" t="s">
        <v>1445</v>
      </c>
      <c r="D901" t="s">
        <v>1446</v>
      </c>
      <c r="E901" t="str">
        <f>HYPERLINK("https://worldwide.espacenet.com/publicationDetails/biblio?II=7&amp;ND=3&amp;adjacent=true&amp;locale=en_EP&amp;FT=D&amp;date=20180619&amp;CC=CN&amp;NR=207518585U&amp;KC=U")</f>
        <v>https://worldwide.espacenet.com/publicationDetails/biblio?II=7&amp;ND=3&amp;adjacent=true&amp;locale=en_EP&amp;FT=D&amp;date=20180619&amp;CC=CN&amp;NR=207518585U&amp;KC=U</v>
      </c>
    </row>
    <row r="902" spans="3:5" x14ac:dyDescent="0.25">
      <c r="C902" t="s">
        <v>1396</v>
      </c>
      <c r="D902" t="s">
        <v>1397</v>
      </c>
      <c r="E902" t="str">
        <f>HYPERLINK("https://worldwide.espacenet.com/publicationDetails/biblio?II=8&amp;ND=3&amp;adjacent=true&amp;locale=en_EP&amp;FT=D&amp;date=20180612&amp;CC=CN&amp;NR=207489434U&amp;KC=U")</f>
        <v>https://worldwide.espacenet.com/publicationDetails/biblio?II=8&amp;ND=3&amp;adjacent=true&amp;locale=en_EP&amp;FT=D&amp;date=20180612&amp;CC=CN&amp;NR=207489434U&amp;KC=U</v>
      </c>
    </row>
    <row r="903" spans="3:5" x14ac:dyDescent="0.25">
      <c r="C903" t="s">
        <v>1447</v>
      </c>
      <c r="D903" t="s">
        <v>1448</v>
      </c>
      <c r="E903" t="str">
        <f>HYPERLINK("https://worldwide.espacenet.com/publicationDetails/biblio?II=9&amp;ND=3&amp;adjacent=true&amp;locale=en_EP&amp;FT=D&amp;date=20180525&amp;CC=KR&amp;NR=20180055128A&amp;KC=A")</f>
        <v>https://worldwide.espacenet.com/publicationDetails/biblio?II=9&amp;ND=3&amp;adjacent=true&amp;locale=en_EP&amp;FT=D&amp;date=20180525&amp;CC=KR&amp;NR=20180055128A&amp;KC=A</v>
      </c>
    </row>
    <row r="904" spans="3:5" x14ac:dyDescent="0.25">
      <c r="C904" t="s">
        <v>1449</v>
      </c>
      <c r="D904" t="s">
        <v>1450</v>
      </c>
      <c r="E904" t="str">
        <f>HYPERLINK("https://worldwide.espacenet.com/publicationDetails/biblio?II=10&amp;ND=3&amp;adjacent=true&amp;locale=en_EP&amp;FT=D&amp;date=20180531&amp;CC=US&amp;NR=2018152818A1&amp;KC=A1")</f>
        <v>https://worldwide.espacenet.com/publicationDetails/biblio?II=10&amp;ND=3&amp;adjacent=true&amp;locale=en_EP&amp;FT=D&amp;date=20180531&amp;CC=US&amp;NR=2018152818A1&amp;KC=A1</v>
      </c>
    </row>
    <row r="905" spans="3:5" x14ac:dyDescent="0.25">
      <c r="C905" t="s">
        <v>1451</v>
      </c>
      <c r="D905" t="s">
        <v>1452</v>
      </c>
      <c r="E905" t="str">
        <f>HYPERLINK("https://worldwide.espacenet.com/publicationDetails/biblio?II=11&amp;ND=3&amp;adjacent=true&amp;locale=en_EP&amp;FT=D&amp;date=20180529&amp;CC=CN&amp;NR=108090493A&amp;KC=A")</f>
        <v>https://worldwide.espacenet.com/publicationDetails/biblio?II=11&amp;ND=3&amp;adjacent=true&amp;locale=en_EP&amp;FT=D&amp;date=20180529&amp;CC=CN&amp;NR=108090493A&amp;KC=A</v>
      </c>
    </row>
    <row r="906" spans="3:5" x14ac:dyDescent="0.25">
      <c r="C906" t="s">
        <v>1453</v>
      </c>
      <c r="D906" t="s">
        <v>1454</v>
      </c>
      <c r="E906" t="str">
        <f>HYPERLINK("https://worldwide.espacenet.com/publicationDetails/biblio?II=12&amp;ND=3&amp;adjacent=true&amp;locale=en_EP&amp;FT=D&amp;date=20180518&amp;CC=CN&amp;NR=108053132A&amp;KC=A")</f>
        <v>https://worldwide.espacenet.com/publicationDetails/biblio?II=12&amp;ND=3&amp;adjacent=true&amp;locale=en_EP&amp;FT=D&amp;date=20180518&amp;CC=CN&amp;NR=108053132A&amp;KC=A</v>
      </c>
    </row>
    <row r="907" spans="3:5" x14ac:dyDescent="0.25">
      <c r="C907" t="s">
        <v>1455</v>
      </c>
      <c r="D907" t="s">
        <v>1456</v>
      </c>
      <c r="E907" t="str">
        <f>HYPERLINK("https://worldwide.espacenet.com/publicationDetails/biblio?II=13&amp;ND=3&amp;adjacent=true&amp;locale=en_EP&amp;FT=D&amp;date=20180518&amp;CC=CN&amp;NR=108053605A&amp;KC=A")</f>
        <v>https://worldwide.espacenet.com/publicationDetails/biblio?II=13&amp;ND=3&amp;adjacent=true&amp;locale=en_EP&amp;FT=D&amp;date=20180518&amp;CC=CN&amp;NR=108053605A&amp;KC=A</v>
      </c>
    </row>
    <row r="908" spans="3:5" x14ac:dyDescent="0.25">
      <c r="C908" t="s">
        <v>1457</v>
      </c>
      <c r="D908" t="s">
        <v>1458</v>
      </c>
      <c r="E908" t="str">
        <f>HYPERLINK("https://worldwide.espacenet.com/publicationDetails/biblio?II=14&amp;ND=3&amp;adjacent=true&amp;locale=en_EP&amp;FT=D&amp;date=20180522&amp;CC=US&amp;NR=9978109B1&amp;KC=B1")</f>
        <v>https://worldwide.espacenet.com/publicationDetails/biblio?II=14&amp;ND=3&amp;adjacent=true&amp;locale=en_EP&amp;FT=D&amp;date=20180522&amp;CC=US&amp;NR=9978109B1&amp;KC=B1</v>
      </c>
    </row>
    <row r="909" spans="3:5" x14ac:dyDescent="0.25">
      <c r="C909" t="s">
        <v>1459</v>
      </c>
      <c r="D909" t="s">
        <v>1460</v>
      </c>
      <c r="E909" t="str">
        <f>HYPERLINK("https://worldwide.espacenet.com/publicationDetails/biblio?II=15&amp;ND=3&amp;adjacent=true&amp;locale=en_EP&amp;FT=D&amp;date=20180511&amp;CC=CN&amp;NR=108021988A&amp;KC=A")</f>
        <v>https://worldwide.espacenet.com/publicationDetails/biblio?II=15&amp;ND=3&amp;adjacent=true&amp;locale=en_EP&amp;FT=D&amp;date=20180511&amp;CC=CN&amp;NR=108021988A&amp;KC=A</v>
      </c>
    </row>
    <row r="910" spans="3:5" x14ac:dyDescent="0.25">
      <c r="C910" t="s">
        <v>1461</v>
      </c>
      <c r="D910" t="s">
        <v>1462</v>
      </c>
      <c r="E910" t="str">
        <f>HYPERLINK("https://worldwide.espacenet.com/publicationDetails/biblio?II=16&amp;ND=3&amp;adjacent=true&amp;locale=en_EP&amp;FT=D&amp;date=20180420&amp;CC=CN&amp;NR=107945353A&amp;KC=A")</f>
        <v>https://worldwide.espacenet.com/publicationDetails/biblio?II=16&amp;ND=3&amp;adjacent=true&amp;locale=en_EP&amp;FT=D&amp;date=20180420&amp;CC=CN&amp;NR=107945353A&amp;KC=A</v>
      </c>
    </row>
    <row r="911" spans="3:5" x14ac:dyDescent="0.25">
      <c r="C911" t="s">
        <v>1463</v>
      </c>
      <c r="D911" t="s">
        <v>1464</v>
      </c>
      <c r="E911" t="str">
        <f>HYPERLINK("https://worldwide.espacenet.com/publicationDetails/biblio?II=17&amp;ND=3&amp;adjacent=true&amp;locale=en_EP&amp;FT=D&amp;date=20180322&amp;CC=KR&amp;NR=101840659B1&amp;KC=B1")</f>
        <v>https://worldwide.espacenet.com/publicationDetails/biblio?II=17&amp;ND=3&amp;adjacent=true&amp;locale=en_EP&amp;FT=D&amp;date=20180322&amp;CC=KR&amp;NR=101840659B1&amp;KC=B1</v>
      </c>
    </row>
    <row r="912" spans="3:5" x14ac:dyDescent="0.25">
      <c r="C912" t="s">
        <v>1465</v>
      </c>
      <c r="D912" t="s">
        <v>1466</v>
      </c>
      <c r="E912" t="str">
        <f>HYPERLINK("https://worldwide.espacenet.com/publicationDetails/biblio?II=18&amp;ND=3&amp;adjacent=true&amp;locale=en_EP&amp;FT=D&amp;date=20180410&amp;CC=CN&amp;NR=207217331U&amp;KC=U")</f>
        <v>https://worldwide.espacenet.com/publicationDetails/biblio?II=18&amp;ND=3&amp;adjacent=true&amp;locale=en_EP&amp;FT=D&amp;date=20180410&amp;CC=CN&amp;NR=207217331U&amp;KC=U</v>
      </c>
    </row>
    <row r="913" spans="3:5" x14ac:dyDescent="0.25">
      <c r="C913" t="s">
        <v>1467</v>
      </c>
      <c r="D913" t="s">
        <v>1468</v>
      </c>
      <c r="E913" t="str">
        <f>HYPERLINK("https://worldwide.espacenet.com/publicationDetails/biblio?II=19&amp;ND=3&amp;adjacent=true&amp;locale=en_EP&amp;FT=D&amp;date=20180403&amp;CC=CN&amp;NR=107872250A&amp;KC=A")</f>
        <v>https://worldwide.espacenet.com/publicationDetails/biblio?II=19&amp;ND=3&amp;adjacent=true&amp;locale=en_EP&amp;FT=D&amp;date=20180403&amp;CC=CN&amp;NR=107872250A&amp;KC=A</v>
      </c>
    </row>
    <row r="914" spans="3:5" x14ac:dyDescent="0.25">
      <c r="C914" t="s">
        <v>1469</v>
      </c>
      <c r="D914" t="s">
        <v>1470</v>
      </c>
      <c r="E914" t="str">
        <f>HYPERLINK("https://worldwide.espacenet.com/publicationDetails/biblio?II=20&amp;ND=3&amp;adjacent=true&amp;locale=en_EP&amp;FT=D&amp;date=20180403&amp;CC=CN&amp;NR=207179804U&amp;KC=U")</f>
        <v>https://worldwide.espacenet.com/publicationDetails/biblio?II=20&amp;ND=3&amp;adjacent=true&amp;locale=en_EP&amp;FT=D&amp;date=20180403&amp;CC=CN&amp;NR=207179804U&amp;KC=U</v>
      </c>
    </row>
    <row r="915" spans="3:5" x14ac:dyDescent="0.25">
      <c r="C915" t="s">
        <v>1471</v>
      </c>
      <c r="D915" t="s">
        <v>1472</v>
      </c>
      <c r="E915" t="str">
        <f>HYPERLINK("https://worldwide.espacenet.com/publicationDetails/biblio?II=21&amp;ND=3&amp;adjacent=true&amp;locale=en_EP&amp;FT=D&amp;date=20180330&amp;CC=CN&amp;NR=207164837U&amp;KC=U")</f>
        <v>https://worldwide.espacenet.com/publicationDetails/biblio?II=21&amp;ND=3&amp;adjacent=true&amp;locale=en_EP&amp;FT=D&amp;date=20180330&amp;CC=CN&amp;NR=207164837U&amp;KC=U</v>
      </c>
    </row>
    <row r="916" spans="3:5" x14ac:dyDescent="0.25">
      <c r="C916" t="s">
        <v>1473</v>
      </c>
      <c r="D916" t="s">
        <v>1474</v>
      </c>
      <c r="E916" t="str">
        <f>HYPERLINK("https://worldwide.espacenet.com/publicationDetails/biblio?II=22&amp;ND=3&amp;adjacent=true&amp;locale=en_EP&amp;FT=D&amp;date=20180329&amp;CC=US&amp;NR=2018088595A1&amp;KC=A1")</f>
        <v>https://worldwide.espacenet.com/publicationDetails/biblio?II=22&amp;ND=3&amp;adjacent=true&amp;locale=en_EP&amp;FT=D&amp;date=20180329&amp;CC=US&amp;NR=2018088595A1&amp;KC=A1</v>
      </c>
    </row>
    <row r="917" spans="3:5" x14ac:dyDescent="0.25">
      <c r="C917" t="s">
        <v>1354</v>
      </c>
      <c r="D917" t="s">
        <v>1389</v>
      </c>
      <c r="E917" t="str">
        <f>HYPERLINK("https://worldwide.espacenet.com/publicationDetails/biblio?II=23&amp;ND=3&amp;adjacent=true&amp;locale=en_EP&amp;FT=D&amp;date=20180327&amp;CC=CN&amp;NR=207139820U&amp;KC=U")</f>
        <v>https://worldwide.espacenet.com/publicationDetails/biblio?II=23&amp;ND=3&amp;adjacent=true&amp;locale=en_EP&amp;FT=D&amp;date=20180327&amp;CC=CN&amp;NR=207139820U&amp;KC=U</v>
      </c>
    </row>
    <row r="918" spans="3:5" x14ac:dyDescent="0.25">
      <c r="C918" t="s">
        <v>1475</v>
      </c>
      <c r="D918" t="s">
        <v>1476</v>
      </c>
      <c r="E918" t="str">
        <f>HYPERLINK("https://worldwide.espacenet.com/publicationDetails/biblio?II=24&amp;ND=3&amp;adjacent=true&amp;locale=en_EP&amp;FT=D&amp;date=20180327&amp;CC=CN&amp;NR=207150668U&amp;KC=U")</f>
        <v>https://worldwide.espacenet.com/publicationDetails/biblio?II=24&amp;ND=3&amp;adjacent=true&amp;locale=en_EP&amp;FT=D&amp;date=20180327&amp;CC=CN&amp;NR=207150668U&amp;KC=U</v>
      </c>
    </row>
    <row r="919" spans="3:5" x14ac:dyDescent="0.25">
      <c r="C919" t="s">
        <v>1477</v>
      </c>
      <c r="D919" t="s">
        <v>1478</v>
      </c>
      <c r="E919" t="str">
        <f>HYPERLINK("https://worldwide.espacenet.com/publicationDetails/biblio?II=25&amp;ND=3&amp;adjacent=true&amp;locale=en_EP&amp;FT=D&amp;date=20180327&amp;CC=CN&amp;NR=107844523A&amp;KC=A")</f>
        <v>https://worldwide.espacenet.com/publicationDetails/biblio?II=25&amp;ND=3&amp;adjacent=true&amp;locale=en_EP&amp;FT=D&amp;date=20180327&amp;CC=CN&amp;NR=107844523A&amp;KC=A</v>
      </c>
    </row>
    <row r="920" spans="3:5" x14ac:dyDescent="0.25">
      <c r="C920" t="s">
        <v>1479</v>
      </c>
      <c r="D920" t="s">
        <v>1480</v>
      </c>
      <c r="E920" t="str">
        <f>HYPERLINK("https://worldwide.espacenet.com/publicationDetails/biblio?II=26&amp;ND=3&amp;adjacent=true&amp;locale=en_EP&amp;FT=D&amp;date=20180320&amp;CC=CN&amp;NR=107819485A&amp;KC=A")</f>
        <v>https://worldwide.espacenet.com/publicationDetails/biblio?II=26&amp;ND=3&amp;adjacent=true&amp;locale=en_EP&amp;FT=D&amp;date=20180320&amp;CC=CN&amp;NR=107819485A&amp;KC=A</v>
      </c>
    </row>
    <row r="921" spans="3:5" x14ac:dyDescent="0.25">
      <c r="C921" t="s">
        <v>1481</v>
      </c>
      <c r="D921" t="s">
        <v>1482</v>
      </c>
      <c r="E921" t="str">
        <f>HYPERLINK("https://worldwide.espacenet.com/publicationDetails/biblio?II=27&amp;ND=3&amp;adjacent=true&amp;locale=en_EP&amp;FT=D&amp;date=20180313&amp;CC=CN&amp;NR=207095649U&amp;KC=U")</f>
        <v>https://worldwide.espacenet.com/publicationDetails/biblio?II=27&amp;ND=3&amp;adjacent=true&amp;locale=en_EP&amp;FT=D&amp;date=20180313&amp;CC=CN&amp;NR=207095649U&amp;KC=U</v>
      </c>
    </row>
    <row r="922" spans="3:5" x14ac:dyDescent="0.25">
      <c r="C922" t="s">
        <v>1483</v>
      </c>
      <c r="D922" t="s">
        <v>1484</v>
      </c>
      <c r="E922" t="str">
        <f>HYPERLINK("https://worldwide.espacenet.com/publicationDetails/biblio?II=28&amp;ND=3&amp;adjacent=true&amp;locale=en_EP&amp;FT=D&amp;date=20180313&amp;CC=CN&amp;NR=107796390A&amp;KC=A")</f>
        <v>https://worldwide.espacenet.com/publicationDetails/biblio?II=28&amp;ND=3&amp;adjacent=true&amp;locale=en_EP&amp;FT=D&amp;date=20180313&amp;CC=CN&amp;NR=107796390A&amp;KC=A</v>
      </c>
    </row>
    <row r="923" spans="3:5" x14ac:dyDescent="0.25">
      <c r="C923" t="s">
        <v>1485</v>
      </c>
      <c r="D923" t="s">
        <v>1486</v>
      </c>
      <c r="E923" t="str">
        <f>HYPERLINK("https://worldwide.espacenet.com/publicationDetails/biblio?II=29&amp;ND=3&amp;adjacent=true&amp;locale=en_EP&amp;FT=D&amp;date=20180206&amp;CC=CN&amp;NR=206977465U&amp;KC=U")</f>
        <v>https://worldwide.espacenet.com/publicationDetails/biblio?II=29&amp;ND=3&amp;adjacent=true&amp;locale=en_EP&amp;FT=D&amp;date=20180206&amp;CC=CN&amp;NR=206977465U&amp;KC=U</v>
      </c>
    </row>
    <row r="924" spans="3:5" x14ac:dyDescent="0.25">
      <c r="C924" t="s">
        <v>1487</v>
      </c>
      <c r="D924" t="s">
        <v>1488</v>
      </c>
      <c r="E924" t="str">
        <f>HYPERLINK("https://worldwide.espacenet.com/publicationDetails/biblio?II=30&amp;ND=3&amp;adjacent=true&amp;locale=en_EP&amp;FT=D&amp;date=20180119&amp;CC=CN&amp;NR=206906519U&amp;KC=U")</f>
        <v>https://worldwide.espacenet.com/publicationDetails/biblio?II=30&amp;ND=3&amp;adjacent=true&amp;locale=en_EP&amp;FT=D&amp;date=20180119&amp;CC=CN&amp;NR=206906519U&amp;KC=U</v>
      </c>
    </row>
    <row r="925" spans="3:5" x14ac:dyDescent="0.25">
      <c r="C925" t="s">
        <v>1489</v>
      </c>
      <c r="D925" t="s">
        <v>1490</v>
      </c>
      <c r="E925" t="str">
        <f>HYPERLINK("https://worldwide.espacenet.com/publicationDetails/biblio?II=31&amp;ND=3&amp;adjacent=true&amp;locale=en_EP&amp;FT=D&amp;date=20180212&amp;CC=KR&amp;NR=20180014910A&amp;KC=A")</f>
        <v>https://worldwide.espacenet.com/publicationDetails/biblio?II=31&amp;ND=3&amp;adjacent=true&amp;locale=en_EP&amp;FT=D&amp;date=20180212&amp;CC=KR&amp;NR=20180014910A&amp;KC=A</v>
      </c>
    </row>
    <row r="926" spans="3:5" x14ac:dyDescent="0.25">
      <c r="C926" t="s">
        <v>1491</v>
      </c>
      <c r="D926" t="s">
        <v>1492</v>
      </c>
      <c r="E926" t="str">
        <f>HYPERLINK("https://worldwide.espacenet.com/publicationDetails/biblio?II=32&amp;ND=3&amp;adjacent=true&amp;locale=en_EP&amp;FT=D&amp;date=20180209&amp;CC=CN&amp;NR=107682818A&amp;KC=A")</f>
        <v>https://worldwide.espacenet.com/publicationDetails/biblio?II=32&amp;ND=3&amp;adjacent=true&amp;locale=en_EP&amp;FT=D&amp;date=20180209&amp;CC=CN&amp;NR=107682818A&amp;KC=A</v>
      </c>
    </row>
    <row r="927" spans="3:5" x14ac:dyDescent="0.25">
      <c r="C927" t="s">
        <v>1493</v>
      </c>
      <c r="D927" t="s">
        <v>1494</v>
      </c>
      <c r="E927" t="str">
        <f>HYPERLINK("https://worldwide.espacenet.com/publicationDetails/biblio?II=33&amp;ND=3&amp;adjacent=true&amp;locale=en_EP&amp;FT=D&amp;date=20180209&amp;CC=CN&amp;NR=107682814A&amp;KC=A")</f>
        <v>https://worldwide.espacenet.com/publicationDetails/biblio?II=33&amp;ND=3&amp;adjacent=true&amp;locale=en_EP&amp;FT=D&amp;date=20180209&amp;CC=CN&amp;NR=107682814A&amp;KC=A</v>
      </c>
    </row>
    <row r="928" spans="3:5" x14ac:dyDescent="0.25">
      <c r="C928" t="s">
        <v>1495</v>
      </c>
      <c r="D928" t="s">
        <v>1496</v>
      </c>
      <c r="E928" t="str">
        <f>HYPERLINK("https://worldwide.espacenet.com/publicationDetails/biblio?II=34&amp;ND=3&amp;adjacent=true&amp;locale=en_EP&amp;FT=D&amp;date=20180119&amp;CC=CN&amp;NR=107610000A&amp;KC=A")</f>
        <v>https://worldwide.espacenet.com/publicationDetails/biblio?II=34&amp;ND=3&amp;adjacent=true&amp;locale=en_EP&amp;FT=D&amp;date=20180119&amp;CC=CN&amp;NR=107610000A&amp;KC=A</v>
      </c>
    </row>
    <row r="929" spans="3:5" x14ac:dyDescent="0.25">
      <c r="C929" t="s">
        <v>1497</v>
      </c>
      <c r="D929" t="s">
        <v>1498</v>
      </c>
      <c r="E929" t="str">
        <f>HYPERLINK("https://worldwide.espacenet.com/publicationDetails/biblio?II=35&amp;ND=3&amp;adjacent=true&amp;locale=en_EP&amp;FT=D&amp;date=20180119&amp;CC=CN&amp;NR=107613174A&amp;KC=A")</f>
        <v>https://worldwide.espacenet.com/publicationDetails/biblio?II=35&amp;ND=3&amp;adjacent=true&amp;locale=en_EP&amp;FT=D&amp;date=20180119&amp;CC=CN&amp;NR=107613174A&amp;KC=A</v>
      </c>
    </row>
    <row r="930" spans="3:5" x14ac:dyDescent="0.25">
      <c r="C930" t="s">
        <v>1499</v>
      </c>
      <c r="D930" t="s">
        <v>1500</v>
      </c>
      <c r="E930" t="str">
        <f>HYPERLINK("https://worldwide.espacenet.com/publicationDetails/biblio?II=36&amp;ND=3&amp;adjacent=true&amp;locale=en_EP&amp;FT=D&amp;date=20180116&amp;CC=KR&amp;NR=20180005400A&amp;KC=A")</f>
        <v>https://worldwide.espacenet.com/publicationDetails/biblio?II=36&amp;ND=3&amp;adjacent=true&amp;locale=en_EP&amp;FT=D&amp;date=20180116&amp;CC=KR&amp;NR=20180005400A&amp;KC=A</v>
      </c>
    </row>
    <row r="931" spans="3:5" x14ac:dyDescent="0.25">
      <c r="C931" t="s">
        <v>1501</v>
      </c>
      <c r="D931" t="s">
        <v>1502</v>
      </c>
      <c r="E931" t="str">
        <f>HYPERLINK("https://worldwide.espacenet.com/publicationDetails/biblio?II=37&amp;ND=3&amp;adjacent=true&amp;locale=en_EP&amp;FT=D&amp;date=20180109&amp;CC=CN&amp;NR=107564126A&amp;KC=A")</f>
        <v>https://worldwide.espacenet.com/publicationDetails/biblio?II=37&amp;ND=3&amp;adjacent=true&amp;locale=en_EP&amp;FT=D&amp;date=20180109&amp;CC=CN&amp;NR=107564126A&amp;KC=A</v>
      </c>
    </row>
    <row r="932" spans="3:5" x14ac:dyDescent="0.25">
      <c r="C932" t="s">
        <v>1503</v>
      </c>
      <c r="D932" t="s">
        <v>1504</v>
      </c>
      <c r="E932" t="str">
        <f>HYPERLINK("https://worldwide.espacenet.com/publicationDetails/biblio?II=38&amp;ND=3&amp;adjacent=true&amp;locale=en_EP&amp;FT=D&amp;date=20180109&amp;CC=CN&amp;NR=107566459A&amp;KC=A")</f>
        <v>https://worldwide.espacenet.com/publicationDetails/biblio?II=38&amp;ND=3&amp;adjacent=true&amp;locale=en_EP&amp;FT=D&amp;date=20180109&amp;CC=CN&amp;NR=107566459A&amp;KC=A</v>
      </c>
    </row>
    <row r="933" spans="3:5" x14ac:dyDescent="0.25">
      <c r="C933" t="s">
        <v>1505</v>
      </c>
      <c r="D933" t="s">
        <v>1506</v>
      </c>
      <c r="E933" t="str">
        <f>HYPERLINK("https://worldwide.espacenet.com/publicationDetails/biblio?II=39&amp;ND=3&amp;adjacent=true&amp;locale=en_EP&amp;FT=D&amp;date=20180111&amp;CC=JP&amp;NR=2018005482A&amp;KC=A")</f>
        <v>https://worldwide.espacenet.com/publicationDetails/biblio?II=39&amp;ND=3&amp;adjacent=true&amp;locale=en_EP&amp;FT=D&amp;date=20180111&amp;CC=JP&amp;NR=2018005482A&amp;KC=A</v>
      </c>
    </row>
    <row r="934" spans="3:5" x14ac:dyDescent="0.25">
      <c r="C934" t="s">
        <v>1507</v>
      </c>
      <c r="D934" t="s">
        <v>1508</v>
      </c>
      <c r="E934" t="str">
        <f>HYPERLINK("https://worldwide.espacenet.com/publicationDetails/biblio?II=40&amp;ND=3&amp;adjacent=true&amp;locale=en_EP&amp;FT=D&amp;date=20171211&amp;CC=KR&amp;NR=20170136390A&amp;KC=A")</f>
        <v>https://worldwide.espacenet.com/publicationDetails/biblio?II=40&amp;ND=3&amp;adjacent=true&amp;locale=en_EP&amp;FT=D&amp;date=20171211&amp;CC=KR&amp;NR=20170136390A&amp;KC=A</v>
      </c>
    </row>
    <row r="935" spans="3:5" x14ac:dyDescent="0.25">
      <c r="C935" t="s">
        <v>1509</v>
      </c>
      <c r="D935" t="s">
        <v>1510</v>
      </c>
      <c r="E935" t="str">
        <f>HYPERLINK("https://worldwide.espacenet.com/publicationDetails/biblio?II=41&amp;ND=3&amp;adjacent=true&amp;locale=en_EP&amp;FT=D&amp;date=20171226&amp;CC=CN&amp;NR=206807488U&amp;KC=U")</f>
        <v>https://worldwide.espacenet.com/publicationDetails/biblio?II=41&amp;ND=3&amp;adjacent=true&amp;locale=en_EP&amp;FT=D&amp;date=20171226&amp;CC=CN&amp;NR=206807488U&amp;KC=U</v>
      </c>
    </row>
    <row r="936" spans="3:5" x14ac:dyDescent="0.25">
      <c r="C936" t="s">
        <v>1511</v>
      </c>
      <c r="D936" t="s">
        <v>1512</v>
      </c>
      <c r="E936" t="str">
        <f>HYPERLINK("https://worldwide.espacenet.com/publicationDetails/biblio?II=42&amp;ND=3&amp;adjacent=true&amp;locale=en_EP&amp;FT=D&amp;date=20171226&amp;CC=CN&amp;NR=107516381A&amp;KC=A")</f>
        <v>https://worldwide.espacenet.com/publicationDetails/biblio?II=42&amp;ND=3&amp;adjacent=true&amp;locale=en_EP&amp;FT=D&amp;date=20171226&amp;CC=CN&amp;NR=107516381A&amp;KC=A</v>
      </c>
    </row>
    <row r="937" spans="3:5" x14ac:dyDescent="0.25">
      <c r="C937" t="s">
        <v>1513</v>
      </c>
      <c r="D937" t="s">
        <v>1514</v>
      </c>
      <c r="E937" t="str">
        <f>HYPERLINK("https://worldwide.espacenet.com/publicationDetails/biblio?II=43&amp;ND=3&amp;adjacent=true&amp;locale=en_EP&amp;FT=D&amp;date=20171222&amp;CC=CN&amp;NR=107506838A&amp;KC=A")</f>
        <v>https://worldwide.espacenet.com/publicationDetails/biblio?II=43&amp;ND=3&amp;adjacent=true&amp;locale=en_EP&amp;FT=D&amp;date=20171222&amp;CC=CN&amp;NR=107506838A&amp;KC=A</v>
      </c>
    </row>
    <row r="938" spans="3:5" x14ac:dyDescent="0.25">
      <c r="C938" t="s">
        <v>1515</v>
      </c>
      <c r="D938" t="s">
        <v>1516</v>
      </c>
      <c r="E938" t="str">
        <f>HYPERLINK("https://worldwide.espacenet.com/publicationDetails/biblio?II=44&amp;ND=3&amp;adjacent=true&amp;locale=en_EP&amp;FT=D&amp;date=20140401&amp;CC=TW&amp;NR=M475649U&amp;KC=U")</f>
        <v>https://worldwide.espacenet.com/publicationDetails/biblio?II=44&amp;ND=3&amp;adjacent=true&amp;locale=en_EP&amp;FT=D&amp;date=20140401&amp;CC=TW&amp;NR=M475649U&amp;KC=U</v>
      </c>
    </row>
    <row r="939" spans="3:5" x14ac:dyDescent="0.25">
      <c r="C939" t="s">
        <v>1517</v>
      </c>
      <c r="D939" t="s">
        <v>1518</v>
      </c>
      <c r="E939" t="str">
        <f>HYPERLINK("https://worldwide.espacenet.com/publicationDetails/biblio?II=45&amp;ND=3&amp;adjacent=true&amp;locale=en_EP&amp;FT=D&amp;date=20171215&amp;CC=CN&amp;NR=107481348A&amp;KC=A")</f>
        <v>https://worldwide.espacenet.com/publicationDetails/biblio?II=45&amp;ND=3&amp;adjacent=true&amp;locale=en_EP&amp;FT=D&amp;date=20171215&amp;CC=CN&amp;NR=107481348A&amp;KC=A</v>
      </c>
    </row>
    <row r="940" spans="3:5" x14ac:dyDescent="0.25">
      <c r="C940" t="s">
        <v>1519</v>
      </c>
      <c r="D940" t="s">
        <v>1520</v>
      </c>
      <c r="E940" t="str">
        <f>HYPERLINK("https://worldwide.espacenet.com/publicationDetails/biblio?II=46&amp;ND=3&amp;adjacent=true&amp;locale=en_EP&amp;FT=D&amp;date=20171215&amp;CC=CN&amp;NR=107484120A&amp;KC=A")</f>
        <v>https://worldwide.espacenet.com/publicationDetails/biblio?II=46&amp;ND=3&amp;adjacent=true&amp;locale=en_EP&amp;FT=D&amp;date=20171215&amp;CC=CN&amp;NR=107484120A&amp;KC=A</v>
      </c>
    </row>
    <row r="941" spans="3:5" x14ac:dyDescent="0.25">
      <c r="C941" t="s">
        <v>1521</v>
      </c>
      <c r="D941" t="s">
        <v>1522</v>
      </c>
      <c r="E941" t="str">
        <f>HYPERLINK("https://worldwide.espacenet.com/publicationDetails/biblio?II=47&amp;ND=3&amp;adjacent=true&amp;locale=en_EP&amp;FT=D&amp;date=20171208&amp;CC=CN&amp;NR=107451276A&amp;KC=A")</f>
        <v>https://worldwide.espacenet.com/publicationDetails/biblio?II=47&amp;ND=3&amp;adjacent=true&amp;locale=en_EP&amp;FT=D&amp;date=20171208&amp;CC=CN&amp;NR=107451276A&amp;KC=A</v>
      </c>
    </row>
    <row r="942" spans="3:5" x14ac:dyDescent="0.25">
      <c r="C942" t="s">
        <v>1523</v>
      </c>
      <c r="D942" t="s">
        <v>1524</v>
      </c>
      <c r="E942" t="str">
        <f>HYPERLINK("https://worldwide.espacenet.com/publicationDetails/biblio?II=48&amp;ND=3&amp;adjacent=true&amp;locale=en_EP&amp;FT=D&amp;date=20171205&amp;CC=CN&amp;NR=206712972U&amp;KC=U")</f>
        <v>https://worldwide.espacenet.com/publicationDetails/biblio?II=48&amp;ND=3&amp;adjacent=true&amp;locale=en_EP&amp;FT=D&amp;date=20171205&amp;CC=CN&amp;NR=206712972U&amp;KC=U</v>
      </c>
    </row>
    <row r="943" spans="3:5" x14ac:dyDescent="0.25">
      <c r="C943" t="s">
        <v>1525</v>
      </c>
      <c r="D943" t="s">
        <v>1526</v>
      </c>
      <c r="E943" t="str">
        <f>HYPERLINK("https://worldwide.espacenet.com/publicationDetails/biblio?II=49&amp;ND=3&amp;adjacent=true&amp;locale=en_EP&amp;FT=D&amp;date=20171205&amp;CC=CN&amp;NR=107437393A&amp;KC=A")</f>
        <v>https://worldwide.espacenet.com/publicationDetails/biblio?II=49&amp;ND=3&amp;adjacent=true&amp;locale=en_EP&amp;FT=D&amp;date=20171205&amp;CC=CN&amp;NR=107437393A&amp;KC=A</v>
      </c>
    </row>
    <row r="944" spans="3:5" x14ac:dyDescent="0.25">
      <c r="C944" t="s">
        <v>1449</v>
      </c>
      <c r="D944" t="s">
        <v>1527</v>
      </c>
      <c r="E944" t="str">
        <f>HYPERLINK("https://worldwide.espacenet.com/publicationDetails/biblio?II=50&amp;ND=3&amp;adjacent=true&amp;locale=en_EP&amp;FT=D&amp;date=20171130&amp;CC=US&amp;NR=2017342878A1&amp;KC=A1")</f>
        <v>https://worldwide.espacenet.com/publicationDetails/biblio?II=50&amp;ND=3&amp;adjacent=true&amp;locale=en_EP&amp;FT=D&amp;date=20171130&amp;CC=US&amp;NR=2017342878A1&amp;KC=A1</v>
      </c>
    </row>
    <row r="945" spans="3:5" x14ac:dyDescent="0.25">
      <c r="C945" t="s">
        <v>1528</v>
      </c>
      <c r="D945" t="s">
        <v>1529</v>
      </c>
      <c r="E945" t="str">
        <f>HYPERLINK("https://worldwide.espacenet.com/publicationDetails/biblio?II=51&amp;ND=3&amp;adjacent=true&amp;locale=en_EP&amp;FT=D&amp;date=20171124&amp;CC=CN&amp;NR=206674101U&amp;KC=U")</f>
        <v>https://worldwide.espacenet.com/publicationDetails/biblio?II=51&amp;ND=3&amp;adjacent=true&amp;locale=en_EP&amp;FT=D&amp;date=20171124&amp;CC=CN&amp;NR=206674101U&amp;KC=U</v>
      </c>
    </row>
    <row r="946" spans="3:5" x14ac:dyDescent="0.25">
      <c r="C946" t="s">
        <v>1530</v>
      </c>
      <c r="D946" t="s">
        <v>1531</v>
      </c>
      <c r="E946" t="str">
        <f>HYPERLINK("https://worldwide.espacenet.com/publicationDetails/biblio?II=52&amp;ND=3&amp;adjacent=true&amp;locale=en_EP&amp;FT=D&amp;date=20171124&amp;CC=CN&amp;NR=107391706A&amp;KC=A")</f>
        <v>https://worldwide.espacenet.com/publicationDetails/biblio?II=52&amp;ND=3&amp;adjacent=true&amp;locale=en_EP&amp;FT=D&amp;date=20171124&amp;CC=CN&amp;NR=107391706A&amp;KC=A</v>
      </c>
    </row>
    <row r="947" spans="3:5" x14ac:dyDescent="0.25">
      <c r="C947" t="s">
        <v>1532</v>
      </c>
      <c r="D947" t="s">
        <v>1533</v>
      </c>
      <c r="E947" t="str">
        <f>HYPERLINK("https://worldwide.espacenet.com/publicationDetails/biblio?II=53&amp;ND=3&amp;adjacent=true&amp;locale=en_EP&amp;FT=D&amp;date=20171121&amp;CC=CN&amp;NR=107368288A&amp;KC=A")</f>
        <v>https://worldwide.espacenet.com/publicationDetails/biblio?II=53&amp;ND=3&amp;adjacent=true&amp;locale=en_EP&amp;FT=D&amp;date=20171121&amp;CC=CN&amp;NR=107368288A&amp;KC=A</v>
      </c>
    </row>
    <row r="948" spans="3:5" x14ac:dyDescent="0.25">
      <c r="C948" t="s">
        <v>1534</v>
      </c>
      <c r="D948" t="s">
        <v>1535</v>
      </c>
      <c r="E948" t="str">
        <f>HYPERLINK("https://worldwide.espacenet.com/publicationDetails/biblio?II=54&amp;ND=3&amp;adjacent=true&amp;locale=en_EP&amp;FT=D&amp;date=20171121&amp;CC=CN&amp;NR=107368083A&amp;KC=A")</f>
        <v>https://worldwide.espacenet.com/publicationDetails/biblio?II=54&amp;ND=3&amp;adjacent=true&amp;locale=en_EP&amp;FT=D&amp;date=20171121&amp;CC=CN&amp;NR=107368083A&amp;KC=A</v>
      </c>
    </row>
    <row r="949" spans="3:5" x14ac:dyDescent="0.25">
      <c r="C949" t="s">
        <v>1536</v>
      </c>
      <c r="D949" t="s">
        <v>1537</v>
      </c>
      <c r="E949" t="str">
        <f>HYPERLINK("https://worldwide.espacenet.com/publicationDetails/biblio?II=55&amp;ND=3&amp;adjacent=true&amp;locale=en_EP&amp;FT=D&amp;date=20171107&amp;CC=CN&amp;NR=107332306A&amp;KC=A")</f>
        <v>https://worldwide.espacenet.com/publicationDetails/biblio?II=55&amp;ND=3&amp;adjacent=true&amp;locale=en_EP&amp;FT=D&amp;date=20171107&amp;CC=CN&amp;NR=107332306A&amp;KC=A</v>
      </c>
    </row>
    <row r="950" spans="3:5" x14ac:dyDescent="0.25">
      <c r="C950" t="s">
        <v>1538</v>
      </c>
      <c r="D950" t="s">
        <v>1539</v>
      </c>
      <c r="E950" t="str">
        <f>HYPERLINK("https://worldwide.espacenet.com/publicationDetails/biblio?II=56&amp;ND=3&amp;adjacent=true&amp;locale=en_EP&amp;FT=D&amp;date=20171107&amp;CC=CN&amp;NR=107331063A&amp;KC=A")</f>
        <v>https://worldwide.espacenet.com/publicationDetails/biblio?II=56&amp;ND=3&amp;adjacent=true&amp;locale=en_EP&amp;FT=D&amp;date=20171107&amp;CC=CN&amp;NR=107331063A&amp;KC=A</v>
      </c>
    </row>
    <row r="951" spans="3:5" x14ac:dyDescent="0.25">
      <c r="C951" t="s">
        <v>1540</v>
      </c>
      <c r="D951" t="s">
        <v>1541</v>
      </c>
      <c r="E951" t="str">
        <f>HYPERLINK("https://worldwide.espacenet.com/publicationDetails/biblio?II=57&amp;ND=3&amp;adjacent=true&amp;locale=en_EP&amp;FT=D&amp;date=20171107&amp;CC=CN&amp;NR=107330673A&amp;KC=A")</f>
        <v>https://worldwide.espacenet.com/publicationDetails/biblio?II=57&amp;ND=3&amp;adjacent=true&amp;locale=en_EP&amp;FT=D&amp;date=20171107&amp;CC=CN&amp;NR=107330673A&amp;KC=A</v>
      </c>
    </row>
    <row r="952" spans="3:5" x14ac:dyDescent="0.25">
      <c r="C952" t="s">
        <v>1542</v>
      </c>
      <c r="D952" t="s">
        <v>1543</v>
      </c>
      <c r="E952" t="str">
        <f>HYPERLINK("https://worldwide.espacenet.com/publicationDetails/biblio?II=58&amp;ND=3&amp;adjacent=true&amp;locale=en_EP&amp;FT=D&amp;date=20170801&amp;CC=TW&amp;NR=201727563A&amp;KC=A")</f>
        <v>https://worldwide.espacenet.com/publicationDetails/biblio?II=58&amp;ND=3&amp;adjacent=true&amp;locale=en_EP&amp;FT=D&amp;date=20170801&amp;CC=TW&amp;NR=201727563A&amp;KC=A</v>
      </c>
    </row>
    <row r="953" spans="3:5" x14ac:dyDescent="0.25">
      <c r="C953" t="s">
        <v>1544</v>
      </c>
      <c r="D953" t="s">
        <v>1545</v>
      </c>
      <c r="E953" t="str">
        <f>HYPERLINK("https://worldwide.espacenet.com/publicationDetails/biblio?II=59&amp;ND=3&amp;adjacent=true&amp;locale=en_EP&amp;FT=D&amp;date=20171027&amp;CC=CN&amp;NR=107301591A&amp;KC=A")</f>
        <v>https://worldwide.espacenet.com/publicationDetails/biblio?II=59&amp;ND=3&amp;adjacent=true&amp;locale=en_EP&amp;FT=D&amp;date=20171027&amp;CC=CN&amp;NR=107301591A&amp;KC=A</v>
      </c>
    </row>
    <row r="954" spans="3:5" x14ac:dyDescent="0.25">
      <c r="C954" t="s">
        <v>1546</v>
      </c>
      <c r="D954" t="s">
        <v>1547</v>
      </c>
      <c r="E954" t="str">
        <f>HYPERLINK("https://worldwide.espacenet.com/publicationDetails/biblio?II=60&amp;ND=3&amp;adjacent=true&amp;locale=en_EP&amp;FT=D&amp;date=20171024&amp;CC=CN&amp;NR=206585256U&amp;KC=U")</f>
        <v>https://worldwide.espacenet.com/publicationDetails/biblio?II=60&amp;ND=3&amp;adjacent=true&amp;locale=en_EP&amp;FT=D&amp;date=20171024&amp;CC=CN&amp;NR=206585256U&amp;KC=U</v>
      </c>
    </row>
    <row r="955" spans="3:5" x14ac:dyDescent="0.25">
      <c r="C955" t="s">
        <v>1548</v>
      </c>
      <c r="D955" t="s">
        <v>1549</v>
      </c>
      <c r="E955" t="str">
        <f>HYPERLINK("https://worldwide.espacenet.com/publicationDetails/biblio?II=61&amp;ND=3&amp;adjacent=true&amp;locale=en_EP&amp;FT=D&amp;date=20170926&amp;CC=KR&amp;NR=20170107865A&amp;KC=A")</f>
        <v>https://worldwide.espacenet.com/publicationDetails/biblio?II=61&amp;ND=3&amp;adjacent=true&amp;locale=en_EP&amp;FT=D&amp;date=20170926&amp;CC=KR&amp;NR=20170107865A&amp;KC=A</v>
      </c>
    </row>
    <row r="956" spans="3:5" x14ac:dyDescent="0.25">
      <c r="C956" t="s">
        <v>1550</v>
      </c>
      <c r="D956" t="s">
        <v>1551</v>
      </c>
      <c r="E956" t="str">
        <f>HYPERLINK("https://worldwide.espacenet.com/publicationDetails/biblio?II=62&amp;ND=3&amp;adjacent=true&amp;locale=en_EP&amp;FT=D&amp;date=20171013&amp;CC=CN&amp;NR=107248121A&amp;KC=A")</f>
        <v>https://worldwide.espacenet.com/publicationDetails/biblio?II=62&amp;ND=3&amp;adjacent=true&amp;locale=en_EP&amp;FT=D&amp;date=20171013&amp;CC=CN&amp;NR=107248121A&amp;KC=A</v>
      </c>
    </row>
    <row r="957" spans="3:5" x14ac:dyDescent="0.25">
      <c r="C957" t="s">
        <v>1552</v>
      </c>
      <c r="D957" t="s">
        <v>1553</v>
      </c>
      <c r="E957" t="str">
        <f>HYPERLINK("https://worldwide.espacenet.com/publicationDetails/biblio?II=63&amp;ND=3&amp;adjacent=true&amp;locale=en_EP&amp;FT=D&amp;date=20170929&amp;CC=CN&amp;NR=107215348A&amp;KC=A")</f>
        <v>https://worldwide.espacenet.com/publicationDetails/biblio?II=63&amp;ND=3&amp;adjacent=true&amp;locale=en_EP&amp;FT=D&amp;date=20170929&amp;CC=CN&amp;NR=107215348A&amp;KC=A</v>
      </c>
    </row>
    <row r="958" spans="3:5" x14ac:dyDescent="0.25">
      <c r="C958" t="s">
        <v>1554</v>
      </c>
      <c r="D958" t="s">
        <v>1555</v>
      </c>
      <c r="E958" t="str">
        <f>HYPERLINK("https://worldwide.espacenet.com/publicationDetails/biblio?II=64&amp;ND=3&amp;adjacent=true&amp;locale=en_EP&amp;FT=D&amp;date=20170922&amp;CC=CN&amp;NR=107192385A&amp;KC=A")</f>
        <v>https://worldwide.espacenet.com/publicationDetails/biblio?II=64&amp;ND=3&amp;adjacent=true&amp;locale=en_EP&amp;FT=D&amp;date=20170922&amp;CC=CN&amp;NR=107192385A&amp;KC=A</v>
      </c>
    </row>
    <row r="959" spans="3:5" x14ac:dyDescent="0.25">
      <c r="C959" t="s">
        <v>1556</v>
      </c>
      <c r="D959" t="s">
        <v>1557</v>
      </c>
      <c r="E959" t="str">
        <f>HYPERLINK("https://worldwide.espacenet.com/publicationDetails/biblio?II=65&amp;ND=3&amp;adjacent=true&amp;locale=en_EP&amp;FT=D&amp;date=20170919&amp;CC=CN&amp;NR=206506327U&amp;KC=U")</f>
        <v>https://worldwide.espacenet.com/publicationDetails/biblio?II=65&amp;ND=3&amp;adjacent=true&amp;locale=en_EP&amp;FT=D&amp;date=20170919&amp;CC=CN&amp;NR=206506327U&amp;KC=U</v>
      </c>
    </row>
    <row r="960" spans="3:5" x14ac:dyDescent="0.25">
      <c r="C960" t="s">
        <v>1558</v>
      </c>
      <c r="D960" t="s">
        <v>1559</v>
      </c>
      <c r="E960" t="str">
        <f>HYPERLINK("https://worldwide.espacenet.com/publicationDetails/biblio?II=66&amp;ND=3&amp;adjacent=true&amp;locale=en_EP&amp;FT=D&amp;date=20170901&amp;CC=CN&amp;NR=107122846A&amp;KC=A")</f>
        <v>https://worldwide.espacenet.com/publicationDetails/biblio?II=66&amp;ND=3&amp;adjacent=true&amp;locale=en_EP&amp;FT=D&amp;date=20170901&amp;CC=CN&amp;NR=107122846A&amp;KC=A</v>
      </c>
    </row>
    <row r="961" spans="3:5" x14ac:dyDescent="0.25">
      <c r="C961" t="s">
        <v>1560</v>
      </c>
      <c r="D961" t="s">
        <v>1561</v>
      </c>
      <c r="E961" t="str">
        <f>HYPERLINK("https://worldwide.espacenet.com/publicationDetails/biblio?II=67&amp;ND=3&amp;adjacent=true&amp;locale=en_EP&amp;FT=D&amp;date=20170811&amp;CC=KR&amp;NR=20170092505A&amp;KC=A")</f>
        <v>https://worldwide.espacenet.com/publicationDetails/biblio?II=67&amp;ND=3&amp;adjacent=true&amp;locale=en_EP&amp;FT=D&amp;date=20170811&amp;CC=KR&amp;NR=20170092505A&amp;KC=A</v>
      </c>
    </row>
    <row r="962" spans="3:5" x14ac:dyDescent="0.25">
      <c r="C962" t="s">
        <v>1562</v>
      </c>
      <c r="D962" t="s">
        <v>1563</v>
      </c>
      <c r="E962" t="str">
        <f>HYPERLINK("https://worldwide.espacenet.com/publicationDetails/biblio?II=68&amp;ND=3&amp;adjacent=true&amp;locale=en_EP&amp;FT=D&amp;date=20170824&amp;CC=US&amp;NR=2017243311A1&amp;KC=A1")</f>
        <v>https://worldwide.espacenet.com/publicationDetails/biblio?II=68&amp;ND=3&amp;adjacent=true&amp;locale=en_EP&amp;FT=D&amp;date=20170824&amp;CC=US&amp;NR=2017243311A1&amp;KC=A1</v>
      </c>
    </row>
    <row r="963" spans="3:5" x14ac:dyDescent="0.25">
      <c r="C963" t="s">
        <v>1564</v>
      </c>
      <c r="D963" t="s">
        <v>1565</v>
      </c>
      <c r="E963" t="str">
        <f>HYPERLINK("https://worldwide.espacenet.com/publicationDetails/biblio?II=69&amp;ND=3&amp;adjacent=true&amp;locale=en_EP&amp;FT=D&amp;date=20170822&amp;CC=CN&amp;NR=107085915A&amp;KC=A")</f>
        <v>https://worldwide.espacenet.com/publicationDetails/biblio?II=69&amp;ND=3&amp;adjacent=true&amp;locale=en_EP&amp;FT=D&amp;date=20170822&amp;CC=CN&amp;NR=107085915A&amp;KC=A</v>
      </c>
    </row>
    <row r="964" spans="3:5" x14ac:dyDescent="0.25">
      <c r="C964" t="s">
        <v>1566</v>
      </c>
      <c r="D964" t="s">
        <v>1567</v>
      </c>
      <c r="E964" t="str">
        <f>HYPERLINK("https://worldwide.espacenet.com/publicationDetails/biblio?II=70&amp;ND=3&amp;adjacent=true&amp;locale=en_EP&amp;FT=D&amp;date=20170822&amp;CC=CN&amp;NR=107085170A&amp;KC=A")</f>
        <v>https://worldwide.espacenet.com/publicationDetails/biblio?II=70&amp;ND=3&amp;adjacent=true&amp;locale=en_EP&amp;FT=D&amp;date=20170822&amp;CC=CN&amp;NR=107085170A&amp;KC=A</v>
      </c>
    </row>
    <row r="965" spans="3:5" x14ac:dyDescent="0.25">
      <c r="C965" t="s">
        <v>1568</v>
      </c>
      <c r="D965" t="s">
        <v>1569</v>
      </c>
      <c r="E965" t="str">
        <f>HYPERLINK("https://worldwide.espacenet.com/publicationDetails/biblio?II=71&amp;ND=3&amp;adjacent=true&amp;locale=en_EP&amp;FT=D&amp;date=20170818&amp;CC=CN&amp;NR=107079235A&amp;KC=A")</f>
        <v>https://worldwide.espacenet.com/publicationDetails/biblio?II=71&amp;ND=3&amp;adjacent=true&amp;locale=en_EP&amp;FT=D&amp;date=20170818&amp;CC=CN&amp;NR=107079235A&amp;KC=A</v>
      </c>
    </row>
    <row r="966" spans="3:5" x14ac:dyDescent="0.25">
      <c r="C966" t="s">
        <v>1570</v>
      </c>
      <c r="D966" t="s">
        <v>1571</v>
      </c>
      <c r="E966" t="str">
        <f>HYPERLINK("https://worldwide.espacenet.com/publicationDetails/biblio?II=72&amp;ND=3&amp;adjacent=true&amp;locale=en_EP&amp;FT=D&amp;date=20170818&amp;CC=CN&amp;NR=107066622A&amp;KC=A")</f>
        <v>https://worldwide.espacenet.com/publicationDetails/biblio?II=72&amp;ND=3&amp;adjacent=true&amp;locale=en_EP&amp;FT=D&amp;date=20170818&amp;CC=CN&amp;NR=107066622A&amp;KC=A</v>
      </c>
    </row>
    <row r="967" spans="3:5" x14ac:dyDescent="0.25">
      <c r="C967" t="s">
        <v>1572</v>
      </c>
      <c r="D967" t="s">
        <v>1573</v>
      </c>
      <c r="E967" t="str">
        <f>HYPERLINK("https://worldwide.espacenet.com/publicationDetails/biblio?II=73&amp;ND=3&amp;adjacent=true&amp;locale=en_EP&amp;FT=D&amp;date=20170817&amp;CC=WO&amp;NR=2017139379A1&amp;KC=A1")</f>
        <v>https://worldwide.espacenet.com/publicationDetails/biblio?II=73&amp;ND=3&amp;adjacent=true&amp;locale=en_EP&amp;FT=D&amp;date=20170817&amp;CC=WO&amp;NR=2017139379A1&amp;KC=A1</v>
      </c>
    </row>
    <row r="968" spans="3:5" x14ac:dyDescent="0.25">
      <c r="C968" t="s">
        <v>1574</v>
      </c>
      <c r="D968" t="s">
        <v>1575</v>
      </c>
      <c r="E968" t="str">
        <f>HYPERLINK("https://worldwide.espacenet.com/publicationDetails/biblio?II=74&amp;ND=3&amp;adjacent=true&amp;locale=en_EP&amp;FT=D&amp;date=20170811&amp;CC=CN&amp;NR=107037773A&amp;KC=A")</f>
        <v>https://worldwide.espacenet.com/publicationDetails/biblio?II=74&amp;ND=3&amp;adjacent=true&amp;locale=en_EP&amp;FT=D&amp;date=20170811&amp;CC=CN&amp;NR=107037773A&amp;KC=A</v>
      </c>
    </row>
    <row r="969" spans="3:5" x14ac:dyDescent="0.25">
      <c r="C969" t="s">
        <v>1576</v>
      </c>
      <c r="D969" t="s">
        <v>1577</v>
      </c>
      <c r="E969" t="str">
        <f>HYPERLINK("https://worldwide.espacenet.com/publicationDetails/biblio?II=75&amp;ND=3&amp;adjacent=true&amp;locale=en_EP&amp;FT=D&amp;date=20170718&amp;CC=CN&amp;NR=106960576A&amp;KC=A")</f>
        <v>https://worldwide.espacenet.com/publicationDetails/biblio?II=75&amp;ND=3&amp;adjacent=true&amp;locale=en_EP&amp;FT=D&amp;date=20170718&amp;CC=CN&amp;NR=106960576A&amp;KC=A</v>
      </c>
    </row>
    <row r="970" spans="3:5" x14ac:dyDescent="0.25">
      <c r="C970" t="s">
        <v>1372</v>
      </c>
      <c r="D970" t="s">
        <v>1373</v>
      </c>
      <c r="E970" t="str">
        <f>HYPERLINK("https://worldwide.espacenet.com/publicationDetails/biblio?II=76&amp;ND=3&amp;adjacent=true&amp;locale=en_EP&amp;FT=D&amp;date=20170711&amp;CC=CN&amp;NR=106941654A&amp;KC=A")</f>
        <v>https://worldwide.espacenet.com/publicationDetails/biblio?II=76&amp;ND=3&amp;adjacent=true&amp;locale=en_EP&amp;FT=D&amp;date=20170711&amp;CC=CN&amp;NR=106941654A&amp;KC=A</v>
      </c>
    </row>
    <row r="971" spans="3:5" x14ac:dyDescent="0.25">
      <c r="C971" t="s">
        <v>1578</v>
      </c>
      <c r="D971" t="s">
        <v>1579</v>
      </c>
      <c r="E971" t="str">
        <f>HYPERLINK("https://worldwide.espacenet.com/publicationDetails/biblio?II=77&amp;ND=3&amp;adjacent=true&amp;locale=en_EP&amp;FT=D&amp;date=20170714&amp;CC=CN&amp;NR=106951482A&amp;KC=A")</f>
        <v>https://worldwide.espacenet.com/publicationDetails/biblio?II=77&amp;ND=3&amp;adjacent=true&amp;locale=en_EP&amp;FT=D&amp;date=20170714&amp;CC=CN&amp;NR=106951482A&amp;KC=A</v>
      </c>
    </row>
    <row r="972" spans="3:5" x14ac:dyDescent="0.25">
      <c r="C972" t="s">
        <v>1580</v>
      </c>
      <c r="D972" t="s">
        <v>1581</v>
      </c>
      <c r="E972" t="str">
        <f>HYPERLINK("https://worldwide.espacenet.com/publicationDetails/biblio?II=78&amp;ND=3&amp;adjacent=true&amp;locale=en_EP&amp;FT=D&amp;date=20170704&amp;CC=CN&amp;NR=106918345A&amp;KC=A")</f>
        <v>https://worldwide.espacenet.com/publicationDetails/biblio?II=78&amp;ND=3&amp;adjacent=true&amp;locale=en_EP&amp;FT=D&amp;date=20170704&amp;CC=CN&amp;NR=106918345A&amp;KC=A</v>
      </c>
    </row>
    <row r="973" spans="3:5" x14ac:dyDescent="0.25">
      <c r="C973" t="s">
        <v>1582</v>
      </c>
      <c r="D973" t="s">
        <v>1583</v>
      </c>
      <c r="E973" t="str">
        <f>HYPERLINK("https://worldwide.espacenet.com/publicationDetails/biblio?II=79&amp;ND=3&amp;adjacent=true&amp;locale=en_EP&amp;FT=D&amp;date=20170704&amp;CC=CN&amp;NR=106920002A&amp;KC=A")</f>
        <v>https://worldwide.espacenet.com/publicationDetails/biblio?II=79&amp;ND=3&amp;adjacent=true&amp;locale=en_EP&amp;FT=D&amp;date=20170704&amp;CC=CN&amp;NR=106920002A&amp;KC=A</v>
      </c>
    </row>
    <row r="974" spans="3:5" x14ac:dyDescent="0.25">
      <c r="C974" t="s">
        <v>1584</v>
      </c>
      <c r="D974" t="s">
        <v>1585</v>
      </c>
      <c r="E974" t="str">
        <f>HYPERLINK("https://worldwide.espacenet.com/publicationDetails/biblio?II=80&amp;ND=3&amp;adjacent=true&amp;locale=en_EP&amp;FT=D&amp;date=20170804&amp;CC=CN&amp;NR=107016499A&amp;KC=A")</f>
        <v>https://worldwide.espacenet.com/publicationDetails/biblio?II=80&amp;ND=3&amp;adjacent=true&amp;locale=en_EP&amp;FT=D&amp;date=20170804&amp;CC=CN&amp;NR=107016499A&amp;KC=A</v>
      </c>
    </row>
    <row r="975" spans="3:5" x14ac:dyDescent="0.25">
      <c r="C975" t="s">
        <v>1586</v>
      </c>
      <c r="D975" t="s">
        <v>1587</v>
      </c>
      <c r="E975" t="str">
        <f>HYPERLINK("https://worldwide.espacenet.com/publicationDetails/biblio?II=81&amp;ND=3&amp;adjacent=true&amp;locale=en_EP&amp;FT=D&amp;date=20170707&amp;CC=CN&amp;NR=106931985A&amp;KC=A")</f>
        <v>https://worldwide.espacenet.com/publicationDetails/biblio?II=81&amp;ND=3&amp;adjacent=true&amp;locale=en_EP&amp;FT=D&amp;date=20170707&amp;CC=CN&amp;NR=106931985A&amp;KC=A</v>
      </c>
    </row>
    <row r="976" spans="3:5" x14ac:dyDescent="0.25">
      <c r="C976" t="s">
        <v>1588</v>
      </c>
      <c r="D976" t="s">
        <v>1589</v>
      </c>
      <c r="E976" t="str">
        <f>HYPERLINK("https://worldwide.espacenet.com/publicationDetails/biblio?II=82&amp;ND=3&amp;adjacent=true&amp;locale=en_EP&amp;FT=D&amp;date=20170803&amp;CC=WO&amp;NR=2017128351A1&amp;KC=A1")</f>
        <v>https://worldwide.espacenet.com/publicationDetails/biblio?II=82&amp;ND=3&amp;adjacent=true&amp;locale=en_EP&amp;FT=D&amp;date=20170803&amp;CC=WO&amp;NR=2017128351A1&amp;KC=A1</v>
      </c>
    </row>
    <row r="977" spans="3:5" x14ac:dyDescent="0.25">
      <c r="C977" t="s">
        <v>1590</v>
      </c>
      <c r="D977" t="s">
        <v>1591</v>
      </c>
      <c r="E977" t="str">
        <f>HYPERLINK("https://worldwide.espacenet.com/publicationDetails/biblio?II=83&amp;ND=3&amp;adjacent=true&amp;locale=en_EP&amp;FT=D&amp;date=20170803&amp;CC=US&amp;NR=2017223497A1&amp;KC=A1")</f>
        <v>https://worldwide.espacenet.com/publicationDetails/biblio?II=83&amp;ND=3&amp;adjacent=true&amp;locale=en_EP&amp;FT=D&amp;date=20170803&amp;CC=US&amp;NR=2017223497A1&amp;KC=A1</v>
      </c>
    </row>
    <row r="978" spans="3:5" x14ac:dyDescent="0.25">
      <c r="C978" t="s">
        <v>1592</v>
      </c>
      <c r="D978" t="s">
        <v>1593</v>
      </c>
      <c r="E978" t="str">
        <f>HYPERLINK("https://worldwide.espacenet.com/publicationDetails/biblio?II=84&amp;ND=3&amp;adjacent=true&amp;locale=en_EP&amp;FT=D&amp;date=20170725&amp;CC=CN&amp;NR=206353798U&amp;KC=U")</f>
        <v>https://worldwide.espacenet.com/publicationDetails/biblio?II=84&amp;ND=3&amp;adjacent=true&amp;locale=en_EP&amp;FT=D&amp;date=20170725&amp;CC=CN&amp;NR=206353798U&amp;KC=U</v>
      </c>
    </row>
    <row r="979" spans="3:5" x14ac:dyDescent="0.25">
      <c r="C979" t="s">
        <v>1594</v>
      </c>
      <c r="D979" t="s">
        <v>1595</v>
      </c>
      <c r="E979" t="str">
        <f>HYPERLINK("https://worldwide.espacenet.com/publicationDetails/biblio?II=85&amp;ND=3&amp;adjacent=true&amp;locale=en_EP&amp;FT=D&amp;date=20170725&amp;CC=CN&amp;NR=106981028A&amp;KC=A")</f>
        <v>https://worldwide.espacenet.com/publicationDetails/biblio?II=85&amp;ND=3&amp;adjacent=true&amp;locale=en_EP&amp;FT=D&amp;date=20170725&amp;CC=CN&amp;NR=106981028A&amp;KC=A</v>
      </c>
    </row>
    <row r="980" spans="3:5" x14ac:dyDescent="0.25">
      <c r="C980" t="s">
        <v>1596</v>
      </c>
      <c r="D980" t="s">
        <v>1597</v>
      </c>
      <c r="E980" t="str">
        <f>HYPERLINK("https://worldwide.espacenet.com/publicationDetails/biblio?II=86&amp;ND=3&amp;adjacent=true&amp;locale=en_EP&amp;FT=D&amp;date=20170725&amp;CC=CN&amp;NR=106980934A&amp;KC=A")</f>
        <v>https://worldwide.espacenet.com/publicationDetails/biblio?II=86&amp;ND=3&amp;adjacent=true&amp;locale=en_EP&amp;FT=D&amp;date=20170725&amp;CC=CN&amp;NR=106980934A&amp;KC=A</v>
      </c>
    </row>
    <row r="981" spans="3:5" x14ac:dyDescent="0.25">
      <c r="C981" t="s">
        <v>1598</v>
      </c>
      <c r="D981" t="s">
        <v>1599</v>
      </c>
      <c r="E981" t="str">
        <f>HYPERLINK("https://worldwide.espacenet.com/publicationDetails/biblio?II=87&amp;ND=3&amp;adjacent=true&amp;locale=en_EP&amp;FT=D&amp;date=20170721&amp;CC=CN&amp;NR=106971683A&amp;KC=A")</f>
        <v>https://worldwide.espacenet.com/publicationDetails/biblio?II=87&amp;ND=3&amp;adjacent=true&amp;locale=en_EP&amp;FT=D&amp;date=20170721&amp;CC=CN&amp;NR=106971683A&amp;KC=A</v>
      </c>
    </row>
    <row r="982" spans="3:5" x14ac:dyDescent="0.25">
      <c r="C982" t="s">
        <v>1600</v>
      </c>
      <c r="D982" t="s">
        <v>1601</v>
      </c>
      <c r="E982" t="str">
        <f>HYPERLINK("https://worldwide.espacenet.com/publicationDetails/biblio?II=88&amp;ND=3&amp;adjacent=true&amp;locale=en_EP&amp;FT=D&amp;date=20170721&amp;CC=CN&amp;NR=106964121A&amp;KC=A")</f>
        <v>https://worldwide.espacenet.com/publicationDetails/biblio?II=88&amp;ND=3&amp;adjacent=true&amp;locale=en_EP&amp;FT=D&amp;date=20170721&amp;CC=CN&amp;NR=106964121A&amp;KC=A</v>
      </c>
    </row>
    <row r="983" spans="3:5" x14ac:dyDescent="0.25">
      <c r="C983" t="s">
        <v>1602</v>
      </c>
      <c r="D983" t="s">
        <v>1603</v>
      </c>
      <c r="E983" t="str">
        <f>HYPERLINK("https://worldwide.espacenet.com/publicationDetails/biblio?II=89&amp;ND=3&amp;adjacent=true&amp;locale=en_EP&amp;FT=D&amp;date=20170613&amp;CC=CN&amp;NR=106845834A&amp;KC=A")</f>
        <v>https://worldwide.espacenet.com/publicationDetails/biblio?II=89&amp;ND=3&amp;adjacent=true&amp;locale=en_EP&amp;FT=D&amp;date=20170613&amp;CC=CN&amp;NR=106845834A&amp;KC=A</v>
      </c>
    </row>
    <row r="984" spans="3:5" x14ac:dyDescent="0.25">
      <c r="C984" t="s">
        <v>1604</v>
      </c>
      <c r="D984" t="s">
        <v>1605</v>
      </c>
      <c r="E984" t="str">
        <f>HYPERLINK("https://worldwide.espacenet.com/publicationDetails/biblio?II=90&amp;ND=3&amp;adjacent=true&amp;locale=en_EP&amp;FT=D&amp;date=20170609&amp;CC=CN&amp;NR=106817416A&amp;KC=A")</f>
        <v>https://worldwide.espacenet.com/publicationDetails/biblio?II=90&amp;ND=3&amp;adjacent=true&amp;locale=en_EP&amp;FT=D&amp;date=20170609&amp;CC=CN&amp;NR=106817416A&amp;KC=A</v>
      </c>
    </row>
    <row r="985" spans="3:5" x14ac:dyDescent="0.25">
      <c r="C985" t="s">
        <v>1606</v>
      </c>
      <c r="D985" t="s">
        <v>1607</v>
      </c>
      <c r="E985" t="str">
        <f>HYPERLINK("https://worldwide.espacenet.com/publicationDetails/biblio?II=91&amp;ND=3&amp;adjacent=true&amp;locale=en_EP&amp;FT=D&amp;date=20170609&amp;CC=CN&amp;NR=106816077A&amp;KC=A")</f>
        <v>https://worldwide.espacenet.com/publicationDetails/biblio?II=91&amp;ND=3&amp;adjacent=true&amp;locale=en_EP&amp;FT=D&amp;date=20170609&amp;CC=CN&amp;NR=106816077A&amp;KC=A</v>
      </c>
    </row>
    <row r="986" spans="3:5" x14ac:dyDescent="0.25">
      <c r="C986" t="s">
        <v>1608</v>
      </c>
      <c r="D986" t="s">
        <v>1609</v>
      </c>
      <c r="E986" t="str">
        <f>HYPERLINK("https://worldwide.espacenet.com/publicationDetails/biblio?II=92&amp;ND=3&amp;adjacent=true&amp;locale=en_EP&amp;FT=D&amp;date=20170622&amp;CC=JP&amp;NR=2017111777A&amp;KC=A")</f>
        <v>https://worldwide.espacenet.com/publicationDetails/biblio?II=92&amp;ND=3&amp;adjacent=true&amp;locale=en_EP&amp;FT=D&amp;date=20170622&amp;CC=JP&amp;NR=2017111777A&amp;KC=A</v>
      </c>
    </row>
    <row r="987" spans="3:5" x14ac:dyDescent="0.25">
      <c r="C987" t="s">
        <v>1610</v>
      </c>
      <c r="D987" t="s">
        <v>1611</v>
      </c>
      <c r="E987" t="str">
        <f>HYPERLINK("https://worldwide.espacenet.com/publicationDetails/biblio?II=93&amp;ND=3&amp;adjacent=true&amp;locale=en_EP&amp;FT=D&amp;date=20170622&amp;CC=JP&amp;NR=2017111497A&amp;KC=A")</f>
        <v>https://worldwide.espacenet.com/publicationDetails/biblio?II=93&amp;ND=3&amp;adjacent=true&amp;locale=en_EP&amp;FT=D&amp;date=20170622&amp;CC=JP&amp;NR=2017111497A&amp;KC=A</v>
      </c>
    </row>
    <row r="988" spans="3:5" x14ac:dyDescent="0.25">
      <c r="C988" t="s">
        <v>1612</v>
      </c>
      <c r="D988" t="s">
        <v>1613</v>
      </c>
      <c r="E988" t="str">
        <f>HYPERLINK("https://worldwide.espacenet.com/publicationDetails/biblio?II=94&amp;ND=3&amp;adjacent=true&amp;locale=en_EP&amp;FT=D&amp;date=20170609&amp;CC=CN&amp;NR=206227364U&amp;KC=U")</f>
        <v>https://worldwide.espacenet.com/publicationDetails/biblio?II=94&amp;ND=3&amp;adjacent=true&amp;locale=en_EP&amp;FT=D&amp;date=20170609&amp;CC=CN&amp;NR=206227364U&amp;KC=U</v>
      </c>
    </row>
    <row r="989" spans="3:5" x14ac:dyDescent="0.25">
      <c r="C989" t="s">
        <v>1614</v>
      </c>
      <c r="D989" t="s">
        <v>1615</v>
      </c>
      <c r="E989" t="str">
        <f>HYPERLINK("https://worldwide.espacenet.com/publicationDetails/biblio?II=95&amp;ND=3&amp;adjacent=true&amp;locale=en_EP&amp;FT=D&amp;date=20170606&amp;CC=CN&amp;NR=106802621A&amp;KC=A")</f>
        <v>https://worldwide.espacenet.com/publicationDetails/biblio?II=95&amp;ND=3&amp;adjacent=true&amp;locale=en_EP&amp;FT=D&amp;date=20170606&amp;CC=CN&amp;NR=106802621A&amp;KC=A</v>
      </c>
    </row>
    <row r="990" spans="3:5" x14ac:dyDescent="0.25">
      <c r="C990" t="s">
        <v>1616</v>
      </c>
      <c r="D990" t="s">
        <v>1617</v>
      </c>
      <c r="E990" t="str">
        <f>HYPERLINK("https://worldwide.espacenet.com/publicationDetails/biblio?II=96&amp;ND=3&amp;adjacent=true&amp;locale=en_EP&amp;FT=D&amp;date=20170531&amp;CC=CN&amp;NR=106780166A&amp;KC=A")</f>
        <v>https://worldwide.espacenet.com/publicationDetails/biblio?II=96&amp;ND=3&amp;adjacent=true&amp;locale=en_EP&amp;FT=D&amp;date=20170531&amp;CC=CN&amp;NR=106780166A&amp;KC=A</v>
      </c>
    </row>
    <row r="991" spans="3:5" x14ac:dyDescent="0.25">
      <c r="C991" t="s">
        <v>1618</v>
      </c>
      <c r="D991" t="s">
        <v>1619</v>
      </c>
      <c r="E991" t="str">
        <f>HYPERLINK("https://worldwide.espacenet.com/publicationDetails/biblio?II=97&amp;ND=3&amp;adjacent=true&amp;locale=en_EP&amp;FT=D&amp;date=20170531&amp;CC=CN&amp;NR=106782223A&amp;KC=A")</f>
        <v>https://worldwide.espacenet.com/publicationDetails/biblio?II=97&amp;ND=3&amp;adjacent=true&amp;locale=en_EP&amp;FT=D&amp;date=20170531&amp;CC=CN&amp;NR=106782223A&amp;KC=A</v>
      </c>
    </row>
    <row r="992" spans="3:5" x14ac:dyDescent="0.25">
      <c r="C992" t="s">
        <v>1620</v>
      </c>
      <c r="D992" t="s">
        <v>1621</v>
      </c>
      <c r="E992" t="str">
        <f>HYPERLINK("https://worldwide.espacenet.com/publicationDetails/biblio?II=98&amp;ND=3&amp;adjacent=true&amp;locale=en_EP&amp;FT=D&amp;date=20170531&amp;CC=CN&amp;NR=106723891A&amp;KC=A")</f>
        <v>https://worldwide.espacenet.com/publicationDetails/biblio?II=98&amp;ND=3&amp;adjacent=true&amp;locale=en_EP&amp;FT=D&amp;date=20170531&amp;CC=CN&amp;NR=106723891A&amp;KC=A</v>
      </c>
    </row>
    <row r="993" spans="3:5" x14ac:dyDescent="0.25">
      <c r="C993" t="s">
        <v>1622</v>
      </c>
      <c r="D993" t="s">
        <v>1623</v>
      </c>
      <c r="E993" t="str">
        <f>HYPERLINK("https://worldwide.espacenet.com/publicationDetails/biblio?II=99&amp;ND=3&amp;adjacent=true&amp;locale=en_EP&amp;FT=D&amp;date=20170531&amp;CC=CN&amp;NR=106781261A&amp;KC=A")</f>
        <v>https://worldwide.espacenet.com/publicationDetails/biblio?II=99&amp;ND=3&amp;adjacent=true&amp;locale=en_EP&amp;FT=D&amp;date=20170531&amp;CC=CN&amp;NR=106781261A&amp;KC=A</v>
      </c>
    </row>
    <row r="994" spans="3:5" x14ac:dyDescent="0.25">
      <c r="C994" t="s">
        <v>1624</v>
      </c>
      <c r="D994" t="s">
        <v>1625</v>
      </c>
      <c r="E994" t="str">
        <f>HYPERLINK("https://worldwide.espacenet.com/publicationDetails/biblio?II=100&amp;ND=3&amp;adjacent=true&amp;locale=en_EP&amp;FT=D&amp;date=20170531&amp;CC=CN&amp;NR=106780153A&amp;KC=A")</f>
        <v>https://worldwide.espacenet.com/publicationDetails/biblio?II=100&amp;ND=3&amp;adjacent=true&amp;locale=en_EP&amp;FT=D&amp;date=20170531&amp;CC=CN&amp;NR=106780153A&amp;KC=A</v>
      </c>
    </row>
    <row r="995" spans="3:5" x14ac:dyDescent="0.25">
      <c r="C995" t="s">
        <v>1626</v>
      </c>
      <c r="D995" t="s">
        <v>1627</v>
      </c>
      <c r="E995" t="str">
        <f>HYPERLINK("https://worldwide.espacenet.com/publicationDetails/biblio?II=101&amp;ND=3&amp;adjacent=true&amp;locale=en_EP&amp;FT=D&amp;date=20170531&amp;CC=CN&amp;NR=106781675A&amp;KC=A")</f>
        <v>https://worldwide.espacenet.com/publicationDetails/biblio?II=101&amp;ND=3&amp;adjacent=true&amp;locale=en_EP&amp;FT=D&amp;date=20170531&amp;CC=CN&amp;NR=106781675A&amp;KC=A</v>
      </c>
    </row>
    <row r="996" spans="3:5" x14ac:dyDescent="0.25">
      <c r="C996" t="s">
        <v>1628</v>
      </c>
      <c r="D996" t="s">
        <v>1629</v>
      </c>
      <c r="E996" t="str">
        <f>HYPERLINK("https://worldwide.espacenet.com/publicationDetails/biblio?II=102&amp;ND=3&amp;adjacent=true&amp;locale=en_EP&amp;FT=D&amp;date=20170531&amp;CC=CN&amp;NR=106758712A&amp;KC=A")</f>
        <v>https://worldwide.espacenet.com/publicationDetails/biblio?II=102&amp;ND=3&amp;adjacent=true&amp;locale=en_EP&amp;FT=D&amp;date=20170531&amp;CC=CN&amp;NR=106758712A&amp;KC=A</v>
      </c>
    </row>
    <row r="997" spans="3:5" x14ac:dyDescent="0.25">
      <c r="C997" t="s">
        <v>1630</v>
      </c>
      <c r="D997" t="s">
        <v>1631</v>
      </c>
      <c r="E997" t="str">
        <f>HYPERLINK("https://worldwide.espacenet.com/publicationDetails/biblio?II=103&amp;ND=3&amp;adjacent=true&amp;locale=en_EP&amp;FT=D&amp;date=20170531&amp;CC=CN&amp;NR=106776849A&amp;KC=A")</f>
        <v>https://worldwide.espacenet.com/publicationDetails/biblio?II=103&amp;ND=3&amp;adjacent=true&amp;locale=en_EP&amp;FT=D&amp;date=20170531&amp;CC=CN&amp;NR=106776849A&amp;KC=A</v>
      </c>
    </row>
    <row r="998" spans="3:5" x14ac:dyDescent="0.25">
      <c r="C998" t="s">
        <v>1632</v>
      </c>
      <c r="D998" t="s">
        <v>1633</v>
      </c>
      <c r="E998" t="str">
        <f>HYPERLINK("https://worldwide.espacenet.com/publicationDetails/biblio?II=104&amp;ND=3&amp;adjacent=true&amp;locale=en_EP&amp;FT=D&amp;date=20170531&amp;CC=CN&amp;NR=106777119A&amp;KC=A")</f>
        <v>https://worldwide.espacenet.com/publicationDetails/biblio?II=104&amp;ND=3&amp;adjacent=true&amp;locale=en_EP&amp;FT=D&amp;date=20170531&amp;CC=CN&amp;NR=106777119A&amp;KC=A</v>
      </c>
    </row>
    <row r="999" spans="3:5" x14ac:dyDescent="0.25">
      <c r="C999" t="s">
        <v>1634</v>
      </c>
      <c r="D999" t="s">
        <v>1635</v>
      </c>
      <c r="E999" t="str">
        <f>HYPERLINK("https://worldwide.espacenet.com/publicationDetails/biblio?II=105&amp;ND=3&amp;adjacent=true&amp;locale=en_EP&amp;FT=D&amp;date=20170517&amp;CC=CN&amp;NR=106681682A&amp;KC=A")</f>
        <v>https://worldwide.espacenet.com/publicationDetails/biblio?II=105&amp;ND=3&amp;adjacent=true&amp;locale=en_EP&amp;FT=D&amp;date=20170517&amp;CC=CN&amp;NR=106681682A&amp;KC=A</v>
      </c>
    </row>
    <row r="1000" spans="3:5" x14ac:dyDescent="0.25">
      <c r="C1000" t="s">
        <v>1636</v>
      </c>
      <c r="D1000" t="s">
        <v>1637</v>
      </c>
      <c r="E1000" t="str">
        <f>HYPERLINK("https://worldwide.espacenet.com/publicationDetails/biblio?II=106&amp;ND=3&amp;adjacent=true&amp;locale=en_EP&amp;FT=D&amp;date=20170510&amp;CC=CN&amp;NR=106655486A&amp;KC=A")</f>
        <v>https://worldwide.espacenet.com/publicationDetails/biblio?II=106&amp;ND=3&amp;adjacent=true&amp;locale=en_EP&amp;FT=D&amp;date=20170510&amp;CC=CN&amp;NR=106655486A&amp;KC=A</v>
      </c>
    </row>
    <row r="1001" spans="3:5" x14ac:dyDescent="0.25">
      <c r="C1001" t="s">
        <v>1638</v>
      </c>
      <c r="D1001" t="s">
        <v>1639</v>
      </c>
      <c r="E1001" t="str">
        <f>HYPERLINK("https://worldwide.espacenet.com/publicationDetails/biblio?II=107&amp;ND=3&amp;adjacent=true&amp;locale=en_EP&amp;FT=D&amp;date=20170510&amp;CC=CN&amp;NR=106652187A&amp;KC=A")</f>
        <v>https://worldwide.espacenet.com/publicationDetails/biblio?II=107&amp;ND=3&amp;adjacent=true&amp;locale=en_EP&amp;FT=D&amp;date=20170510&amp;CC=CN&amp;NR=106652187A&amp;KC=A</v>
      </c>
    </row>
    <row r="1002" spans="3:5" x14ac:dyDescent="0.25">
      <c r="C1002" t="s">
        <v>1640</v>
      </c>
      <c r="D1002" t="s">
        <v>1641</v>
      </c>
      <c r="E1002" t="str">
        <f>HYPERLINK("https://worldwide.espacenet.com/publicationDetails/biblio?II=108&amp;ND=3&amp;adjacent=true&amp;locale=en_EP&amp;FT=D&amp;date=20170510&amp;CC=CN&amp;NR=106657027A&amp;KC=A")</f>
        <v>https://worldwide.espacenet.com/publicationDetails/biblio?II=108&amp;ND=3&amp;adjacent=true&amp;locale=en_EP&amp;FT=D&amp;date=20170510&amp;CC=CN&amp;NR=106657027A&amp;KC=A</v>
      </c>
    </row>
    <row r="1003" spans="3:5" x14ac:dyDescent="0.25">
      <c r="C1003" t="s">
        <v>1642</v>
      </c>
      <c r="D1003" t="s">
        <v>1643</v>
      </c>
      <c r="E1003" t="str">
        <f>HYPERLINK("https://worldwide.espacenet.com/publicationDetails/biblio?II=109&amp;ND=3&amp;adjacent=true&amp;locale=en_EP&amp;FT=D&amp;date=20170418&amp;CC=KR&amp;NR=101728160B1&amp;KC=B1")</f>
        <v>https://worldwide.espacenet.com/publicationDetails/biblio?II=109&amp;ND=3&amp;adjacent=true&amp;locale=en_EP&amp;FT=D&amp;date=20170418&amp;CC=KR&amp;NR=101728160B1&amp;KC=B1</v>
      </c>
    </row>
    <row r="1004" spans="3:5" x14ac:dyDescent="0.25">
      <c r="C1004" t="s">
        <v>1644</v>
      </c>
      <c r="D1004" t="s">
        <v>1645</v>
      </c>
      <c r="E1004" t="str">
        <f>HYPERLINK("https://worldwide.espacenet.com/publicationDetails/biblio?II=110&amp;ND=3&amp;adjacent=true&amp;locale=en_EP&amp;FT=D&amp;date=20170510&amp;CC=CN&amp;NR=206161627U&amp;KC=U")</f>
        <v>https://worldwide.espacenet.com/publicationDetails/biblio?II=110&amp;ND=3&amp;adjacent=true&amp;locale=en_EP&amp;FT=D&amp;date=20170510&amp;CC=CN&amp;NR=206161627U&amp;KC=U</v>
      </c>
    </row>
    <row r="1005" spans="3:5" x14ac:dyDescent="0.25">
      <c r="C1005" t="s">
        <v>1646</v>
      </c>
      <c r="D1005" t="s">
        <v>1647</v>
      </c>
      <c r="E1005" t="str">
        <f>HYPERLINK("https://worldwide.espacenet.com/publicationDetails/biblio?II=111&amp;ND=3&amp;adjacent=true&amp;locale=en_EP&amp;FT=D&amp;date=20170412&amp;CC=KR&amp;NR=20170040114A&amp;KC=A")</f>
        <v>https://worldwide.espacenet.com/publicationDetails/biblio?II=111&amp;ND=3&amp;adjacent=true&amp;locale=en_EP&amp;FT=D&amp;date=20170412&amp;CC=KR&amp;NR=20170040114A&amp;KC=A</v>
      </c>
    </row>
    <row r="1006" spans="3:5" x14ac:dyDescent="0.25">
      <c r="C1006" t="s">
        <v>1648</v>
      </c>
      <c r="D1006" t="s">
        <v>1649</v>
      </c>
      <c r="E1006" t="str">
        <f>HYPERLINK("https://worldwide.espacenet.com/publicationDetails/biblio?II=112&amp;ND=3&amp;adjacent=true&amp;locale=en_EP&amp;FT=D&amp;date=20170426&amp;CC=CN&amp;NR=206133652U&amp;KC=U")</f>
        <v>https://worldwide.espacenet.com/publicationDetails/biblio?II=112&amp;ND=3&amp;adjacent=true&amp;locale=en_EP&amp;FT=D&amp;date=20170426&amp;CC=CN&amp;NR=206133652U&amp;KC=U</v>
      </c>
    </row>
    <row r="1007" spans="3:5" x14ac:dyDescent="0.25">
      <c r="C1007" t="s">
        <v>1650</v>
      </c>
      <c r="D1007" t="s">
        <v>1651</v>
      </c>
      <c r="E1007" t="str">
        <f>HYPERLINK("https://worldwide.espacenet.com/publicationDetails/biblio?II=113&amp;ND=3&amp;adjacent=true&amp;locale=en_EP&amp;FT=D&amp;date=20170419&amp;CC=CN&amp;NR=106570131A&amp;KC=A")</f>
        <v>https://worldwide.espacenet.com/publicationDetails/biblio?II=113&amp;ND=3&amp;adjacent=true&amp;locale=en_EP&amp;FT=D&amp;date=20170419&amp;CC=CN&amp;NR=106570131A&amp;KC=A</v>
      </c>
    </row>
    <row r="1008" spans="3:5" x14ac:dyDescent="0.25">
      <c r="C1008" t="s">
        <v>1652</v>
      </c>
      <c r="D1008" t="s">
        <v>1653</v>
      </c>
      <c r="E1008" t="str">
        <f>HYPERLINK("https://worldwide.espacenet.com/publicationDetails/biblio?II=114&amp;ND=3&amp;adjacent=true&amp;locale=en_EP&amp;FT=D&amp;date=20170406&amp;CC=US&amp;NR=2017098289A1&amp;KC=A1")</f>
        <v>https://worldwide.espacenet.com/publicationDetails/biblio?II=114&amp;ND=3&amp;adjacent=true&amp;locale=en_EP&amp;FT=D&amp;date=20170406&amp;CC=US&amp;NR=2017098289A1&amp;KC=A1</v>
      </c>
    </row>
    <row r="1009" spans="3:5" x14ac:dyDescent="0.25">
      <c r="C1009" t="s">
        <v>1654</v>
      </c>
      <c r="D1009" t="s">
        <v>1655</v>
      </c>
      <c r="E1009" t="str">
        <f>HYPERLINK("https://worldwide.espacenet.com/publicationDetails/biblio?II=115&amp;ND=3&amp;adjacent=true&amp;locale=en_EP&amp;FT=D&amp;date=20170322&amp;CC=CN&amp;NR=106529764A&amp;KC=A")</f>
        <v>https://worldwide.espacenet.com/publicationDetails/biblio?II=115&amp;ND=3&amp;adjacent=true&amp;locale=en_EP&amp;FT=D&amp;date=20170322&amp;CC=CN&amp;NR=106529764A&amp;KC=A</v>
      </c>
    </row>
    <row r="1010" spans="3:5" x14ac:dyDescent="0.25">
      <c r="C1010" t="s">
        <v>1656</v>
      </c>
      <c r="D1010" t="s">
        <v>1657</v>
      </c>
      <c r="E1010" t="str">
        <f>HYPERLINK("https://worldwide.espacenet.com/publicationDetails/biblio?II=116&amp;ND=3&amp;adjacent=true&amp;locale=en_EP&amp;FT=D&amp;date=20170222&amp;CC=KR&amp;NR=20170019605A&amp;KC=A")</f>
        <v>https://worldwide.espacenet.com/publicationDetails/biblio?II=116&amp;ND=3&amp;adjacent=true&amp;locale=en_EP&amp;FT=D&amp;date=20170222&amp;CC=KR&amp;NR=20170019605A&amp;KC=A</v>
      </c>
    </row>
    <row r="1011" spans="3:5" x14ac:dyDescent="0.25">
      <c r="C1011" t="s">
        <v>1658</v>
      </c>
      <c r="D1011" t="s">
        <v>1659</v>
      </c>
      <c r="E1011" t="str">
        <f>HYPERLINK("https://worldwide.espacenet.com/publicationDetails/biblio?II=117&amp;ND=3&amp;adjacent=true&amp;locale=en_EP&amp;FT=D&amp;date=20170308&amp;CC=CN&amp;NR=106485298A&amp;KC=A")</f>
        <v>https://worldwide.espacenet.com/publicationDetails/biblio?II=117&amp;ND=3&amp;adjacent=true&amp;locale=en_EP&amp;FT=D&amp;date=20170308&amp;CC=CN&amp;NR=106485298A&amp;KC=A</v>
      </c>
    </row>
    <row r="1012" spans="3:5" x14ac:dyDescent="0.25">
      <c r="C1012" t="s">
        <v>1660</v>
      </c>
      <c r="D1012" t="s">
        <v>1661</v>
      </c>
      <c r="E1012" t="str">
        <f>HYPERLINK("https://worldwide.espacenet.com/publicationDetails/biblio?II=118&amp;ND=3&amp;adjacent=true&amp;locale=en_EP&amp;FT=D&amp;date=20170308&amp;CC=CN&amp;NR=206004906U&amp;KC=U")</f>
        <v>https://worldwide.espacenet.com/publicationDetails/biblio?II=118&amp;ND=3&amp;adjacent=true&amp;locale=en_EP&amp;FT=D&amp;date=20170308&amp;CC=CN&amp;NR=206004906U&amp;KC=U</v>
      </c>
    </row>
    <row r="1013" spans="3:5" x14ac:dyDescent="0.25">
      <c r="C1013" t="s">
        <v>1662</v>
      </c>
      <c r="D1013" t="s">
        <v>1663</v>
      </c>
      <c r="E1013" t="str">
        <f>HYPERLINK("https://worldwide.espacenet.com/publicationDetails/biblio?II=119&amp;ND=3&amp;adjacent=true&amp;locale=en_EP&amp;FT=D&amp;date=20170222&amp;CC=CN&amp;NR=106454718A&amp;KC=A")</f>
        <v>https://worldwide.espacenet.com/publicationDetails/biblio?II=119&amp;ND=3&amp;adjacent=true&amp;locale=en_EP&amp;FT=D&amp;date=20170222&amp;CC=CN&amp;NR=106454718A&amp;KC=A</v>
      </c>
    </row>
    <row r="1014" spans="3:5" x14ac:dyDescent="0.25">
      <c r="C1014" t="s">
        <v>1664</v>
      </c>
      <c r="D1014" t="s">
        <v>1665</v>
      </c>
      <c r="E1014" t="str">
        <f>HYPERLINK("https://worldwide.espacenet.com/publicationDetails/biblio?II=120&amp;ND=3&amp;adjacent=true&amp;locale=en_EP&amp;FT=D&amp;date=20170222&amp;CC=CN&amp;NR=106447818A&amp;KC=A")</f>
        <v>https://worldwide.espacenet.com/publicationDetails/biblio?II=120&amp;ND=3&amp;adjacent=true&amp;locale=en_EP&amp;FT=D&amp;date=20170222&amp;CC=CN&amp;NR=106447818A&amp;KC=A</v>
      </c>
    </row>
    <row r="1015" spans="3:5" x14ac:dyDescent="0.25">
      <c r="C1015" t="s">
        <v>1666</v>
      </c>
      <c r="D1015" t="s">
        <v>1667</v>
      </c>
      <c r="E1015" t="str">
        <f>HYPERLINK("https://worldwide.espacenet.com/publicationDetails/biblio?II=121&amp;ND=3&amp;adjacent=true&amp;locale=en_EP&amp;FT=D&amp;date=20170301&amp;CC=CN&amp;NR=205992276U&amp;KC=U")</f>
        <v>https://worldwide.espacenet.com/publicationDetails/biblio?II=121&amp;ND=3&amp;adjacent=true&amp;locale=en_EP&amp;FT=D&amp;date=20170301&amp;CC=CN&amp;NR=205992276U&amp;KC=U</v>
      </c>
    </row>
    <row r="1016" spans="3:5" x14ac:dyDescent="0.25">
      <c r="C1016" t="s">
        <v>1420</v>
      </c>
      <c r="D1016" t="s">
        <v>1421</v>
      </c>
      <c r="E1016" t="str">
        <f>HYPERLINK("https://worldwide.espacenet.com/publicationDetails/biblio?II=122&amp;ND=3&amp;adjacent=true&amp;locale=en_EP&amp;FT=D&amp;date=20161221&amp;CC=CN&amp;NR=106251253A&amp;KC=A")</f>
        <v>https://worldwide.espacenet.com/publicationDetails/biblio?II=122&amp;ND=3&amp;adjacent=true&amp;locale=en_EP&amp;FT=D&amp;date=20161221&amp;CC=CN&amp;NR=106251253A&amp;KC=A</v>
      </c>
    </row>
    <row r="1017" spans="3:5" x14ac:dyDescent="0.25">
      <c r="C1017" t="s">
        <v>1668</v>
      </c>
      <c r="D1017" t="s">
        <v>1669</v>
      </c>
      <c r="E1017" t="str">
        <f>HYPERLINK("https://worldwide.espacenet.com/publicationDetails/biblio?II=123&amp;ND=3&amp;adjacent=true&amp;locale=en_EP&amp;FT=D&amp;date=20161221&amp;CC=CN&amp;NR=106250949A&amp;KC=A")</f>
        <v>https://worldwide.espacenet.com/publicationDetails/biblio?II=123&amp;ND=3&amp;adjacent=true&amp;locale=en_EP&amp;FT=D&amp;date=20161221&amp;CC=CN&amp;NR=106250949A&amp;KC=A</v>
      </c>
    </row>
    <row r="1018" spans="3:5" x14ac:dyDescent="0.25">
      <c r="C1018" t="s">
        <v>1670</v>
      </c>
      <c r="D1018" t="s">
        <v>1671</v>
      </c>
      <c r="E1018" t="str">
        <f>HYPERLINK("https://worldwide.espacenet.com/publicationDetails/biblio?II=124&amp;ND=3&amp;adjacent=true&amp;locale=en_EP&amp;FT=D&amp;date=20170208&amp;CC=CN&amp;NR=106384312A&amp;KC=A")</f>
        <v>https://worldwide.espacenet.com/publicationDetails/biblio?II=124&amp;ND=3&amp;adjacent=true&amp;locale=en_EP&amp;FT=D&amp;date=20170208&amp;CC=CN&amp;NR=106384312A&amp;KC=A</v>
      </c>
    </row>
    <row r="1019" spans="3:5" x14ac:dyDescent="0.25">
      <c r="C1019" t="s">
        <v>1672</v>
      </c>
      <c r="D1019" t="s">
        <v>1673</v>
      </c>
      <c r="E1019" t="str">
        <f>HYPERLINK("https://worldwide.espacenet.com/publicationDetails/biblio?II=125&amp;ND=3&amp;adjacent=true&amp;locale=en_EP&amp;FT=D&amp;date=20170201&amp;CC=CN&amp;NR=106373043A&amp;KC=A")</f>
        <v>https://worldwide.espacenet.com/publicationDetails/biblio?II=125&amp;ND=3&amp;adjacent=true&amp;locale=en_EP&amp;FT=D&amp;date=20170201&amp;CC=CN&amp;NR=106373043A&amp;KC=A</v>
      </c>
    </row>
    <row r="1020" spans="3:5" x14ac:dyDescent="0.25">
      <c r="C1020" t="s">
        <v>1674</v>
      </c>
      <c r="D1020" t="s">
        <v>1675</v>
      </c>
      <c r="E1020" t="str">
        <f>HYPERLINK("https://worldwide.espacenet.com/publicationDetails/biblio?II=126&amp;ND=3&amp;adjacent=true&amp;locale=en_EP&amp;FT=D&amp;date=20170201&amp;CC=CN&amp;NR=205916021U&amp;KC=U")</f>
        <v>https://worldwide.espacenet.com/publicationDetails/biblio?II=126&amp;ND=3&amp;adjacent=true&amp;locale=en_EP&amp;FT=D&amp;date=20170201&amp;CC=CN&amp;NR=205916021U&amp;KC=U</v>
      </c>
    </row>
    <row r="1021" spans="3:5" x14ac:dyDescent="0.25">
      <c r="C1021" t="s">
        <v>1676</v>
      </c>
      <c r="D1021" t="s">
        <v>1677</v>
      </c>
      <c r="E1021" t="str">
        <f>HYPERLINK("https://worldwide.espacenet.com/publicationDetails/biblio?II=127&amp;ND=3&amp;adjacent=true&amp;locale=en_EP&amp;FT=D&amp;date=20170125&amp;CC=CN&amp;NR=106357924A&amp;KC=A")</f>
        <v>https://worldwide.espacenet.com/publicationDetails/biblio?II=127&amp;ND=3&amp;adjacent=true&amp;locale=en_EP&amp;FT=D&amp;date=20170125&amp;CC=CN&amp;NR=106357924A&amp;KC=A</v>
      </c>
    </row>
    <row r="1022" spans="3:5" x14ac:dyDescent="0.25">
      <c r="C1022" t="s">
        <v>1678</v>
      </c>
      <c r="D1022" t="s">
        <v>1679</v>
      </c>
      <c r="E1022" t="str">
        <f>HYPERLINK("https://worldwide.espacenet.com/publicationDetails/biblio?II=128&amp;ND=3&amp;adjacent=true&amp;locale=en_EP&amp;FT=D&amp;date=20170125&amp;CC=CN&amp;NR=106358010A&amp;KC=A")</f>
        <v>https://worldwide.espacenet.com/publicationDetails/biblio?II=128&amp;ND=3&amp;adjacent=true&amp;locale=en_EP&amp;FT=D&amp;date=20170125&amp;CC=CN&amp;NR=106358010A&amp;KC=A</v>
      </c>
    </row>
    <row r="1023" spans="3:5" x14ac:dyDescent="0.25">
      <c r="C1023" t="s">
        <v>1680</v>
      </c>
      <c r="D1023" t="s">
        <v>1681</v>
      </c>
      <c r="E1023" t="str">
        <f>HYPERLINK("https://worldwide.espacenet.com/publicationDetails/biblio?II=129&amp;ND=3&amp;adjacent=true&amp;locale=en_EP&amp;FT=D&amp;date=20161111&amp;CC=TW&amp;NR=M531823U&amp;KC=U")</f>
        <v>https://worldwide.espacenet.com/publicationDetails/biblio?II=129&amp;ND=3&amp;adjacent=true&amp;locale=en_EP&amp;FT=D&amp;date=20161111&amp;CC=TW&amp;NR=M531823U&amp;KC=U</v>
      </c>
    </row>
    <row r="1024" spans="3:5" x14ac:dyDescent="0.25">
      <c r="C1024" t="s">
        <v>1682</v>
      </c>
      <c r="D1024" t="s">
        <v>1683</v>
      </c>
      <c r="E1024" t="str">
        <f>HYPERLINK("https://worldwide.espacenet.com/publicationDetails/biblio?II=130&amp;ND=3&amp;adjacent=true&amp;locale=en_EP&amp;FT=D&amp;date=20170118&amp;CC=CN&amp;NR=106339959A&amp;KC=A")</f>
        <v>https://worldwide.espacenet.com/publicationDetails/biblio?II=130&amp;ND=3&amp;adjacent=true&amp;locale=en_EP&amp;FT=D&amp;date=20170118&amp;CC=CN&amp;NR=106339959A&amp;KC=A</v>
      </c>
    </row>
    <row r="1025" spans="3:5" x14ac:dyDescent="0.25">
      <c r="C1025" t="s">
        <v>1356</v>
      </c>
      <c r="D1025" t="s">
        <v>1357</v>
      </c>
      <c r="E1025" t="str">
        <f>HYPERLINK("https://worldwide.espacenet.com/publicationDetails/biblio?II=131&amp;ND=3&amp;adjacent=true&amp;locale=en_EP&amp;FT=D&amp;date=20170118&amp;CC=CN&amp;NR=205897359U&amp;KC=U")</f>
        <v>https://worldwide.espacenet.com/publicationDetails/biblio?II=131&amp;ND=3&amp;adjacent=true&amp;locale=en_EP&amp;FT=D&amp;date=20170118&amp;CC=CN&amp;NR=205897359U&amp;KC=U</v>
      </c>
    </row>
    <row r="1026" spans="3:5" x14ac:dyDescent="0.25">
      <c r="C1026" t="s">
        <v>1684</v>
      </c>
      <c r="D1026" t="s">
        <v>1685</v>
      </c>
      <c r="E1026" t="str">
        <f>HYPERLINK("https://worldwide.espacenet.com/publicationDetails/biblio?II=132&amp;ND=3&amp;adjacent=true&amp;locale=en_EP&amp;FT=D&amp;date=20170111&amp;CC=CN&amp;NR=106327373A&amp;KC=A")</f>
        <v>https://worldwide.espacenet.com/publicationDetails/biblio?II=132&amp;ND=3&amp;adjacent=true&amp;locale=en_EP&amp;FT=D&amp;date=20170111&amp;CC=CN&amp;NR=106327373A&amp;KC=A</v>
      </c>
    </row>
    <row r="1027" spans="3:5" x14ac:dyDescent="0.25">
      <c r="C1027" t="s">
        <v>1686</v>
      </c>
      <c r="D1027" t="s">
        <v>1687</v>
      </c>
      <c r="E1027" t="str">
        <f>HYPERLINK("https://worldwide.espacenet.com/publicationDetails/biblio?II=133&amp;ND=3&amp;adjacent=true&amp;locale=en_EP&amp;FT=D&amp;date=20170111&amp;CC=CN&amp;NR=106327372A&amp;KC=A")</f>
        <v>https://worldwide.espacenet.com/publicationDetails/biblio?II=133&amp;ND=3&amp;adjacent=true&amp;locale=en_EP&amp;FT=D&amp;date=20170111&amp;CC=CN&amp;NR=106327372A&amp;KC=A</v>
      </c>
    </row>
    <row r="1028" spans="3:5" x14ac:dyDescent="0.25">
      <c r="C1028" t="s">
        <v>1688</v>
      </c>
      <c r="D1028" t="s">
        <v>1689</v>
      </c>
      <c r="E1028" t="str">
        <f>HYPERLINK("https://worldwide.espacenet.com/publicationDetails/biblio?II=134&amp;ND=3&amp;adjacent=true&amp;locale=en_EP&amp;FT=D&amp;date=20170104&amp;CC=CN&amp;NR=106303381A&amp;KC=A")</f>
        <v>https://worldwide.espacenet.com/publicationDetails/biblio?II=134&amp;ND=3&amp;adjacent=true&amp;locale=en_EP&amp;FT=D&amp;date=20170104&amp;CC=CN&amp;NR=106303381A&amp;KC=A</v>
      </c>
    </row>
    <row r="1029" spans="3:5" x14ac:dyDescent="0.25">
      <c r="C1029" t="s">
        <v>1690</v>
      </c>
      <c r="D1029" t="s">
        <v>1691</v>
      </c>
      <c r="E1029" t="str">
        <f>HYPERLINK("https://worldwide.espacenet.com/publicationDetails/biblio?II=135&amp;ND=3&amp;adjacent=true&amp;locale=en_EP&amp;FT=D&amp;date=20170419&amp;CC=GB&amp;NR=2543416A&amp;KC=A")</f>
        <v>https://worldwide.espacenet.com/publicationDetails/biblio?II=135&amp;ND=3&amp;adjacent=true&amp;locale=en_EP&amp;FT=D&amp;date=20170419&amp;CC=GB&amp;NR=2543416A&amp;KC=A</v>
      </c>
    </row>
    <row r="1030" spans="3:5" x14ac:dyDescent="0.25">
      <c r="C1030" t="s">
        <v>1692</v>
      </c>
      <c r="D1030" t="s">
        <v>1693</v>
      </c>
      <c r="E1030" t="str">
        <f>HYPERLINK("https://worldwide.espacenet.com/publicationDetails/biblio?II=136&amp;ND=3&amp;adjacent=true&amp;locale=en_EP&amp;FT=D&amp;date=20161214&amp;CC=CN&amp;NR=106225799A&amp;KC=A")</f>
        <v>https://worldwide.espacenet.com/publicationDetails/biblio?II=136&amp;ND=3&amp;adjacent=true&amp;locale=en_EP&amp;FT=D&amp;date=20161214&amp;CC=CN&amp;NR=106225799A&amp;KC=A</v>
      </c>
    </row>
    <row r="1031" spans="3:5" x14ac:dyDescent="0.25">
      <c r="C1031" t="s">
        <v>1694</v>
      </c>
      <c r="D1031" t="s">
        <v>1695</v>
      </c>
      <c r="E1031" t="str">
        <f>HYPERLINK("https://worldwide.espacenet.com/publicationDetails/biblio?II=137&amp;ND=3&amp;adjacent=true&amp;locale=en_EP&amp;FT=D&amp;date=20161116&amp;CC=CN&amp;NR=106126735A&amp;KC=A")</f>
        <v>https://worldwide.espacenet.com/publicationDetails/biblio?II=137&amp;ND=3&amp;adjacent=true&amp;locale=en_EP&amp;FT=D&amp;date=20161116&amp;CC=CN&amp;NR=106126735A&amp;KC=A</v>
      </c>
    </row>
    <row r="1032" spans="3:5" x14ac:dyDescent="0.25">
      <c r="C1032" t="s">
        <v>1696</v>
      </c>
      <c r="D1032" t="s">
        <v>1697</v>
      </c>
      <c r="E1032" t="str">
        <f>HYPERLINK("https://worldwide.espacenet.com/publicationDetails/biblio?II=138&amp;ND=3&amp;adjacent=true&amp;locale=en_EP&amp;FT=D&amp;date=20161208&amp;CC=US&amp;NR=2016358273A1&amp;KC=A1")</f>
        <v>https://worldwide.espacenet.com/publicationDetails/biblio?II=138&amp;ND=3&amp;adjacent=true&amp;locale=en_EP&amp;FT=D&amp;date=20161208&amp;CC=US&amp;NR=2016358273A1&amp;KC=A1</v>
      </c>
    </row>
    <row r="1033" spans="3:5" x14ac:dyDescent="0.25">
      <c r="C1033" t="s">
        <v>1698</v>
      </c>
      <c r="D1033" t="s">
        <v>1699</v>
      </c>
      <c r="E1033" t="str">
        <f>HYPERLINK("https://worldwide.espacenet.com/publicationDetails/biblio?II=139&amp;ND=3&amp;adjacent=true&amp;locale=en_EP&amp;FT=D&amp;date=20161116&amp;CC=CN&amp;NR=106127621A&amp;KC=A")</f>
        <v>https://worldwide.espacenet.com/publicationDetails/biblio?II=139&amp;ND=3&amp;adjacent=true&amp;locale=en_EP&amp;FT=D&amp;date=20161116&amp;CC=CN&amp;NR=106127621A&amp;KC=A</v>
      </c>
    </row>
    <row r="1034" spans="3:5" x14ac:dyDescent="0.25">
      <c r="C1034" t="s">
        <v>1700</v>
      </c>
      <c r="D1034" t="s">
        <v>1701</v>
      </c>
      <c r="E1034" t="str">
        <f>HYPERLINK("https://worldwide.espacenet.com/publicationDetails/biblio?II=140&amp;ND=3&amp;adjacent=true&amp;locale=en_EP&amp;FT=D&amp;date=20161109&amp;CC=CN&amp;NR=106102015A&amp;KC=A")</f>
        <v>https://worldwide.espacenet.com/publicationDetails/biblio?II=140&amp;ND=3&amp;adjacent=true&amp;locale=en_EP&amp;FT=D&amp;date=20161109&amp;CC=CN&amp;NR=106102015A&amp;KC=A</v>
      </c>
    </row>
    <row r="1035" spans="3:5" x14ac:dyDescent="0.25">
      <c r="C1035" t="s">
        <v>1702</v>
      </c>
      <c r="D1035" t="s">
        <v>1703</v>
      </c>
      <c r="E1035" t="str">
        <f>HYPERLINK("https://worldwide.espacenet.com/publicationDetails/biblio?II=141&amp;ND=3&amp;adjacent=true&amp;locale=en_EP&amp;FT=D&amp;date=20161026&amp;CC=CN&amp;NR=106056261A&amp;KC=A")</f>
        <v>https://worldwide.espacenet.com/publicationDetails/biblio?II=141&amp;ND=3&amp;adjacent=true&amp;locale=en_EP&amp;FT=D&amp;date=20161026&amp;CC=CN&amp;NR=106056261A&amp;KC=A</v>
      </c>
    </row>
    <row r="1036" spans="3:5" x14ac:dyDescent="0.25">
      <c r="C1036" t="s">
        <v>1704</v>
      </c>
      <c r="D1036" t="s">
        <v>1705</v>
      </c>
      <c r="E1036" t="str">
        <f>HYPERLINK("https://worldwide.espacenet.com/publicationDetails/biblio?II=142&amp;ND=3&amp;adjacent=true&amp;locale=en_EP&amp;FT=D&amp;date=20161005&amp;CC=KR&amp;NR=20160114276A&amp;KC=A")</f>
        <v>https://worldwide.espacenet.com/publicationDetails/biblio?II=142&amp;ND=3&amp;adjacent=true&amp;locale=en_EP&amp;FT=D&amp;date=20161005&amp;CC=KR&amp;NR=20160114276A&amp;KC=A</v>
      </c>
    </row>
    <row r="1037" spans="3:5" x14ac:dyDescent="0.25">
      <c r="C1037" t="s">
        <v>1706</v>
      </c>
      <c r="D1037" t="s">
        <v>1707</v>
      </c>
      <c r="E1037" t="str">
        <f>HYPERLINK("https://worldwide.espacenet.com/publicationDetails/biblio?II=143&amp;ND=3&amp;adjacent=true&amp;locale=en_EP&amp;FT=D&amp;date=20161019&amp;CC=CN&amp;NR=106033509A&amp;KC=A")</f>
        <v>https://worldwide.espacenet.com/publicationDetails/biblio?II=143&amp;ND=3&amp;adjacent=true&amp;locale=en_EP&amp;FT=D&amp;date=20161019&amp;CC=CN&amp;NR=106033509A&amp;KC=A</v>
      </c>
    </row>
    <row r="1038" spans="3:5" x14ac:dyDescent="0.25">
      <c r="C1038" t="s">
        <v>1708</v>
      </c>
      <c r="D1038" t="s">
        <v>1709</v>
      </c>
      <c r="E1038" t="str">
        <f>HYPERLINK("https://worldwide.espacenet.com/publicationDetails/biblio?II=144&amp;ND=3&amp;adjacent=true&amp;locale=en_EP&amp;FT=D&amp;date=20161012&amp;CC=CN&amp;NR=205644202U&amp;KC=U")</f>
        <v>https://worldwide.espacenet.com/publicationDetails/biblio?II=144&amp;ND=3&amp;adjacent=true&amp;locale=en_EP&amp;FT=D&amp;date=20161012&amp;CC=CN&amp;NR=205644202U&amp;KC=U</v>
      </c>
    </row>
    <row r="1039" spans="3:5" x14ac:dyDescent="0.25">
      <c r="C1039" t="s">
        <v>1710</v>
      </c>
      <c r="D1039" t="s">
        <v>1711</v>
      </c>
      <c r="E1039" t="str">
        <f>HYPERLINK("https://worldwide.espacenet.com/publicationDetails/biblio?II=145&amp;ND=3&amp;adjacent=true&amp;locale=en_EP&amp;FT=D&amp;date=20160928&amp;CC=CN&amp;NR=205609160U&amp;KC=U")</f>
        <v>https://worldwide.espacenet.com/publicationDetails/biblio?II=145&amp;ND=3&amp;adjacent=true&amp;locale=en_EP&amp;FT=D&amp;date=20160928&amp;CC=CN&amp;NR=205609160U&amp;KC=U</v>
      </c>
    </row>
    <row r="1040" spans="3:5" x14ac:dyDescent="0.25">
      <c r="C1040" t="s">
        <v>1712</v>
      </c>
      <c r="D1040" t="s">
        <v>1713</v>
      </c>
      <c r="E1040" t="str">
        <f>HYPERLINK("https://worldwide.espacenet.com/publicationDetails/biblio?II=146&amp;ND=3&amp;adjacent=true&amp;locale=en_EP&amp;FT=D&amp;date=20160928&amp;CC=CN&amp;NR=205608954U&amp;KC=U")</f>
        <v>https://worldwide.espacenet.com/publicationDetails/biblio?II=146&amp;ND=3&amp;adjacent=true&amp;locale=en_EP&amp;FT=D&amp;date=20160928&amp;CC=CN&amp;NR=205608954U&amp;KC=U</v>
      </c>
    </row>
    <row r="1041" spans="3:5" x14ac:dyDescent="0.25">
      <c r="C1041" t="s">
        <v>1714</v>
      </c>
      <c r="D1041" t="s">
        <v>1715</v>
      </c>
      <c r="E1041" t="str">
        <f>HYPERLINK("https://worldwide.espacenet.com/publicationDetails/biblio?II=147&amp;ND=3&amp;adjacent=true&amp;locale=en_EP&amp;FT=D&amp;date=20160928&amp;CC=CN&amp;NR=205608940U&amp;KC=U")</f>
        <v>https://worldwide.espacenet.com/publicationDetails/biblio?II=147&amp;ND=3&amp;adjacent=true&amp;locale=en_EP&amp;FT=D&amp;date=20160928&amp;CC=CN&amp;NR=205608940U&amp;KC=U</v>
      </c>
    </row>
    <row r="1042" spans="3:5" x14ac:dyDescent="0.25">
      <c r="C1042" t="s">
        <v>1716</v>
      </c>
      <c r="D1042" t="s">
        <v>1717</v>
      </c>
      <c r="E1042" t="str">
        <f>HYPERLINK("https://worldwide.espacenet.com/publicationDetails/biblio?II=148&amp;ND=3&amp;adjacent=true&amp;locale=en_EP&amp;FT=D&amp;date=20160921&amp;CC=CN&amp;NR=105956949A&amp;KC=A")</f>
        <v>https://worldwide.espacenet.com/publicationDetails/biblio?II=148&amp;ND=3&amp;adjacent=true&amp;locale=en_EP&amp;FT=D&amp;date=20160921&amp;CC=CN&amp;NR=105956949A&amp;KC=A</v>
      </c>
    </row>
    <row r="1043" spans="3:5" x14ac:dyDescent="0.25">
      <c r="C1043" t="s">
        <v>1718</v>
      </c>
      <c r="D1043" t="s">
        <v>1719</v>
      </c>
      <c r="E1043" t="str">
        <f>HYPERLINK("https://worldwide.espacenet.com/publicationDetails/biblio?II=149&amp;ND=3&amp;adjacent=true&amp;locale=en_EP&amp;FT=D&amp;date=20160921&amp;CC=CN&amp;NR=105956758A&amp;KC=A")</f>
        <v>https://worldwide.espacenet.com/publicationDetails/biblio?II=149&amp;ND=3&amp;adjacent=true&amp;locale=en_EP&amp;FT=D&amp;date=20160921&amp;CC=CN&amp;NR=105956758A&amp;KC=A</v>
      </c>
    </row>
    <row r="1044" spans="3:5" x14ac:dyDescent="0.25">
      <c r="C1044" t="s">
        <v>1720</v>
      </c>
      <c r="D1044" t="s">
        <v>1721</v>
      </c>
      <c r="E1044" t="str">
        <f>HYPERLINK("https://worldwide.espacenet.com/publicationDetails/biblio?II=150&amp;ND=3&amp;adjacent=true&amp;locale=en_EP&amp;FT=D&amp;date=20160921&amp;CC=CN&amp;NR=105956679A&amp;KC=A")</f>
        <v>https://worldwide.espacenet.com/publicationDetails/biblio?II=150&amp;ND=3&amp;adjacent=true&amp;locale=en_EP&amp;FT=D&amp;date=20160921&amp;CC=CN&amp;NR=105956679A&amp;KC=A</v>
      </c>
    </row>
    <row r="1045" spans="3:5" x14ac:dyDescent="0.25">
      <c r="C1045" t="s">
        <v>1722</v>
      </c>
      <c r="D1045" t="s">
        <v>1723</v>
      </c>
      <c r="E1045" t="str">
        <f>HYPERLINK("https://worldwide.espacenet.com/publicationDetails/biblio?II=151&amp;ND=3&amp;adjacent=true&amp;locale=en_EP&amp;FT=D&amp;date=20160914&amp;CC=CN&amp;NR=205583855U&amp;KC=U")</f>
        <v>https://worldwide.espacenet.com/publicationDetails/biblio?II=151&amp;ND=3&amp;adjacent=true&amp;locale=en_EP&amp;FT=D&amp;date=20160914&amp;CC=CN&amp;NR=205583855U&amp;KC=U</v>
      </c>
    </row>
    <row r="1046" spans="3:5" x14ac:dyDescent="0.25">
      <c r="C1046" t="s">
        <v>1724</v>
      </c>
      <c r="D1046" t="s">
        <v>1725</v>
      </c>
      <c r="E1046" t="str">
        <f>HYPERLINK("https://worldwide.espacenet.com/publicationDetails/biblio?II=152&amp;ND=3&amp;adjacent=true&amp;locale=en_EP&amp;FT=D&amp;date=20160907&amp;CC=CN&amp;NR=205566366U&amp;KC=U")</f>
        <v>https://worldwide.espacenet.com/publicationDetails/biblio?II=152&amp;ND=3&amp;adjacent=true&amp;locale=en_EP&amp;FT=D&amp;date=20160907&amp;CC=CN&amp;NR=205566366U&amp;KC=U</v>
      </c>
    </row>
    <row r="1047" spans="3:5" x14ac:dyDescent="0.25">
      <c r="C1047" t="s">
        <v>1726</v>
      </c>
      <c r="D1047" t="s">
        <v>1727</v>
      </c>
      <c r="E1047" t="str">
        <f>HYPERLINK("https://worldwide.espacenet.com/publicationDetails/biblio?II=153&amp;ND=3&amp;adjacent=true&amp;locale=en_EP&amp;FT=D&amp;date=20160831&amp;CC=CN&amp;NR=105913183A&amp;KC=A")</f>
        <v>https://worldwide.espacenet.com/publicationDetails/biblio?II=153&amp;ND=3&amp;adjacent=true&amp;locale=en_EP&amp;FT=D&amp;date=20160831&amp;CC=CN&amp;NR=105913183A&amp;KC=A</v>
      </c>
    </row>
    <row r="1048" spans="3:5" x14ac:dyDescent="0.25">
      <c r="C1048" t="s">
        <v>1728</v>
      </c>
      <c r="D1048" t="s">
        <v>1729</v>
      </c>
      <c r="E1048" t="str">
        <f>HYPERLINK("https://worldwide.espacenet.com/publicationDetails/biblio?II=154&amp;ND=3&amp;adjacent=true&amp;locale=en_EP&amp;FT=D&amp;date=20160824&amp;CC=CN&amp;NR=105894998A&amp;KC=A")</f>
        <v>https://worldwide.espacenet.com/publicationDetails/biblio?II=154&amp;ND=3&amp;adjacent=true&amp;locale=en_EP&amp;FT=D&amp;date=20160824&amp;CC=CN&amp;NR=105894998A&amp;KC=A</v>
      </c>
    </row>
    <row r="1049" spans="3:5" x14ac:dyDescent="0.25">
      <c r="C1049" t="s">
        <v>1730</v>
      </c>
      <c r="D1049" t="s">
        <v>1731</v>
      </c>
      <c r="E1049" t="str">
        <f>HYPERLINK("https://worldwide.espacenet.com/publicationDetails/biblio?II=155&amp;ND=3&amp;adjacent=true&amp;locale=en_EP&amp;FT=D&amp;date=20160817&amp;CC=CN&amp;NR=205486330U&amp;KC=U")</f>
        <v>https://worldwide.espacenet.com/publicationDetails/biblio?II=155&amp;ND=3&amp;adjacent=true&amp;locale=en_EP&amp;FT=D&amp;date=20160817&amp;CC=CN&amp;NR=205486330U&amp;KC=U</v>
      </c>
    </row>
    <row r="1050" spans="3:5" x14ac:dyDescent="0.25">
      <c r="C1050" t="s">
        <v>1732</v>
      </c>
      <c r="D1050" t="s">
        <v>1733</v>
      </c>
      <c r="E1050" t="str">
        <f>HYPERLINK("https://worldwide.espacenet.com/publicationDetails/biblio?II=156&amp;ND=3&amp;adjacent=true&amp;locale=en_EP&amp;FT=D&amp;date=20160817&amp;CC=CN&amp;NR=105872467A&amp;KC=A")</f>
        <v>https://worldwide.espacenet.com/publicationDetails/biblio?II=156&amp;ND=3&amp;adjacent=true&amp;locale=en_EP&amp;FT=D&amp;date=20160817&amp;CC=CN&amp;NR=105872467A&amp;KC=A</v>
      </c>
    </row>
    <row r="1051" spans="3:5" x14ac:dyDescent="0.25">
      <c r="C1051" t="s">
        <v>1734</v>
      </c>
      <c r="D1051" t="s">
        <v>1735</v>
      </c>
      <c r="E1051" t="str">
        <f>HYPERLINK("https://worldwide.espacenet.com/publicationDetails/biblio?II=157&amp;ND=3&amp;adjacent=true&amp;locale=en_EP&amp;FT=D&amp;date=20160810&amp;CC=CN&amp;NR=205453970U&amp;KC=U")</f>
        <v>https://worldwide.espacenet.com/publicationDetails/biblio?II=157&amp;ND=3&amp;adjacent=true&amp;locale=en_EP&amp;FT=D&amp;date=20160810&amp;CC=CN&amp;NR=205453970U&amp;KC=U</v>
      </c>
    </row>
    <row r="1052" spans="3:5" x14ac:dyDescent="0.25">
      <c r="C1052" t="s">
        <v>1736</v>
      </c>
      <c r="D1052" t="s">
        <v>1737</v>
      </c>
      <c r="E1052" t="str">
        <f>HYPERLINK("https://worldwide.espacenet.com/publicationDetails/biblio?II=158&amp;ND=3&amp;adjacent=true&amp;locale=en_EP&amp;FT=D&amp;date=20160810&amp;CC=CN&amp;NR=105844730A&amp;KC=A")</f>
        <v>https://worldwide.espacenet.com/publicationDetails/biblio?II=158&amp;ND=3&amp;adjacent=true&amp;locale=en_EP&amp;FT=D&amp;date=20160810&amp;CC=CN&amp;NR=105844730A&amp;KC=A</v>
      </c>
    </row>
    <row r="1053" spans="3:5" x14ac:dyDescent="0.25">
      <c r="C1053" t="s">
        <v>1738</v>
      </c>
      <c r="D1053" t="s">
        <v>1739</v>
      </c>
      <c r="E1053" t="str">
        <f>HYPERLINK("https://worldwide.espacenet.com/publicationDetails/biblio?II=159&amp;ND=3&amp;adjacent=true&amp;locale=en_EP&amp;FT=D&amp;date=20160803&amp;CC=CN&amp;NR=205430324U&amp;KC=U")</f>
        <v>https://worldwide.espacenet.com/publicationDetails/biblio?II=159&amp;ND=3&amp;adjacent=true&amp;locale=en_EP&amp;FT=D&amp;date=20160803&amp;CC=CN&amp;NR=205430324U&amp;KC=U</v>
      </c>
    </row>
    <row r="1054" spans="3:5" x14ac:dyDescent="0.25">
      <c r="C1054" t="s">
        <v>1740</v>
      </c>
      <c r="D1054" t="s">
        <v>1741</v>
      </c>
      <c r="E1054" t="str">
        <f>HYPERLINK("https://worldwide.espacenet.com/publicationDetails/biblio?II=160&amp;ND=3&amp;adjacent=true&amp;locale=en_EP&amp;FT=D&amp;date=20160803&amp;CC=CN&amp;NR=105828228A&amp;KC=A")</f>
        <v>https://worldwide.espacenet.com/publicationDetails/biblio?II=160&amp;ND=3&amp;adjacent=true&amp;locale=en_EP&amp;FT=D&amp;date=20160803&amp;CC=CN&amp;NR=105828228A&amp;KC=A</v>
      </c>
    </row>
    <row r="1055" spans="3:5" x14ac:dyDescent="0.25">
      <c r="C1055" t="s">
        <v>1742</v>
      </c>
      <c r="D1055" t="s">
        <v>1743</v>
      </c>
      <c r="E1055" t="str">
        <f>HYPERLINK("https://worldwide.espacenet.com/publicationDetails/biblio?II=161&amp;ND=3&amp;adjacent=true&amp;locale=en_EP&amp;FT=D&amp;date=20160608&amp;CC=CN&amp;NR=105657664A&amp;KC=A")</f>
        <v>https://worldwide.espacenet.com/publicationDetails/biblio?II=161&amp;ND=3&amp;adjacent=true&amp;locale=en_EP&amp;FT=D&amp;date=20160608&amp;CC=CN&amp;NR=105657664A&amp;KC=A</v>
      </c>
    </row>
    <row r="1056" spans="3:5" x14ac:dyDescent="0.25">
      <c r="C1056" t="s">
        <v>1744</v>
      </c>
      <c r="D1056" t="s">
        <v>1745</v>
      </c>
      <c r="E1056" t="str">
        <f>HYPERLINK("https://worldwide.espacenet.com/publicationDetails/biblio?II=162&amp;ND=3&amp;adjacent=true&amp;locale=en_EP&amp;FT=D&amp;date=20160608&amp;CC=CN&amp;NR=105657038A&amp;KC=A")</f>
        <v>https://worldwide.espacenet.com/publicationDetails/biblio?II=162&amp;ND=3&amp;adjacent=true&amp;locale=en_EP&amp;FT=D&amp;date=20160608&amp;CC=CN&amp;NR=105657038A&amp;KC=A</v>
      </c>
    </row>
    <row r="1057" spans="3:5" x14ac:dyDescent="0.25">
      <c r="C1057" t="s">
        <v>1746</v>
      </c>
      <c r="D1057" t="s">
        <v>1747</v>
      </c>
      <c r="E1057" t="str">
        <f>HYPERLINK("https://worldwide.espacenet.com/publicationDetails/biblio?II=163&amp;ND=3&amp;adjacent=true&amp;locale=en_EP&amp;FT=D&amp;date=20160727&amp;CC=CN&amp;NR=105810132A&amp;KC=A")</f>
        <v>https://worldwide.espacenet.com/publicationDetails/biblio?II=163&amp;ND=3&amp;adjacent=true&amp;locale=en_EP&amp;FT=D&amp;date=20160727&amp;CC=CN&amp;NR=105810132A&amp;KC=A</v>
      </c>
    </row>
    <row r="1058" spans="3:5" x14ac:dyDescent="0.25">
      <c r="C1058" t="s">
        <v>1748</v>
      </c>
      <c r="D1058" t="s">
        <v>1749</v>
      </c>
      <c r="E1058" t="str">
        <f>HYPERLINK("https://worldwide.espacenet.com/publicationDetails/biblio?II=164&amp;ND=3&amp;adjacent=true&amp;locale=en_EP&amp;FT=D&amp;date=20160720&amp;CC=CN&amp;NR=105791424A&amp;KC=A")</f>
        <v>https://worldwide.espacenet.com/publicationDetails/biblio?II=164&amp;ND=3&amp;adjacent=true&amp;locale=en_EP&amp;FT=D&amp;date=20160720&amp;CC=CN&amp;NR=105791424A&amp;KC=A</v>
      </c>
    </row>
    <row r="1059" spans="3:5" x14ac:dyDescent="0.25">
      <c r="C1059" t="s">
        <v>1750</v>
      </c>
      <c r="D1059" t="s">
        <v>1751</v>
      </c>
      <c r="E1059" t="str">
        <f>HYPERLINK("https://worldwide.espacenet.com/publicationDetails/biblio?II=165&amp;ND=3&amp;adjacent=true&amp;locale=en_EP&amp;FT=D&amp;date=20160720&amp;CC=CN&amp;NR=105784969A&amp;KC=A")</f>
        <v>https://worldwide.espacenet.com/publicationDetails/biblio?II=165&amp;ND=3&amp;adjacent=true&amp;locale=en_EP&amp;FT=D&amp;date=20160720&amp;CC=CN&amp;NR=105784969A&amp;KC=A</v>
      </c>
    </row>
    <row r="1060" spans="3:5" x14ac:dyDescent="0.25">
      <c r="C1060" t="s">
        <v>1752</v>
      </c>
      <c r="D1060" t="s">
        <v>1753</v>
      </c>
      <c r="E1060" t="str">
        <f>HYPERLINK("https://worldwide.espacenet.com/publicationDetails/biblio?II=166&amp;ND=3&amp;adjacent=true&amp;locale=en_EP&amp;FT=D&amp;date=20160901&amp;CC=TW&amp;NR=201631545A&amp;KC=A")</f>
        <v>https://worldwide.espacenet.com/publicationDetails/biblio?II=166&amp;ND=3&amp;adjacent=true&amp;locale=en_EP&amp;FT=D&amp;date=20160901&amp;CC=TW&amp;NR=201631545A&amp;KC=A</v>
      </c>
    </row>
    <row r="1061" spans="3:5" x14ac:dyDescent="0.25">
      <c r="C1061" t="s">
        <v>1754</v>
      </c>
      <c r="D1061" t="s">
        <v>1755</v>
      </c>
      <c r="E1061" t="str">
        <f>HYPERLINK("https://worldwide.espacenet.com/publicationDetails/biblio?II=167&amp;ND=3&amp;adjacent=true&amp;locale=en_EP&amp;FT=D&amp;date=20160713&amp;CC=CN&amp;NR=105761457A&amp;KC=A")</f>
        <v>https://worldwide.espacenet.com/publicationDetails/biblio?II=167&amp;ND=3&amp;adjacent=true&amp;locale=en_EP&amp;FT=D&amp;date=20160713&amp;CC=CN&amp;NR=105761457A&amp;KC=A</v>
      </c>
    </row>
    <row r="1062" spans="3:5" x14ac:dyDescent="0.25">
      <c r="C1062" t="s">
        <v>1756</v>
      </c>
      <c r="D1062" t="s">
        <v>1757</v>
      </c>
      <c r="E1062" t="str">
        <f>HYPERLINK("https://worldwide.espacenet.com/publicationDetails/biblio?II=168&amp;ND=3&amp;adjacent=true&amp;locale=en_EP&amp;FT=D&amp;date=20160713&amp;CC=CN&amp;NR=105761649A&amp;KC=A")</f>
        <v>https://worldwide.espacenet.com/publicationDetails/biblio?II=168&amp;ND=3&amp;adjacent=true&amp;locale=en_EP&amp;FT=D&amp;date=20160713&amp;CC=CN&amp;NR=105761649A&amp;KC=A</v>
      </c>
    </row>
    <row r="1063" spans="3:5" x14ac:dyDescent="0.25">
      <c r="C1063" t="s">
        <v>1758</v>
      </c>
      <c r="D1063" t="s">
        <v>1759</v>
      </c>
      <c r="E1063" t="str">
        <f>HYPERLINK("https://worldwide.espacenet.com/publicationDetails/biblio?II=169&amp;ND=3&amp;adjacent=true&amp;locale=en_EP&amp;FT=D&amp;date=20160706&amp;CC=CN&amp;NR=205375555U&amp;KC=U")</f>
        <v>https://worldwide.espacenet.com/publicationDetails/biblio?II=169&amp;ND=3&amp;adjacent=true&amp;locale=en_EP&amp;FT=D&amp;date=20160706&amp;CC=CN&amp;NR=205375555U&amp;KC=U</v>
      </c>
    </row>
    <row r="1064" spans="3:5" x14ac:dyDescent="0.25">
      <c r="C1064" t="s">
        <v>1760</v>
      </c>
      <c r="D1064" t="s">
        <v>1761</v>
      </c>
      <c r="E1064" t="str">
        <f>HYPERLINK("https://worldwide.espacenet.com/publicationDetails/biblio?II=170&amp;ND=3&amp;adjacent=true&amp;locale=en_EP&amp;FT=D&amp;date=20160706&amp;CC=CN&amp;NR=105739579A&amp;KC=A")</f>
        <v>https://worldwide.espacenet.com/publicationDetails/biblio?II=170&amp;ND=3&amp;adjacent=true&amp;locale=en_EP&amp;FT=D&amp;date=20160706&amp;CC=CN&amp;NR=105739579A&amp;KC=A</v>
      </c>
    </row>
    <row r="1065" spans="3:5" x14ac:dyDescent="0.25">
      <c r="C1065" t="s">
        <v>1762</v>
      </c>
      <c r="D1065" t="s">
        <v>1763</v>
      </c>
      <c r="E1065" t="str">
        <f>HYPERLINK("https://worldwide.espacenet.com/publicationDetails/biblio?II=171&amp;ND=3&amp;adjacent=true&amp;locale=en_EP&amp;FT=D&amp;date=20160629&amp;CC=CN&amp;NR=105719067A&amp;KC=A")</f>
        <v>https://worldwide.espacenet.com/publicationDetails/biblio?II=171&amp;ND=3&amp;adjacent=true&amp;locale=en_EP&amp;FT=D&amp;date=20160629&amp;CC=CN&amp;NR=105719067A&amp;KC=A</v>
      </c>
    </row>
    <row r="1066" spans="3:5" x14ac:dyDescent="0.25">
      <c r="C1066" t="s">
        <v>1764</v>
      </c>
      <c r="D1066" t="s">
        <v>1765</v>
      </c>
      <c r="E1066" t="str">
        <f>HYPERLINK("https://worldwide.espacenet.com/publicationDetails/biblio?II=172&amp;ND=3&amp;adjacent=true&amp;locale=en_EP&amp;FT=D&amp;date=20160629&amp;CC=CN&amp;NR=105718547A&amp;KC=A")</f>
        <v>https://worldwide.espacenet.com/publicationDetails/biblio?II=172&amp;ND=3&amp;adjacent=true&amp;locale=en_EP&amp;FT=D&amp;date=20160629&amp;CC=CN&amp;NR=105718547A&amp;KC=A</v>
      </c>
    </row>
    <row r="1067" spans="3:5" x14ac:dyDescent="0.25">
      <c r="C1067" t="s">
        <v>1766</v>
      </c>
      <c r="D1067" t="s">
        <v>1767</v>
      </c>
      <c r="E1067" t="str">
        <f>HYPERLINK("https://worldwide.espacenet.com/publicationDetails/biblio?II=173&amp;ND=3&amp;adjacent=true&amp;locale=en_EP&amp;FT=D&amp;date=20160601&amp;CC=KR&amp;NR=101621668B1&amp;KC=B1")</f>
        <v>https://worldwide.espacenet.com/publicationDetails/biblio?II=173&amp;ND=3&amp;adjacent=true&amp;locale=en_EP&amp;FT=D&amp;date=20160601&amp;CC=KR&amp;NR=101621668B1&amp;KC=B1</v>
      </c>
    </row>
    <row r="1068" spans="3:5" x14ac:dyDescent="0.25">
      <c r="C1068" t="s">
        <v>1768</v>
      </c>
      <c r="D1068" t="s">
        <v>1769</v>
      </c>
      <c r="E1068" t="str">
        <f>HYPERLINK("https://worldwide.espacenet.com/publicationDetails/biblio?II=174&amp;ND=3&amp;adjacent=true&amp;locale=en_EP&amp;FT=D&amp;date=20160601&amp;CC=CN&amp;NR=205267241U&amp;KC=U")</f>
        <v>https://worldwide.espacenet.com/publicationDetails/biblio?II=174&amp;ND=3&amp;adjacent=true&amp;locale=en_EP&amp;FT=D&amp;date=20160601&amp;CC=CN&amp;NR=205267241U&amp;KC=U</v>
      </c>
    </row>
    <row r="1069" spans="3:5" x14ac:dyDescent="0.25">
      <c r="C1069" t="s">
        <v>1770</v>
      </c>
      <c r="D1069" t="s">
        <v>1771</v>
      </c>
      <c r="E1069" t="str">
        <f>HYPERLINK("https://worldwide.espacenet.com/publicationDetails/biblio?II=175&amp;ND=3&amp;adjacent=true&amp;locale=en_EP&amp;FT=D&amp;date=20160518&amp;CC=CN&amp;NR=205233585U&amp;KC=U")</f>
        <v>https://worldwide.espacenet.com/publicationDetails/biblio?II=175&amp;ND=3&amp;adjacent=true&amp;locale=en_EP&amp;FT=D&amp;date=20160518&amp;CC=CN&amp;NR=205233585U&amp;KC=U</v>
      </c>
    </row>
    <row r="1070" spans="3:5" x14ac:dyDescent="0.25">
      <c r="C1070" t="s">
        <v>1360</v>
      </c>
      <c r="D1070" t="s">
        <v>1361</v>
      </c>
      <c r="E1070" t="str">
        <f>HYPERLINK("https://worldwide.espacenet.com/publicationDetails/biblio?II=176&amp;ND=3&amp;adjacent=true&amp;locale=en_EP&amp;FT=D&amp;date=20160511&amp;CC=CN&amp;NR=205219159U&amp;KC=U")</f>
        <v>https://worldwide.espacenet.com/publicationDetails/biblio?II=176&amp;ND=3&amp;adjacent=true&amp;locale=en_EP&amp;FT=D&amp;date=20160511&amp;CC=CN&amp;NR=205219159U&amp;KC=U</v>
      </c>
    </row>
    <row r="1071" spans="3:5" x14ac:dyDescent="0.25">
      <c r="C1071" t="s">
        <v>1772</v>
      </c>
      <c r="D1071" t="s">
        <v>1773</v>
      </c>
      <c r="E1071" t="str">
        <f>HYPERLINK("https://worldwide.espacenet.com/publicationDetails/biblio?II=177&amp;ND=3&amp;adjacent=true&amp;locale=en_EP&amp;FT=D&amp;date=20160511&amp;CC=CN&amp;NR=105574564A&amp;KC=A")</f>
        <v>https://worldwide.espacenet.com/publicationDetails/biblio?II=177&amp;ND=3&amp;adjacent=true&amp;locale=en_EP&amp;FT=D&amp;date=20160511&amp;CC=CN&amp;NR=105574564A&amp;KC=A</v>
      </c>
    </row>
    <row r="1072" spans="3:5" x14ac:dyDescent="0.25">
      <c r="C1072" t="s">
        <v>1774</v>
      </c>
      <c r="D1072" t="s">
        <v>1775</v>
      </c>
      <c r="E1072" t="str">
        <f>HYPERLINK("https://worldwide.espacenet.com/publicationDetails/biblio?II=178&amp;ND=3&amp;adjacent=true&amp;locale=en_EP&amp;FT=D&amp;date=20160509&amp;CC=JP&amp;NR=2016072811A&amp;KC=A")</f>
        <v>https://worldwide.espacenet.com/publicationDetails/biblio?II=178&amp;ND=3&amp;adjacent=true&amp;locale=en_EP&amp;FT=D&amp;date=20160509&amp;CC=JP&amp;NR=2016072811A&amp;KC=A</v>
      </c>
    </row>
    <row r="1073" spans="3:5" x14ac:dyDescent="0.25">
      <c r="C1073" t="s">
        <v>1774</v>
      </c>
      <c r="D1073" t="s">
        <v>1776</v>
      </c>
      <c r="E1073" t="str">
        <f>HYPERLINK("https://worldwide.espacenet.com/publicationDetails/biblio?II=179&amp;ND=3&amp;adjacent=true&amp;locale=en_EP&amp;FT=D&amp;date=20160509&amp;CC=JP&amp;NR=2016072812A&amp;KC=A")</f>
        <v>https://worldwide.espacenet.com/publicationDetails/biblio?II=179&amp;ND=3&amp;adjacent=true&amp;locale=en_EP&amp;FT=D&amp;date=20160509&amp;CC=JP&amp;NR=2016072812A&amp;KC=A</v>
      </c>
    </row>
    <row r="1074" spans="3:5" x14ac:dyDescent="0.25">
      <c r="C1074" t="s">
        <v>1777</v>
      </c>
      <c r="D1074" t="s">
        <v>1778</v>
      </c>
      <c r="E1074" t="str">
        <f>HYPERLINK("https://worldwide.espacenet.com/publicationDetails/biblio?II=180&amp;ND=3&amp;adjacent=true&amp;locale=en_EP&amp;FT=D&amp;date=20160504&amp;CC=CN&amp;NR=205210953U&amp;KC=U")</f>
        <v>https://worldwide.espacenet.com/publicationDetails/biblio?II=180&amp;ND=3&amp;adjacent=true&amp;locale=en_EP&amp;FT=D&amp;date=20160504&amp;CC=CN&amp;NR=205210953U&amp;KC=U</v>
      </c>
    </row>
    <row r="1075" spans="3:5" x14ac:dyDescent="0.25">
      <c r="C1075" t="s">
        <v>1779</v>
      </c>
      <c r="D1075" t="s">
        <v>1780</v>
      </c>
      <c r="E1075" t="str">
        <f>HYPERLINK("https://worldwide.espacenet.com/publicationDetails/biblio?II=181&amp;ND=3&amp;adjacent=true&amp;locale=en_EP&amp;FT=D&amp;date=20160504&amp;CC=CN&amp;NR=105550722A&amp;KC=A")</f>
        <v>https://worldwide.espacenet.com/publicationDetails/biblio?II=181&amp;ND=3&amp;adjacent=true&amp;locale=en_EP&amp;FT=D&amp;date=20160504&amp;CC=CN&amp;NR=105550722A&amp;KC=A</v>
      </c>
    </row>
    <row r="1076" spans="3:5" x14ac:dyDescent="0.25">
      <c r="C1076" t="s">
        <v>1781</v>
      </c>
      <c r="D1076" t="s">
        <v>1782</v>
      </c>
      <c r="E1076" t="str">
        <f>HYPERLINK("https://worldwide.espacenet.com/publicationDetails/biblio?II=182&amp;ND=3&amp;adjacent=true&amp;locale=en_EP&amp;FT=D&amp;date=20160427&amp;CC=CN&amp;NR=205193900U&amp;KC=U")</f>
        <v>https://worldwide.espacenet.com/publicationDetails/biblio?II=182&amp;ND=3&amp;adjacent=true&amp;locale=en_EP&amp;FT=D&amp;date=20160427&amp;CC=CN&amp;NR=205193900U&amp;KC=U</v>
      </c>
    </row>
    <row r="1077" spans="3:5" x14ac:dyDescent="0.25">
      <c r="C1077" t="s">
        <v>1783</v>
      </c>
      <c r="D1077" t="s">
        <v>1784</v>
      </c>
      <c r="E1077" t="str">
        <f>HYPERLINK("https://worldwide.espacenet.com/publicationDetails/biblio?II=183&amp;ND=3&amp;adjacent=true&amp;locale=en_EP&amp;FT=D&amp;date=20160420&amp;CC=CN&amp;NR=105516918A&amp;KC=A")</f>
        <v>https://worldwide.espacenet.com/publicationDetails/biblio?II=183&amp;ND=3&amp;adjacent=true&amp;locale=en_EP&amp;FT=D&amp;date=20160420&amp;CC=CN&amp;NR=105516918A&amp;KC=A</v>
      </c>
    </row>
    <row r="1078" spans="3:5" x14ac:dyDescent="0.25">
      <c r="C1078" t="s">
        <v>1785</v>
      </c>
      <c r="D1078" t="s">
        <v>1786</v>
      </c>
      <c r="E1078" t="str">
        <f>HYPERLINK("https://worldwide.espacenet.com/publicationDetails/biblio?II=184&amp;ND=3&amp;adjacent=true&amp;locale=en_EP&amp;FT=D&amp;date=20160406&amp;CC=CN&amp;NR=205140025U&amp;KC=U")</f>
        <v>https://worldwide.espacenet.com/publicationDetails/biblio?II=184&amp;ND=3&amp;adjacent=true&amp;locale=en_EP&amp;FT=D&amp;date=20160406&amp;CC=CN&amp;NR=205140025U&amp;KC=U</v>
      </c>
    </row>
    <row r="1079" spans="3:5" x14ac:dyDescent="0.25">
      <c r="C1079" t="s">
        <v>1787</v>
      </c>
      <c r="D1079" t="s">
        <v>1788</v>
      </c>
      <c r="E1079" t="str">
        <f>HYPERLINK("https://worldwide.espacenet.com/publicationDetails/biblio?II=185&amp;ND=3&amp;adjacent=true&amp;locale=en_EP&amp;FT=D&amp;date=20160406&amp;CC=CN&amp;NR=105472133A&amp;KC=A")</f>
        <v>https://worldwide.espacenet.com/publicationDetails/biblio?II=185&amp;ND=3&amp;adjacent=true&amp;locale=en_EP&amp;FT=D&amp;date=20160406&amp;CC=CN&amp;NR=105472133A&amp;KC=A</v>
      </c>
    </row>
    <row r="1080" spans="3:5" x14ac:dyDescent="0.25">
      <c r="C1080" t="s">
        <v>1789</v>
      </c>
      <c r="D1080" t="s">
        <v>1790</v>
      </c>
      <c r="E1080" t="str">
        <f>HYPERLINK("https://worldwide.espacenet.com/publicationDetails/biblio?II=186&amp;ND=3&amp;adjacent=true&amp;locale=en_EP&amp;FT=D&amp;date=20160324&amp;CC=WO&amp;NR=2016043663A1&amp;KC=A1")</f>
        <v>https://worldwide.espacenet.com/publicationDetails/biblio?II=186&amp;ND=3&amp;adjacent=true&amp;locale=en_EP&amp;FT=D&amp;date=20160324&amp;CC=WO&amp;NR=2016043663A1&amp;KC=A1</v>
      </c>
    </row>
    <row r="1081" spans="3:5" x14ac:dyDescent="0.25">
      <c r="C1081" t="s">
        <v>1791</v>
      </c>
      <c r="D1081" t="s">
        <v>1792</v>
      </c>
      <c r="E1081" t="str">
        <f>HYPERLINK("https://worldwide.espacenet.com/publicationDetails/biblio?II=187&amp;ND=3&amp;adjacent=true&amp;locale=en_EP&amp;FT=D&amp;date=20160316&amp;CC=CN&amp;NR=105404968A&amp;KC=A")</f>
        <v>https://worldwide.espacenet.com/publicationDetails/biblio?II=187&amp;ND=3&amp;adjacent=true&amp;locale=en_EP&amp;FT=D&amp;date=20160316&amp;CC=CN&amp;NR=105404968A&amp;KC=A</v>
      </c>
    </row>
    <row r="1082" spans="3:5" x14ac:dyDescent="0.25">
      <c r="C1082" t="s">
        <v>1793</v>
      </c>
      <c r="D1082" t="s">
        <v>1794</v>
      </c>
      <c r="E1082" t="str">
        <f>HYPERLINK("https://worldwide.espacenet.com/publicationDetails/biblio?II=188&amp;ND=3&amp;adjacent=true&amp;locale=en_EP&amp;FT=D&amp;date=20160309&amp;CC=CN&amp;NR=105386175A&amp;KC=A")</f>
        <v>https://worldwide.espacenet.com/publicationDetails/biblio?II=188&amp;ND=3&amp;adjacent=true&amp;locale=en_EP&amp;FT=D&amp;date=20160309&amp;CC=CN&amp;NR=105386175A&amp;KC=A</v>
      </c>
    </row>
    <row r="1083" spans="3:5" x14ac:dyDescent="0.25">
      <c r="C1083" t="s">
        <v>1795</v>
      </c>
      <c r="D1083" t="s">
        <v>1796</v>
      </c>
      <c r="E1083" t="str">
        <f>HYPERLINK("https://worldwide.espacenet.com/publicationDetails/biblio?II=189&amp;ND=3&amp;adjacent=true&amp;locale=en_EP&amp;FT=D&amp;date=20151216&amp;CC=TW&amp;NR=201546748A&amp;KC=A")</f>
        <v>https://worldwide.espacenet.com/publicationDetails/biblio?II=189&amp;ND=3&amp;adjacent=true&amp;locale=en_EP&amp;FT=D&amp;date=20151216&amp;CC=TW&amp;NR=201546748A&amp;KC=A</v>
      </c>
    </row>
    <row r="1084" spans="3:5" x14ac:dyDescent="0.25">
      <c r="C1084" t="s">
        <v>1797</v>
      </c>
      <c r="D1084" t="s">
        <v>1798</v>
      </c>
      <c r="E1084" t="str">
        <f>HYPERLINK("https://worldwide.espacenet.com/publicationDetails/biblio?II=190&amp;ND=3&amp;adjacent=true&amp;locale=en_EP&amp;FT=D&amp;date=20160302&amp;CC=CN&amp;NR=105373871A&amp;KC=A")</f>
        <v>https://worldwide.espacenet.com/publicationDetails/biblio?II=190&amp;ND=3&amp;adjacent=true&amp;locale=en_EP&amp;FT=D&amp;date=20160302&amp;CC=CN&amp;NR=105373871A&amp;KC=A</v>
      </c>
    </row>
    <row r="1085" spans="3:5" x14ac:dyDescent="0.25">
      <c r="C1085" t="s">
        <v>1799</v>
      </c>
      <c r="D1085" t="s">
        <v>1800</v>
      </c>
      <c r="E1085" t="str">
        <f>HYPERLINK("https://worldwide.espacenet.com/publicationDetails/biblio?II=191&amp;ND=3&amp;adjacent=true&amp;locale=en_EP&amp;FT=D&amp;date=20160224&amp;CC=CN&amp;NR=105355160A&amp;KC=A")</f>
        <v>https://worldwide.espacenet.com/publicationDetails/biblio?II=191&amp;ND=3&amp;adjacent=true&amp;locale=en_EP&amp;FT=D&amp;date=20160224&amp;CC=CN&amp;NR=105355160A&amp;KC=A</v>
      </c>
    </row>
    <row r="1086" spans="3:5" x14ac:dyDescent="0.25">
      <c r="C1086" t="s">
        <v>1374</v>
      </c>
      <c r="D1086" t="s">
        <v>1375</v>
      </c>
      <c r="E1086" t="str">
        <f>HYPERLINK("https://worldwide.espacenet.com/publicationDetails/biblio?II=192&amp;ND=3&amp;adjacent=true&amp;locale=en_EP&amp;FT=D&amp;date=20160217&amp;CC=CN&amp;NR=105336285A&amp;KC=A")</f>
        <v>https://worldwide.espacenet.com/publicationDetails/biblio?II=192&amp;ND=3&amp;adjacent=true&amp;locale=en_EP&amp;FT=D&amp;date=20160217&amp;CC=CN&amp;NR=105336285A&amp;KC=A</v>
      </c>
    </row>
    <row r="1087" spans="3:5" x14ac:dyDescent="0.25">
      <c r="C1087" t="s">
        <v>1801</v>
      </c>
      <c r="D1087" t="s">
        <v>1802</v>
      </c>
      <c r="E1087" t="str">
        <f>HYPERLINK("https://worldwide.espacenet.com/publicationDetails/biblio?II=193&amp;ND=3&amp;adjacent=true&amp;locale=en_EP&amp;FT=D&amp;date=20160113&amp;CC=CN&amp;NR=204964167U&amp;KC=U")</f>
        <v>https://worldwide.espacenet.com/publicationDetails/biblio?II=193&amp;ND=3&amp;adjacent=true&amp;locale=en_EP&amp;FT=D&amp;date=20160113&amp;CC=CN&amp;NR=204964167U&amp;KC=U</v>
      </c>
    </row>
    <row r="1088" spans="3:5" x14ac:dyDescent="0.25">
      <c r="C1088" t="s">
        <v>1803</v>
      </c>
      <c r="D1088" t="s">
        <v>1804</v>
      </c>
      <c r="E1088" t="str">
        <f>HYPERLINK("https://worldwide.espacenet.com/publicationDetails/biblio?II=194&amp;ND=3&amp;adjacent=true&amp;locale=en_EP&amp;FT=D&amp;date=20160106&amp;CC=CN&amp;NR=105225071A&amp;KC=A")</f>
        <v>https://worldwide.espacenet.com/publicationDetails/biblio?II=194&amp;ND=3&amp;adjacent=true&amp;locale=en_EP&amp;FT=D&amp;date=20160106&amp;CC=CN&amp;NR=105225071A&amp;KC=A</v>
      </c>
    </row>
    <row r="1089" spans="3:5" x14ac:dyDescent="0.25">
      <c r="C1089" t="s">
        <v>1805</v>
      </c>
      <c r="D1089" t="s">
        <v>1806</v>
      </c>
      <c r="E1089" t="str">
        <f>HYPERLINK("https://worldwide.espacenet.com/publicationDetails/biblio?II=195&amp;ND=3&amp;adjacent=true&amp;locale=en_EP&amp;FT=D&amp;date=20151209&amp;CC=CN&amp;NR=204838930U&amp;KC=U")</f>
        <v>https://worldwide.espacenet.com/publicationDetails/biblio?II=195&amp;ND=3&amp;adjacent=true&amp;locale=en_EP&amp;FT=D&amp;date=20151209&amp;CC=CN&amp;NR=204838930U&amp;KC=U</v>
      </c>
    </row>
    <row r="1090" spans="3:5" x14ac:dyDescent="0.25">
      <c r="C1090" t="s">
        <v>1807</v>
      </c>
      <c r="D1090" t="s">
        <v>1808</v>
      </c>
      <c r="E1090" t="str">
        <f>HYPERLINK("https://worldwide.espacenet.com/publicationDetails/biblio?II=196&amp;ND=3&amp;adjacent=true&amp;locale=en_EP&amp;FT=D&amp;date=20151118&amp;CC=CN&amp;NR=204795009U&amp;KC=U")</f>
        <v>https://worldwide.espacenet.com/publicationDetails/biblio?II=196&amp;ND=3&amp;adjacent=true&amp;locale=en_EP&amp;FT=D&amp;date=20151118&amp;CC=CN&amp;NR=204795009U&amp;KC=U</v>
      </c>
    </row>
    <row r="1091" spans="3:5" x14ac:dyDescent="0.25">
      <c r="C1091" t="s">
        <v>1809</v>
      </c>
      <c r="D1091" t="s">
        <v>1810</v>
      </c>
      <c r="E1091" t="str">
        <f>HYPERLINK("https://worldwide.espacenet.com/publicationDetails/biblio?II=197&amp;ND=3&amp;adjacent=true&amp;locale=en_EP&amp;FT=D&amp;date=20151118&amp;CC=CN&amp;NR=204795008U&amp;KC=U")</f>
        <v>https://worldwide.espacenet.com/publicationDetails/biblio?II=197&amp;ND=3&amp;adjacent=true&amp;locale=en_EP&amp;FT=D&amp;date=20151118&amp;CC=CN&amp;NR=204795008U&amp;KC=U</v>
      </c>
    </row>
    <row r="1092" spans="3:5" x14ac:dyDescent="0.25">
      <c r="C1092" t="s">
        <v>1811</v>
      </c>
      <c r="D1092" t="s">
        <v>1812</v>
      </c>
      <c r="E1092" t="str">
        <f>HYPERLINK("https://worldwide.espacenet.com/publicationDetails/biblio?II=198&amp;ND=3&amp;adjacent=true&amp;locale=en_EP&amp;FT=D&amp;date=20151118&amp;CC=CN&amp;NR=204790563U&amp;KC=U")</f>
        <v>https://worldwide.espacenet.com/publicationDetails/biblio?II=198&amp;ND=3&amp;adjacent=true&amp;locale=en_EP&amp;FT=D&amp;date=20151118&amp;CC=CN&amp;NR=204790563U&amp;KC=U</v>
      </c>
    </row>
    <row r="1093" spans="3:5" x14ac:dyDescent="0.25">
      <c r="C1093" t="s">
        <v>1813</v>
      </c>
      <c r="D1093" t="s">
        <v>1814</v>
      </c>
      <c r="E1093" t="str">
        <f>HYPERLINK("https://worldwide.espacenet.com/publicationDetails/biblio?II=199&amp;ND=3&amp;adjacent=true&amp;locale=en_EP&amp;FT=D&amp;date=20151118&amp;CC=CN&amp;NR=105072402A&amp;KC=A")</f>
        <v>https://worldwide.espacenet.com/publicationDetails/biblio?II=199&amp;ND=3&amp;adjacent=true&amp;locale=en_EP&amp;FT=D&amp;date=20151118&amp;CC=CN&amp;NR=105072402A&amp;KC=A</v>
      </c>
    </row>
    <row r="1094" spans="3:5" x14ac:dyDescent="0.25">
      <c r="C1094" t="s">
        <v>1815</v>
      </c>
      <c r="D1094" t="s">
        <v>1816</v>
      </c>
      <c r="E1094" t="str">
        <f>HYPERLINK("https://worldwide.espacenet.com/publicationDetails/biblio?II=200&amp;ND=3&amp;adjacent=true&amp;locale=en_EP&amp;FT=D&amp;date=20151111&amp;CC=CN&amp;NR=105050051A&amp;KC=A")</f>
        <v>https://worldwide.espacenet.com/publicationDetails/biblio?II=200&amp;ND=3&amp;adjacent=true&amp;locale=en_EP&amp;FT=D&amp;date=20151111&amp;CC=CN&amp;NR=105050051A&amp;KC=A</v>
      </c>
    </row>
    <row r="1095" spans="3:5" x14ac:dyDescent="0.25">
      <c r="C1095" t="s">
        <v>1817</v>
      </c>
      <c r="D1095" t="s">
        <v>1818</v>
      </c>
      <c r="E1095" t="str">
        <f>HYPERLINK("https://worldwide.espacenet.com/publicationDetails/biblio?II=201&amp;ND=3&amp;adjacent=true&amp;locale=en_EP&amp;FT=D&amp;date=20151111&amp;CC=CN&amp;NR=105049479A&amp;KC=A")</f>
        <v>https://worldwide.espacenet.com/publicationDetails/biblio?II=201&amp;ND=3&amp;adjacent=true&amp;locale=en_EP&amp;FT=D&amp;date=20151111&amp;CC=CN&amp;NR=105049479A&amp;KC=A</v>
      </c>
    </row>
    <row r="1096" spans="3:5" x14ac:dyDescent="0.25">
      <c r="C1096" t="s">
        <v>1819</v>
      </c>
      <c r="D1096" t="s">
        <v>1820</v>
      </c>
      <c r="E1096" t="str">
        <f>HYPERLINK("https://worldwide.espacenet.com/publicationDetails/biblio?II=202&amp;ND=3&amp;adjacent=true&amp;locale=en_EP&amp;FT=D&amp;date=20151111&amp;CC=CN&amp;NR=105030465A&amp;KC=A")</f>
        <v>https://worldwide.espacenet.com/publicationDetails/biblio?II=202&amp;ND=3&amp;adjacent=true&amp;locale=en_EP&amp;FT=D&amp;date=20151111&amp;CC=CN&amp;NR=105030465A&amp;KC=A</v>
      </c>
    </row>
    <row r="1097" spans="3:5" x14ac:dyDescent="0.25">
      <c r="C1097" t="s">
        <v>1821</v>
      </c>
      <c r="D1097" t="s">
        <v>1822</v>
      </c>
      <c r="E1097" t="str">
        <f>HYPERLINK("https://worldwide.espacenet.com/publicationDetails/biblio?II=203&amp;ND=3&amp;adjacent=true&amp;locale=en_EP&amp;FT=D&amp;date=20151030&amp;CC=KR&amp;NR=20150121972A&amp;KC=A")</f>
        <v>https://worldwide.espacenet.com/publicationDetails/biblio?II=203&amp;ND=3&amp;adjacent=true&amp;locale=en_EP&amp;FT=D&amp;date=20151030&amp;CC=KR&amp;NR=20150121972A&amp;KC=A</v>
      </c>
    </row>
    <row r="1098" spans="3:5" x14ac:dyDescent="0.25">
      <c r="C1098" t="s">
        <v>1823</v>
      </c>
      <c r="D1098" t="s">
        <v>1824</v>
      </c>
      <c r="E1098" t="str">
        <f>HYPERLINK("https://worldwide.espacenet.com/publicationDetails/biblio?II=204&amp;ND=3&amp;adjacent=true&amp;locale=en_EP&amp;FT=D&amp;date=20151104&amp;CC=CN&amp;NR=105025101A&amp;KC=A")</f>
        <v>https://worldwide.espacenet.com/publicationDetails/biblio?II=204&amp;ND=3&amp;adjacent=true&amp;locale=en_EP&amp;FT=D&amp;date=20151104&amp;CC=CN&amp;NR=105025101A&amp;KC=A</v>
      </c>
    </row>
    <row r="1099" spans="3:5" x14ac:dyDescent="0.25">
      <c r="C1099" t="s">
        <v>1825</v>
      </c>
      <c r="D1099" t="s">
        <v>1826</v>
      </c>
      <c r="E1099" t="str">
        <f>HYPERLINK("https://worldwide.espacenet.com/publicationDetails/biblio?II=205&amp;ND=3&amp;adjacent=true&amp;locale=en_EP&amp;FT=D&amp;date=20151104&amp;CC=CN&amp;NR=105025100A&amp;KC=A")</f>
        <v>https://worldwide.espacenet.com/publicationDetails/biblio?II=205&amp;ND=3&amp;adjacent=true&amp;locale=en_EP&amp;FT=D&amp;date=20151104&amp;CC=CN&amp;NR=105025100A&amp;KC=A</v>
      </c>
    </row>
    <row r="1100" spans="3:5" x14ac:dyDescent="0.25">
      <c r="C1100" t="s">
        <v>1827</v>
      </c>
      <c r="D1100" t="s">
        <v>1828</v>
      </c>
      <c r="E1100" t="str">
        <f>HYPERLINK("https://worldwide.espacenet.com/publicationDetails/biblio?II=206&amp;ND=3&amp;adjacent=true&amp;locale=en_EP&amp;FT=D&amp;date=20151104&amp;CC=CN&amp;NR=105021186A&amp;KC=A")</f>
        <v>https://worldwide.espacenet.com/publicationDetails/biblio?II=206&amp;ND=3&amp;adjacent=true&amp;locale=en_EP&amp;FT=D&amp;date=20151104&amp;CC=CN&amp;NR=105021186A&amp;KC=A</v>
      </c>
    </row>
    <row r="1101" spans="3:5" x14ac:dyDescent="0.25">
      <c r="C1101" t="s">
        <v>1829</v>
      </c>
      <c r="D1101" t="s">
        <v>1830</v>
      </c>
      <c r="E1101" t="str">
        <f>HYPERLINK("https://worldwide.espacenet.com/publicationDetails/biblio?II=207&amp;ND=3&amp;adjacent=true&amp;locale=en_EP&amp;FT=D&amp;date=20151021&amp;CC=KR&amp;NR=20150117899A&amp;KC=A")</f>
        <v>https://worldwide.espacenet.com/publicationDetails/biblio?II=207&amp;ND=3&amp;adjacent=true&amp;locale=en_EP&amp;FT=D&amp;date=20151021&amp;CC=KR&amp;NR=20150117899A&amp;KC=A</v>
      </c>
    </row>
    <row r="1102" spans="3:5" x14ac:dyDescent="0.25">
      <c r="C1102" t="s">
        <v>1831</v>
      </c>
      <c r="D1102" t="s">
        <v>1832</v>
      </c>
      <c r="E1102" t="str">
        <f>HYPERLINK("https://worldwide.espacenet.com/publicationDetails/biblio?II=208&amp;ND=3&amp;adjacent=true&amp;locale=en_EP&amp;FT=D&amp;date=20151028&amp;CC=CN&amp;NR=204732782U&amp;KC=U")</f>
        <v>https://worldwide.espacenet.com/publicationDetails/biblio?II=208&amp;ND=3&amp;adjacent=true&amp;locale=en_EP&amp;FT=D&amp;date=20151028&amp;CC=CN&amp;NR=204732782U&amp;KC=U</v>
      </c>
    </row>
    <row r="1103" spans="3:5" x14ac:dyDescent="0.25">
      <c r="C1103" t="s">
        <v>1833</v>
      </c>
      <c r="D1103" t="s">
        <v>1834</v>
      </c>
      <c r="E1103" t="str">
        <f>HYPERLINK("https://worldwide.espacenet.com/publicationDetails/biblio?II=209&amp;ND=3&amp;adjacent=true&amp;locale=en_EP&amp;FT=D&amp;date=20151028&amp;CC=CN&amp;NR=105007320A&amp;KC=A")</f>
        <v>https://worldwide.espacenet.com/publicationDetails/biblio?II=209&amp;ND=3&amp;adjacent=true&amp;locale=en_EP&amp;FT=D&amp;date=20151028&amp;CC=CN&amp;NR=105007320A&amp;KC=A</v>
      </c>
    </row>
    <row r="1104" spans="3:5" x14ac:dyDescent="0.25">
      <c r="C1104" t="s">
        <v>1835</v>
      </c>
      <c r="D1104" t="s">
        <v>1836</v>
      </c>
      <c r="E1104" t="str">
        <f>HYPERLINK("https://worldwide.espacenet.com/publicationDetails/biblio?II=210&amp;ND=3&amp;adjacent=true&amp;locale=en_EP&amp;FT=D&amp;date=20151007&amp;CC=CN&amp;NR=204696710U&amp;KC=U")</f>
        <v>https://worldwide.espacenet.com/publicationDetails/biblio?II=210&amp;ND=3&amp;adjacent=true&amp;locale=en_EP&amp;FT=D&amp;date=20151007&amp;CC=CN&amp;NR=204696710U&amp;KC=U</v>
      </c>
    </row>
    <row r="1105" spans="3:5" x14ac:dyDescent="0.25">
      <c r="C1105" t="s">
        <v>1837</v>
      </c>
      <c r="D1105" t="s">
        <v>1838</v>
      </c>
      <c r="E1105" t="str">
        <f>HYPERLINK("https://worldwide.espacenet.com/publicationDetails/biblio?II=211&amp;ND=3&amp;adjacent=true&amp;locale=en_EP&amp;FT=D&amp;date=20150701&amp;CC=TW&amp;NR=201525926A&amp;KC=A")</f>
        <v>https://worldwide.espacenet.com/publicationDetails/biblio?II=211&amp;ND=3&amp;adjacent=true&amp;locale=en_EP&amp;FT=D&amp;date=20150701&amp;CC=TW&amp;NR=201525926A&amp;KC=A</v>
      </c>
    </row>
    <row r="1106" spans="3:5" x14ac:dyDescent="0.25">
      <c r="C1106" t="s">
        <v>1839</v>
      </c>
      <c r="D1106" t="s">
        <v>1840</v>
      </c>
      <c r="E1106" t="str">
        <f>HYPERLINK("https://worldwide.espacenet.com/publicationDetails/biblio?II=212&amp;ND=3&amp;adjacent=true&amp;locale=en_EP&amp;FT=D&amp;date=20150930&amp;CC=CN&amp;NR=104954990A&amp;KC=A")</f>
        <v>https://worldwide.espacenet.com/publicationDetails/biblio?II=212&amp;ND=3&amp;adjacent=true&amp;locale=en_EP&amp;FT=D&amp;date=20150930&amp;CC=CN&amp;NR=104954990A&amp;KC=A</v>
      </c>
    </row>
    <row r="1107" spans="3:5" x14ac:dyDescent="0.25">
      <c r="C1107" t="s">
        <v>1841</v>
      </c>
      <c r="D1107" t="s">
        <v>1842</v>
      </c>
      <c r="E1107" t="str">
        <f>HYPERLINK("https://worldwide.espacenet.com/publicationDetails/biblio?II=213&amp;ND=3&amp;adjacent=true&amp;locale=en_EP&amp;FT=D&amp;date=20150930&amp;CC=CN&amp;NR=104952007A&amp;KC=A")</f>
        <v>https://worldwide.espacenet.com/publicationDetails/biblio?II=213&amp;ND=3&amp;adjacent=true&amp;locale=en_EP&amp;FT=D&amp;date=20150930&amp;CC=CN&amp;NR=104952007A&amp;KC=A</v>
      </c>
    </row>
    <row r="1108" spans="3:5" x14ac:dyDescent="0.25">
      <c r="C1108" t="s">
        <v>1843</v>
      </c>
      <c r="D1108" t="s">
        <v>1844</v>
      </c>
      <c r="E1108" t="str">
        <f>HYPERLINK("https://worldwide.espacenet.com/publicationDetails/biblio?II=214&amp;ND=3&amp;adjacent=true&amp;locale=en_EP&amp;FT=D&amp;date=20150930&amp;CC=CN&amp;NR=104951892A&amp;KC=A")</f>
        <v>https://worldwide.espacenet.com/publicationDetails/biblio?II=214&amp;ND=3&amp;adjacent=true&amp;locale=en_EP&amp;FT=D&amp;date=20150930&amp;CC=CN&amp;NR=104951892A&amp;KC=A</v>
      </c>
    </row>
    <row r="1109" spans="3:5" x14ac:dyDescent="0.25">
      <c r="C1109" t="s">
        <v>1845</v>
      </c>
      <c r="D1109" t="s">
        <v>1846</v>
      </c>
      <c r="E1109" t="str">
        <f>HYPERLINK("https://worldwide.espacenet.com/publicationDetails/biblio?II=215&amp;ND=3&amp;adjacent=true&amp;locale=en_EP&amp;FT=D&amp;date=20150930&amp;CC=CN&amp;NR=104951891A&amp;KC=A")</f>
        <v>https://worldwide.espacenet.com/publicationDetails/biblio?II=215&amp;ND=3&amp;adjacent=true&amp;locale=en_EP&amp;FT=D&amp;date=20150930&amp;CC=CN&amp;NR=104951891A&amp;KC=A</v>
      </c>
    </row>
    <row r="1110" spans="3:5" x14ac:dyDescent="0.25">
      <c r="C1110" t="s">
        <v>1847</v>
      </c>
      <c r="D1110" t="s">
        <v>1848</v>
      </c>
      <c r="E1110" t="str">
        <f>HYPERLINK("https://worldwide.espacenet.com/publicationDetails/biblio?II=216&amp;ND=3&amp;adjacent=true&amp;locale=en_EP&amp;FT=D&amp;date=20150923&amp;CC=CN&amp;NR=104933443A&amp;KC=A")</f>
        <v>https://worldwide.espacenet.com/publicationDetails/biblio?II=216&amp;ND=3&amp;adjacent=true&amp;locale=en_EP&amp;FT=D&amp;date=20150923&amp;CC=CN&amp;NR=104933443A&amp;KC=A</v>
      </c>
    </row>
    <row r="1111" spans="3:5" x14ac:dyDescent="0.25">
      <c r="C1111" t="s">
        <v>1849</v>
      </c>
      <c r="D1111" t="s">
        <v>1850</v>
      </c>
      <c r="E1111" t="str">
        <f>HYPERLINK("https://worldwide.espacenet.com/publicationDetails/biblio?II=217&amp;ND=3&amp;adjacent=true&amp;locale=en_EP&amp;FT=D&amp;date=20150916&amp;CC=CN&amp;NR=104916000A&amp;KC=A")</f>
        <v>https://worldwide.espacenet.com/publicationDetails/biblio?II=217&amp;ND=3&amp;adjacent=true&amp;locale=en_EP&amp;FT=D&amp;date=20150916&amp;CC=CN&amp;NR=104916000A&amp;KC=A</v>
      </c>
    </row>
    <row r="1112" spans="3:5" x14ac:dyDescent="0.25">
      <c r="C1112" t="s">
        <v>1851</v>
      </c>
      <c r="D1112" t="s">
        <v>1852</v>
      </c>
      <c r="E1112" t="str">
        <f>HYPERLINK("https://worldwide.espacenet.com/publicationDetails/biblio?II=218&amp;ND=3&amp;adjacent=true&amp;locale=en_EP&amp;FT=D&amp;date=20150826&amp;CC=CN&amp;NR=104869717A&amp;KC=A")</f>
        <v>https://worldwide.espacenet.com/publicationDetails/biblio?II=218&amp;ND=3&amp;adjacent=true&amp;locale=en_EP&amp;FT=D&amp;date=20150826&amp;CC=CN&amp;NR=104869717A&amp;KC=A</v>
      </c>
    </row>
    <row r="1113" spans="3:5" x14ac:dyDescent="0.25">
      <c r="C1113" t="s">
        <v>1853</v>
      </c>
      <c r="D1113" t="s">
        <v>1854</v>
      </c>
      <c r="E1113" t="str">
        <f>HYPERLINK("https://worldwide.espacenet.com/publicationDetails/biblio?II=219&amp;ND=3&amp;adjacent=true&amp;locale=en_EP&amp;FT=D&amp;date=20150803&amp;CC=KR&amp;NR=20150088379A&amp;KC=A")</f>
        <v>https://worldwide.espacenet.com/publicationDetails/biblio?II=219&amp;ND=3&amp;adjacent=true&amp;locale=en_EP&amp;FT=D&amp;date=20150803&amp;CC=KR&amp;NR=20150088379A&amp;KC=A</v>
      </c>
    </row>
    <row r="1114" spans="3:5" x14ac:dyDescent="0.25">
      <c r="C1114" t="s">
        <v>1855</v>
      </c>
      <c r="D1114" t="s">
        <v>1856</v>
      </c>
      <c r="E1114" t="str">
        <f>HYPERLINK("https://worldwide.espacenet.com/publicationDetails/biblio?II=220&amp;ND=3&amp;adjacent=true&amp;locale=en_EP&amp;FT=D&amp;date=20150819&amp;CC=CN&amp;NR=104851062A&amp;KC=A")</f>
        <v>https://worldwide.espacenet.com/publicationDetails/biblio?II=220&amp;ND=3&amp;adjacent=true&amp;locale=en_EP&amp;FT=D&amp;date=20150819&amp;CC=CN&amp;NR=104851062A&amp;KC=A</v>
      </c>
    </row>
    <row r="1115" spans="3:5" x14ac:dyDescent="0.25">
      <c r="C1115" t="s">
        <v>1857</v>
      </c>
      <c r="D1115" t="s">
        <v>1858</v>
      </c>
      <c r="E1115" t="str">
        <f>HYPERLINK("https://worldwide.espacenet.com/publicationDetails/biblio?II=221&amp;ND=3&amp;adjacent=true&amp;locale=en_EP&amp;FT=D&amp;date=20150820&amp;CC=US&amp;NR=2015237477A1&amp;KC=A1")</f>
        <v>https://worldwide.espacenet.com/publicationDetails/biblio?II=221&amp;ND=3&amp;adjacent=true&amp;locale=en_EP&amp;FT=D&amp;date=20150820&amp;CC=US&amp;NR=2015237477A1&amp;KC=A1</v>
      </c>
    </row>
    <row r="1116" spans="3:5" x14ac:dyDescent="0.25">
      <c r="C1116" t="s">
        <v>1859</v>
      </c>
      <c r="D1116" t="s">
        <v>1860</v>
      </c>
      <c r="E1116" t="str">
        <f>HYPERLINK("https://worldwide.espacenet.com/publicationDetails/biblio?II=222&amp;ND=3&amp;adjacent=true&amp;locale=en_EP&amp;FT=D&amp;date=20150729&amp;CC=CN&amp;NR=204507187U&amp;KC=U")</f>
        <v>https://worldwide.espacenet.com/publicationDetails/biblio?II=222&amp;ND=3&amp;adjacent=true&amp;locale=en_EP&amp;FT=D&amp;date=20150729&amp;CC=CN&amp;NR=204507187U&amp;KC=U</v>
      </c>
    </row>
    <row r="1117" spans="3:5" x14ac:dyDescent="0.25">
      <c r="C1117" t="s">
        <v>1861</v>
      </c>
      <c r="D1117" t="s">
        <v>1862</v>
      </c>
      <c r="E1117" t="str">
        <f>HYPERLINK("https://worldwide.espacenet.com/publicationDetails/biblio?II=223&amp;ND=3&amp;adjacent=true&amp;locale=en_EP&amp;FT=D&amp;date=20150729&amp;CC=CN&amp;NR=104809670A&amp;KC=A")</f>
        <v>https://worldwide.espacenet.com/publicationDetails/biblio?II=223&amp;ND=3&amp;adjacent=true&amp;locale=en_EP&amp;FT=D&amp;date=20150729&amp;CC=CN&amp;NR=104809670A&amp;KC=A</v>
      </c>
    </row>
    <row r="1118" spans="3:5" x14ac:dyDescent="0.25">
      <c r="C1118" t="s">
        <v>1863</v>
      </c>
      <c r="D1118" t="s">
        <v>1864</v>
      </c>
      <c r="E1118" t="str">
        <f>HYPERLINK("https://worldwide.espacenet.com/publicationDetails/biblio?II=224&amp;ND=3&amp;adjacent=true&amp;locale=en_EP&amp;FT=D&amp;date=20150709&amp;CC=US&amp;NR=2015193516A1&amp;KC=A1")</f>
        <v>https://worldwide.espacenet.com/publicationDetails/biblio?II=224&amp;ND=3&amp;adjacent=true&amp;locale=en_EP&amp;FT=D&amp;date=20150709&amp;CC=US&amp;NR=2015193516A1&amp;KC=A1</v>
      </c>
    </row>
    <row r="1119" spans="3:5" x14ac:dyDescent="0.25">
      <c r="C1119" t="s">
        <v>1865</v>
      </c>
      <c r="D1119" t="s">
        <v>1866</v>
      </c>
      <c r="E1119" t="str">
        <f>HYPERLINK("https://worldwide.espacenet.com/publicationDetails/biblio?II=225&amp;ND=3&amp;adjacent=true&amp;locale=en_EP&amp;FT=D&amp;date=20150624&amp;CC=CN&amp;NR=104732604A&amp;KC=A")</f>
        <v>https://worldwide.espacenet.com/publicationDetails/biblio?II=225&amp;ND=3&amp;adjacent=true&amp;locale=en_EP&amp;FT=D&amp;date=20150624&amp;CC=CN&amp;NR=104732604A&amp;KC=A</v>
      </c>
    </row>
    <row r="1120" spans="3:5" x14ac:dyDescent="0.25">
      <c r="C1120" t="s">
        <v>1867</v>
      </c>
      <c r="D1120" t="s">
        <v>1868</v>
      </c>
      <c r="E1120" t="str">
        <f>HYPERLINK("https://worldwide.espacenet.com/publicationDetails/biblio?II=226&amp;ND=3&amp;adjacent=true&amp;locale=en_EP&amp;FT=D&amp;date=20150624&amp;CC=CN&amp;NR=104732322A&amp;KC=A")</f>
        <v>https://worldwide.espacenet.com/publicationDetails/biblio?II=226&amp;ND=3&amp;adjacent=true&amp;locale=en_EP&amp;FT=D&amp;date=20150624&amp;CC=CN&amp;NR=104732322A&amp;KC=A</v>
      </c>
    </row>
    <row r="1121" spans="3:5" x14ac:dyDescent="0.25">
      <c r="C1121" t="s">
        <v>1869</v>
      </c>
      <c r="D1121" t="s">
        <v>1870</v>
      </c>
      <c r="E1121" t="str">
        <f>HYPERLINK("https://worldwide.espacenet.com/publicationDetails/biblio?II=227&amp;ND=3&amp;adjacent=true&amp;locale=en_EP&amp;FT=D&amp;date=20150603&amp;CC=CN&amp;NR=104683944A&amp;KC=A")</f>
        <v>https://worldwide.espacenet.com/publicationDetails/biblio?II=227&amp;ND=3&amp;adjacent=true&amp;locale=en_EP&amp;FT=D&amp;date=20150603&amp;CC=CN&amp;NR=104683944A&amp;KC=A</v>
      </c>
    </row>
    <row r="1122" spans="3:5" x14ac:dyDescent="0.25">
      <c r="C1122" t="s">
        <v>1871</v>
      </c>
      <c r="D1122" t="s">
        <v>1872</v>
      </c>
      <c r="E1122" t="str">
        <f>HYPERLINK("https://worldwide.espacenet.com/publicationDetails/biblio?II=228&amp;ND=3&amp;adjacent=true&amp;locale=en_EP&amp;FT=D&amp;date=20150603&amp;CC=CN&amp;NR=104680440A&amp;KC=A")</f>
        <v>https://worldwide.espacenet.com/publicationDetails/biblio?II=228&amp;ND=3&amp;adjacent=true&amp;locale=en_EP&amp;FT=D&amp;date=20150603&amp;CC=CN&amp;NR=104680440A&amp;KC=A</v>
      </c>
    </row>
    <row r="1123" spans="3:5" x14ac:dyDescent="0.25">
      <c r="C1123" t="s">
        <v>1873</v>
      </c>
      <c r="D1123" t="s">
        <v>1874</v>
      </c>
      <c r="E1123" t="str">
        <f>HYPERLINK("https://worldwide.espacenet.com/publicationDetails/biblio?II=229&amp;ND=3&amp;adjacent=true&amp;locale=en_EP&amp;FT=D&amp;date=20150611&amp;CC=US&amp;NR=2015159900A1&amp;KC=A1")</f>
        <v>https://worldwide.espacenet.com/publicationDetails/biblio?II=229&amp;ND=3&amp;adjacent=true&amp;locale=en_EP&amp;FT=D&amp;date=20150611&amp;CC=US&amp;NR=2015159900A1&amp;KC=A1</v>
      </c>
    </row>
    <row r="1124" spans="3:5" x14ac:dyDescent="0.25">
      <c r="C1124" t="s">
        <v>1875</v>
      </c>
      <c r="D1124" t="s">
        <v>1876</v>
      </c>
      <c r="E1124" t="str">
        <f>HYPERLINK("https://worldwide.espacenet.com/publicationDetails/biblio?II=230&amp;ND=3&amp;adjacent=true&amp;locale=en_EP&amp;FT=D&amp;date=20150527&amp;CC=CN&amp;NR=104660800A&amp;KC=A")</f>
        <v>https://worldwide.espacenet.com/publicationDetails/biblio?II=230&amp;ND=3&amp;adjacent=true&amp;locale=en_EP&amp;FT=D&amp;date=20150527&amp;CC=CN&amp;NR=104660800A&amp;KC=A</v>
      </c>
    </row>
    <row r="1125" spans="3:5" x14ac:dyDescent="0.25">
      <c r="C1125" t="s">
        <v>1877</v>
      </c>
      <c r="D1125" t="s">
        <v>1878</v>
      </c>
      <c r="E1125" t="str">
        <f>HYPERLINK("https://worldwide.espacenet.com/publicationDetails/biblio?II=231&amp;ND=3&amp;adjacent=true&amp;locale=en_EP&amp;FT=D&amp;date=20150520&amp;CC=CN&amp;NR=204347585U&amp;KC=U")</f>
        <v>https://worldwide.espacenet.com/publicationDetails/biblio?II=231&amp;ND=3&amp;adjacent=true&amp;locale=en_EP&amp;FT=D&amp;date=20150520&amp;CC=CN&amp;NR=204347585U&amp;KC=U</v>
      </c>
    </row>
    <row r="1126" spans="3:5" x14ac:dyDescent="0.25">
      <c r="C1126" t="s">
        <v>1879</v>
      </c>
      <c r="D1126" t="s">
        <v>1880</v>
      </c>
      <c r="E1126" t="str">
        <f>HYPERLINK("https://worldwide.espacenet.com/publicationDetails/biblio?II=232&amp;ND=3&amp;adjacent=true&amp;locale=en_EP&amp;FT=D&amp;date=20150520&amp;CC=CN&amp;NR=204346497U&amp;KC=U")</f>
        <v>https://worldwide.espacenet.com/publicationDetails/biblio?II=232&amp;ND=3&amp;adjacent=true&amp;locale=en_EP&amp;FT=D&amp;date=20150520&amp;CC=CN&amp;NR=204346497U&amp;KC=U</v>
      </c>
    </row>
    <row r="1127" spans="3:5" x14ac:dyDescent="0.25">
      <c r="C1127" t="s">
        <v>1881</v>
      </c>
      <c r="D1127" t="s">
        <v>1882</v>
      </c>
      <c r="E1127" t="str">
        <f>HYPERLINK("https://worldwide.espacenet.com/publicationDetails/biblio?II=233&amp;ND=3&amp;adjacent=true&amp;locale=en_EP&amp;FT=D&amp;date=20150521&amp;CC=US&amp;NR=2015141059A1&amp;KC=A1")</f>
        <v>https://worldwide.espacenet.com/publicationDetails/biblio?II=233&amp;ND=3&amp;adjacent=true&amp;locale=en_EP&amp;FT=D&amp;date=20150521&amp;CC=US&amp;NR=2015141059A1&amp;KC=A1</v>
      </c>
    </row>
    <row r="1128" spans="3:5" x14ac:dyDescent="0.25">
      <c r="C1128" t="s">
        <v>1883</v>
      </c>
      <c r="D1128" t="s">
        <v>1884</v>
      </c>
      <c r="E1128" t="str">
        <f>HYPERLINK("https://worldwide.espacenet.com/publicationDetails/biblio?II=234&amp;ND=3&amp;adjacent=true&amp;locale=en_EP&amp;FT=D&amp;date=20150513&amp;CC=CN&amp;NR=204334960U&amp;KC=U")</f>
        <v>https://worldwide.espacenet.com/publicationDetails/biblio?II=234&amp;ND=3&amp;adjacent=true&amp;locale=en_EP&amp;FT=D&amp;date=20150513&amp;CC=CN&amp;NR=204334960U&amp;KC=U</v>
      </c>
    </row>
    <row r="1129" spans="3:5" x14ac:dyDescent="0.25">
      <c r="C1129" t="s">
        <v>1885</v>
      </c>
      <c r="D1129" t="s">
        <v>1886</v>
      </c>
      <c r="E1129" t="str">
        <f>HYPERLINK("https://worldwide.espacenet.com/publicationDetails/biblio?II=235&amp;ND=3&amp;adjacent=true&amp;locale=en_EP&amp;FT=D&amp;date=20150506&amp;CC=CN&amp;NR=104599188A&amp;KC=A")</f>
        <v>https://worldwide.espacenet.com/publicationDetails/biblio?II=235&amp;ND=3&amp;adjacent=true&amp;locale=en_EP&amp;FT=D&amp;date=20150506&amp;CC=CN&amp;NR=104599188A&amp;KC=A</v>
      </c>
    </row>
    <row r="1130" spans="3:5" x14ac:dyDescent="0.25">
      <c r="C1130" t="s">
        <v>1887</v>
      </c>
      <c r="D1130" t="s">
        <v>1888</v>
      </c>
      <c r="E1130" t="str">
        <f>HYPERLINK("https://worldwide.espacenet.com/publicationDetails/biblio?II=236&amp;ND=3&amp;adjacent=true&amp;locale=en_EP&amp;FT=D&amp;date=20150318&amp;CC=CN&amp;NR=104426966A&amp;KC=A")</f>
        <v>https://worldwide.espacenet.com/publicationDetails/biblio?II=236&amp;ND=3&amp;adjacent=true&amp;locale=en_EP&amp;FT=D&amp;date=20150318&amp;CC=CN&amp;NR=104426966A&amp;KC=A</v>
      </c>
    </row>
    <row r="1131" spans="3:5" x14ac:dyDescent="0.25">
      <c r="C1131" t="s">
        <v>1889</v>
      </c>
      <c r="D1131" t="s">
        <v>1890</v>
      </c>
      <c r="E1131" t="str">
        <f>HYPERLINK("https://worldwide.espacenet.com/publicationDetails/biblio?II=237&amp;ND=3&amp;adjacent=true&amp;locale=en_EP&amp;FT=D&amp;date=20150408&amp;CC=CN&amp;NR=204256090U&amp;KC=U")</f>
        <v>https://worldwide.espacenet.com/publicationDetails/biblio?II=237&amp;ND=3&amp;adjacent=true&amp;locale=en_EP&amp;FT=D&amp;date=20150408&amp;CC=CN&amp;NR=204256090U&amp;KC=U</v>
      </c>
    </row>
    <row r="1132" spans="3:5" x14ac:dyDescent="0.25">
      <c r="C1132" t="s">
        <v>1891</v>
      </c>
      <c r="D1132" t="s">
        <v>1892</v>
      </c>
      <c r="E1132" t="str">
        <f>HYPERLINK("https://worldwide.espacenet.com/publicationDetails/biblio?II=238&amp;ND=3&amp;adjacent=true&amp;locale=en_EP&amp;FT=D&amp;date=20150325&amp;CC=CN&amp;NR=104469675A&amp;KC=A")</f>
        <v>https://worldwide.espacenet.com/publicationDetails/biblio?II=238&amp;ND=3&amp;adjacent=true&amp;locale=en_EP&amp;FT=D&amp;date=20150325&amp;CC=CN&amp;NR=104469675A&amp;KC=A</v>
      </c>
    </row>
    <row r="1133" spans="3:5" x14ac:dyDescent="0.25">
      <c r="C1133" t="s">
        <v>1893</v>
      </c>
      <c r="D1133" t="s">
        <v>1894</v>
      </c>
      <c r="E1133" t="str">
        <f>HYPERLINK("https://worldwide.espacenet.com/publicationDetails/biblio?II=239&amp;ND=3&amp;adjacent=true&amp;locale=en_EP&amp;FT=D&amp;date=20150325&amp;CC=CN&amp;NR=104463730A&amp;KC=A")</f>
        <v>https://worldwide.espacenet.com/publicationDetails/biblio?II=239&amp;ND=3&amp;adjacent=true&amp;locale=en_EP&amp;FT=D&amp;date=20150325&amp;CC=CN&amp;NR=104463730A&amp;KC=A</v>
      </c>
    </row>
    <row r="1134" spans="3:5" x14ac:dyDescent="0.25">
      <c r="C1134" t="s">
        <v>1895</v>
      </c>
      <c r="D1134" t="s">
        <v>1896</v>
      </c>
      <c r="E1134" t="str">
        <f>HYPERLINK("https://worldwide.espacenet.com/publicationDetails/biblio?II=240&amp;ND=3&amp;adjacent=true&amp;locale=en_EP&amp;FT=D&amp;date=20150422&amp;CC=CN&amp;NR=204291127U&amp;KC=U")</f>
        <v>https://worldwide.espacenet.com/publicationDetails/biblio?II=240&amp;ND=3&amp;adjacent=true&amp;locale=en_EP&amp;FT=D&amp;date=20150422&amp;CC=CN&amp;NR=204291127U&amp;KC=U</v>
      </c>
    </row>
    <row r="1135" spans="3:5" x14ac:dyDescent="0.25">
      <c r="C1135" t="s">
        <v>1897</v>
      </c>
      <c r="D1135" t="s">
        <v>1898</v>
      </c>
      <c r="E1135" t="str">
        <f>HYPERLINK("https://worldwide.espacenet.com/publicationDetails/biblio?II=241&amp;ND=3&amp;adjacent=true&amp;locale=en_EP&amp;FT=D&amp;date=20150422&amp;CC=CN&amp;NR=204287891U&amp;KC=U")</f>
        <v>https://worldwide.espacenet.com/publicationDetails/biblio?II=241&amp;ND=3&amp;adjacent=true&amp;locale=en_EP&amp;FT=D&amp;date=20150422&amp;CC=CN&amp;NR=204287891U&amp;KC=U</v>
      </c>
    </row>
    <row r="1136" spans="3:5" x14ac:dyDescent="0.25">
      <c r="C1136" t="s">
        <v>1899</v>
      </c>
      <c r="D1136" t="s">
        <v>1900</v>
      </c>
      <c r="E1136" t="str">
        <f>HYPERLINK("https://worldwide.espacenet.com/publicationDetails/biblio?II=242&amp;ND=3&amp;adjacent=true&amp;locale=en_EP&amp;FT=D&amp;date=20150422&amp;CC=CN&amp;NR=104539894A&amp;KC=A")</f>
        <v>https://worldwide.espacenet.com/publicationDetails/biblio?II=242&amp;ND=3&amp;adjacent=true&amp;locale=en_EP&amp;FT=D&amp;date=20150422&amp;CC=CN&amp;NR=104539894A&amp;KC=A</v>
      </c>
    </row>
    <row r="1137" spans="3:5" x14ac:dyDescent="0.25">
      <c r="C1137" t="s">
        <v>1901</v>
      </c>
      <c r="D1137" t="s">
        <v>1902</v>
      </c>
      <c r="E1137" t="str">
        <f>HYPERLINK("https://worldwide.espacenet.com/publicationDetails/biblio?II=243&amp;ND=3&amp;adjacent=true&amp;locale=en_EP&amp;FT=D&amp;date=20150422&amp;CC=CN&amp;NR=104537070A&amp;KC=A")</f>
        <v>https://worldwide.espacenet.com/publicationDetails/biblio?II=243&amp;ND=3&amp;adjacent=true&amp;locale=en_EP&amp;FT=D&amp;date=20150422&amp;CC=CN&amp;NR=104537070A&amp;KC=A</v>
      </c>
    </row>
    <row r="1138" spans="3:5" x14ac:dyDescent="0.25">
      <c r="C1138" t="s">
        <v>1903</v>
      </c>
      <c r="D1138" t="s">
        <v>1904</v>
      </c>
      <c r="E1138" t="str">
        <f>HYPERLINK("https://worldwide.espacenet.com/publicationDetails/biblio?II=244&amp;ND=3&amp;adjacent=true&amp;locale=en_EP&amp;FT=D&amp;date=20150311&amp;CC=CN&amp;NR=204203734U&amp;KC=U")</f>
        <v>https://worldwide.espacenet.com/publicationDetails/biblio?II=244&amp;ND=3&amp;adjacent=true&amp;locale=en_EP&amp;FT=D&amp;date=20150311&amp;CC=CN&amp;NR=204203734U&amp;KC=U</v>
      </c>
    </row>
    <row r="1139" spans="3:5" x14ac:dyDescent="0.25">
      <c r="C1139" t="s">
        <v>1905</v>
      </c>
      <c r="D1139" t="s">
        <v>1906</v>
      </c>
      <c r="E1139" t="str">
        <f>HYPERLINK("https://worldwide.espacenet.com/publicationDetails/biblio?II=245&amp;ND=3&amp;adjacent=true&amp;locale=en_EP&amp;FT=D&amp;date=20150304&amp;CC=CN&amp;NR=204189879U&amp;KC=U")</f>
        <v>https://worldwide.espacenet.com/publicationDetails/biblio?II=245&amp;ND=3&amp;adjacent=true&amp;locale=en_EP&amp;FT=D&amp;date=20150304&amp;CC=CN&amp;NR=204189879U&amp;KC=U</v>
      </c>
    </row>
    <row r="1140" spans="3:5" x14ac:dyDescent="0.25">
      <c r="C1140" t="s">
        <v>1907</v>
      </c>
      <c r="D1140" t="s">
        <v>1908</v>
      </c>
      <c r="E1140" t="str">
        <f>HYPERLINK("https://worldwide.espacenet.com/publicationDetails/biblio?II=246&amp;ND=3&amp;adjacent=true&amp;locale=en_EP&amp;FT=D&amp;date=20150304&amp;CC=CN&amp;NR=204188778U&amp;KC=U")</f>
        <v>https://worldwide.espacenet.com/publicationDetails/biblio?II=246&amp;ND=3&amp;adjacent=true&amp;locale=en_EP&amp;FT=D&amp;date=20150304&amp;CC=CN&amp;NR=204188778U&amp;KC=U</v>
      </c>
    </row>
    <row r="1141" spans="3:5" x14ac:dyDescent="0.25">
      <c r="C1141" t="s">
        <v>1909</v>
      </c>
      <c r="D1141" t="s">
        <v>1910</v>
      </c>
      <c r="E1141" t="str">
        <f>HYPERLINK("https://worldwide.espacenet.com/publicationDetails/biblio?II=247&amp;ND=3&amp;adjacent=true&amp;locale=en_EP&amp;FT=D&amp;date=20150304&amp;CC=CN&amp;NR=104393576A&amp;KC=A")</f>
        <v>https://worldwide.espacenet.com/publicationDetails/biblio?II=247&amp;ND=3&amp;adjacent=true&amp;locale=en_EP&amp;FT=D&amp;date=20150304&amp;CC=CN&amp;NR=104393576A&amp;KC=A</v>
      </c>
    </row>
    <row r="1142" spans="3:5" x14ac:dyDescent="0.25">
      <c r="C1142" t="s">
        <v>1911</v>
      </c>
      <c r="D1142" t="s">
        <v>1912</v>
      </c>
      <c r="E1142" t="str">
        <f>HYPERLINK("https://worldwide.espacenet.com/publicationDetails/biblio?II=248&amp;ND=3&amp;adjacent=true&amp;locale=en_EP&amp;FT=D&amp;date=20150211&amp;CC=CN&amp;NR=204155126U&amp;KC=U")</f>
        <v>https://worldwide.espacenet.com/publicationDetails/biblio?II=248&amp;ND=3&amp;adjacent=true&amp;locale=en_EP&amp;FT=D&amp;date=20150211&amp;CC=CN&amp;NR=204155126U&amp;KC=U</v>
      </c>
    </row>
    <row r="1143" spans="3:5" x14ac:dyDescent="0.25">
      <c r="C1143" t="s">
        <v>1913</v>
      </c>
      <c r="D1143" t="s">
        <v>1914</v>
      </c>
      <c r="E1143" t="str">
        <f>HYPERLINK("https://worldwide.espacenet.com/publicationDetails/biblio?II=249&amp;ND=3&amp;adjacent=true&amp;locale=en_EP&amp;FT=D&amp;date=20150204&amp;CC=CN&amp;NR=104333847A&amp;KC=A")</f>
        <v>https://worldwide.espacenet.com/publicationDetails/biblio?II=249&amp;ND=3&amp;adjacent=true&amp;locale=en_EP&amp;FT=D&amp;date=20150204&amp;CC=CN&amp;NR=104333847A&amp;KC=A</v>
      </c>
    </row>
    <row r="1144" spans="3:5" x14ac:dyDescent="0.25">
      <c r="C1144" t="s">
        <v>1915</v>
      </c>
      <c r="D1144" t="s">
        <v>1916</v>
      </c>
      <c r="E1144" t="str">
        <f>HYPERLINK("https://worldwide.espacenet.com/publicationDetails/biblio?II=250&amp;ND=3&amp;adjacent=true&amp;locale=en_EP&amp;FT=D&amp;date=20150204&amp;CC=CN&amp;NR=104331926A&amp;KC=A")</f>
        <v>https://worldwide.espacenet.com/publicationDetails/biblio?II=250&amp;ND=3&amp;adjacent=true&amp;locale=en_EP&amp;FT=D&amp;date=20150204&amp;CC=CN&amp;NR=104331926A&amp;KC=A</v>
      </c>
    </row>
    <row r="1145" spans="3:5" x14ac:dyDescent="0.25">
      <c r="C1145" t="s">
        <v>1917</v>
      </c>
      <c r="D1145" t="s">
        <v>1918</v>
      </c>
      <c r="E1145" t="str">
        <f>HYPERLINK("https://worldwide.espacenet.com/publicationDetails/biblio?II=251&amp;ND=3&amp;adjacent=true&amp;locale=en_EP&amp;FT=D&amp;date=20150121&amp;CC=CN&amp;NR=104299286A&amp;KC=A")</f>
        <v>https://worldwide.espacenet.com/publicationDetails/biblio?II=251&amp;ND=3&amp;adjacent=true&amp;locale=en_EP&amp;FT=D&amp;date=20150121&amp;CC=CN&amp;NR=104299286A&amp;KC=A</v>
      </c>
    </row>
    <row r="1146" spans="3:5" x14ac:dyDescent="0.25">
      <c r="C1146" t="s">
        <v>1919</v>
      </c>
      <c r="D1146" t="s">
        <v>1920</v>
      </c>
      <c r="E1146" t="str">
        <f>HYPERLINK("https://worldwide.espacenet.com/publicationDetails/biblio?II=252&amp;ND=3&amp;adjacent=true&amp;locale=en_EP&amp;FT=D&amp;date=20150121&amp;CC=CN&amp;NR=104299285A&amp;KC=A")</f>
        <v>https://worldwide.espacenet.com/publicationDetails/biblio?II=252&amp;ND=3&amp;adjacent=true&amp;locale=en_EP&amp;FT=D&amp;date=20150121&amp;CC=CN&amp;NR=104299285A&amp;KC=A</v>
      </c>
    </row>
    <row r="1147" spans="3:5" x14ac:dyDescent="0.25">
      <c r="C1147" t="s">
        <v>1921</v>
      </c>
      <c r="D1147" t="s">
        <v>1922</v>
      </c>
      <c r="E1147" t="str">
        <f>HYPERLINK("https://worldwide.espacenet.com/publicationDetails/biblio?II=253&amp;ND=3&amp;adjacent=true&amp;locale=en_EP&amp;FT=D&amp;date=20141231&amp;CC=CN&amp;NR=204068321U&amp;KC=U")</f>
        <v>https://worldwide.espacenet.com/publicationDetails/biblio?II=253&amp;ND=3&amp;adjacent=true&amp;locale=en_EP&amp;FT=D&amp;date=20141231&amp;CC=CN&amp;NR=204068321U&amp;KC=U</v>
      </c>
    </row>
    <row r="1148" spans="3:5" x14ac:dyDescent="0.25">
      <c r="C1148" t="s">
        <v>1923</v>
      </c>
      <c r="D1148" t="s">
        <v>1924</v>
      </c>
      <c r="E1148" t="str">
        <f>HYPERLINK("https://worldwide.espacenet.com/publicationDetails/biblio?II=254&amp;ND=3&amp;adjacent=true&amp;locale=en_EP&amp;FT=D&amp;date=20141231&amp;CC=CN&amp;NR=204056184U&amp;KC=U")</f>
        <v>https://worldwide.espacenet.com/publicationDetails/biblio?II=254&amp;ND=3&amp;adjacent=true&amp;locale=en_EP&amp;FT=D&amp;date=20141231&amp;CC=CN&amp;NR=204056184U&amp;KC=U</v>
      </c>
    </row>
    <row r="1149" spans="3:5" x14ac:dyDescent="0.25">
      <c r="C1149" t="s">
        <v>1925</v>
      </c>
      <c r="D1149" t="s">
        <v>1926</v>
      </c>
      <c r="E1149" t="str">
        <f>HYPERLINK("https://worldwide.espacenet.com/publicationDetails/biblio?II=255&amp;ND=3&amp;adjacent=true&amp;locale=en_EP&amp;FT=D&amp;date=20141203&amp;CC=CN&amp;NR=203981411U&amp;KC=U")</f>
        <v>https://worldwide.espacenet.com/publicationDetails/biblio?II=255&amp;ND=3&amp;adjacent=true&amp;locale=en_EP&amp;FT=D&amp;date=20141203&amp;CC=CN&amp;NR=203981411U&amp;KC=U</v>
      </c>
    </row>
    <row r="1150" spans="3:5" x14ac:dyDescent="0.25">
      <c r="C1150" t="s">
        <v>1927</v>
      </c>
      <c r="D1150" t="s">
        <v>1928</v>
      </c>
      <c r="E1150" t="str">
        <f>HYPERLINK("https://worldwide.espacenet.com/publicationDetails/biblio?II=256&amp;ND=3&amp;adjacent=true&amp;locale=en_EP&amp;FT=D&amp;date=20141126&amp;CC=CN&amp;NR=203966194U&amp;KC=U")</f>
        <v>https://worldwide.espacenet.com/publicationDetails/biblio?II=256&amp;ND=3&amp;adjacent=true&amp;locale=en_EP&amp;FT=D&amp;date=20141126&amp;CC=CN&amp;NR=203966194U&amp;KC=U</v>
      </c>
    </row>
    <row r="1151" spans="3:5" x14ac:dyDescent="0.25">
      <c r="C1151" t="s">
        <v>1929</v>
      </c>
      <c r="D1151" t="s">
        <v>1930</v>
      </c>
      <c r="E1151" t="str">
        <f>HYPERLINK("https://worldwide.espacenet.com/publicationDetails/biblio?II=257&amp;ND=3&amp;adjacent=true&amp;locale=en_EP&amp;FT=D&amp;date=20141105&amp;CC=CN&amp;NR=104134178A&amp;KC=A")</f>
        <v>https://worldwide.espacenet.com/publicationDetails/biblio?II=257&amp;ND=3&amp;adjacent=true&amp;locale=en_EP&amp;FT=D&amp;date=20141105&amp;CC=CN&amp;NR=104134178A&amp;KC=A</v>
      </c>
    </row>
    <row r="1152" spans="3:5" x14ac:dyDescent="0.25">
      <c r="C1152" t="s">
        <v>1931</v>
      </c>
      <c r="D1152" t="s">
        <v>1932</v>
      </c>
      <c r="E1152" t="str">
        <f>HYPERLINK("https://worldwide.espacenet.com/publicationDetails/biblio?II=258&amp;ND=3&amp;adjacent=true&amp;locale=en_EP&amp;FT=D&amp;date=20141029&amp;CC=CN&amp;NR=203911810U&amp;KC=U")</f>
        <v>https://worldwide.espacenet.com/publicationDetails/biblio?II=258&amp;ND=3&amp;adjacent=true&amp;locale=en_EP&amp;FT=D&amp;date=20141029&amp;CC=CN&amp;NR=203911810U&amp;KC=U</v>
      </c>
    </row>
    <row r="1153" spans="3:5" x14ac:dyDescent="0.25">
      <c r="C1153" t="s">
        <v>1933</v>
      </c>
      <c r="D1153" t="s">
        <v>1934</v>
      </c>
      <c r="E1153" t="str">
        <f>HYPERLINK("https://worldwide.espacenet.com/publicationDetails/biblio?II=259&amp;ND=3&amp;adjacent=true&amp;locale=en_EP&amp;FT=D&amp;date=20141029&amp;CC=CN&amp;NR=104118521A&amp;KC=A")</f>
        <v>https://worldwide.espacenet.com/publicationDetails/biblio?II=259&amp;ND=3&amp;adjacent=true&amp;locale=en_EP&amp;FT=D&amp;date=20141029&amp;CC=CN&amp;NR=104118521A&amp;KC=A</v>
      </c>
    </row>
    <row r="1154" spans="3:5" x14ac:dyDescent="0.25">
      <c r="C1154" t="s">
        <v>1935</v>
      </c>
      <c r="D1154" t="s">
        <v>1936</v>
      </c>
      <c r="E1154" t="str">
        <f>HYPERLINK("https://worldwide.espacenet.com/publicationDetails/biblio?II=260&amp;ND=3&amp;adjacent=true&amp;locale=en_EP&amp;FT=D&amp;date=20140701&amp;CC=TW&amp;NR=201426579A&amp;KC=A")</f>
        <v>https://worldwide.espacenet.com/publicationDetails/biblio?II=260&amp;ND=3&amp;adjacent=true&amp;locale=en_EP&amp;FT=D&amp;date=20140701&amp;CC=TW&amp;NR=201426579A&amp;KC=A</v>
      </c>
    </row>
    <row r="1155" spans="3:5" x14ac:dyDescent="0.25">
      <c r="C1155" t="s">
        <v>1937</v>
      </c>
      <c r="D1155" t="s">
        <v>1938</v>
      </c>
      <c r="E1155" t="str">
        <f>HYPERLINK("https://worldwide.espacenet.com/publicationDetails/biblio?II=261&amp;ND=3&amp;adjacent=true&amp;locale=en_EP&amp;FT=D&amp;date=20141022&amp;CC=CN&amp;NR=203888918U&amp;KC=U")</f>
        <v>https://worldwide.espacenet.com/publicationDetails/biblio?II=261&amp;ND=3&amp;adjacent=true&amp;locale=en_EP&amp;FT=D&amp;date=20141022&amp;CC=CN&amp;NR=203888918U&amp;KC=U</v>
      </c>
    </row>
    <row r="1156" spans="3:5" x14ac:dyDescent="0.25">
      <c r="C1156" t="s">
        <v>1939</v>
      </c>
      <c r="D1156" t="s">
        <v>1940</v>
      </c>
      <c r="E1156" t="str">
        <f>HYPERLINK("https://worldwide.espacenet.com/publicationDetails/biblio?II=262&amp;ND=3&amp;adjacent=true&amp;locale=en_EP&amp;FT=D&amp;date=20141001&amp;CC=CN&amp;NR=203859884U&amp;KC=U")</f>
        <v>https://worldwide.espacenet.com/publicationDetails/biblio?II=262&amp;ND=3&amp;adjacent=true&amp;locale=en_EP&amp;FT=D&amp;date=20141001&amp;CC=CN&amp;NR=203859884U&amp;KC=U</v>
      </c>
    </row>
    <row r="1157" spans="3:5" x14ac:dyDescent="0.25">
      <c r="C1157" t="s">
        <v>1941</v>
      </c>
      <c r="D1157" t="s">
        <v>1942</v>
      </c>
      <c r="E1157" t="str">
        <f>HYPERLINK("https://worldwide.espacenet.com/publicationDetails/biblio?II=263&amp;ND=3&amp;adjacent=true&amp;locale=en_EP&amp;FT=D&amp;date=20141001&amp;CC=CN&amp;NR=203859881U&amp;KC=U")</f>
        <v>https://worldwide.espacenet.com/publicationDetails/biblio?II=263&amp;ND=3&amp;adjacent=true&amp;locale=en_EP&amp;FT=D&amp;date=20141001&amp;CC=CN&amp;NR=203859881U&amp;KC=U</v>
      </c>
    </row>
    <row r="1158" spans="3:5" x14ac:dyDescent="0.25">
      <c r="C1158" t="s">
        <v>1943</v>
      </c>
      <c r="D1158" t="s">
        <v>1944</v>
      </c>
      <c r="E1158" t="str">
        <f>HYPERLINK("https://worldwide.espacenet.com/publicationDetails/biblio?II=264&amp;ND=3&amp;adjacent=true&amp;locale=en_EP&amp;FT=D&amp;date=20140918&amp;CC=US&amp;NR=2014279247A1&amp;KC=A1")</f>
        <v>https://worldwide.espacenet.com/publicationDetails/biblio?II=264&amp;ND=3&amp;adjacent=true&amp;locale=en_EP&amp;FT=D&amp;date=20140918&amp;CC=US&amp;NR=2014279247A1&amp;KC=A1</v>
      </c>
    </row>
    <row r="1159" spans="3:5" x14ac:dyDescent="0.25">
      <c r="C1159" t="s">
        <v>1945</v>
      </c>
      <c r="D1159" t="s">
        <v>1946</v>
      </c>
      <c r="E1159" t="str">
        <f>HYPERLINK("https://worldwide.espacenet.com/publicationDetails/biblio?II=265&amp;ND=3&amp;adjacent=true&amp;locale=en_EP&amp;FT=D&amp;date=20140910&amp;CC=CN&amp;NR=104036225A&amp;KC=A")</f>
        <v>https://worldwide.espacenet.com/publicationDetails/biblio?II=265&amp;ND=3&amp;adjacent=true&amp;locale=en_EP&amp;FT=D&amp;date=20140910&amp;CC=CN&amp;NR=104036225A&amp;KC=A</v>
      </c>
    </row>
    <row r="1160" spans="3:5" x14ac:dyDescent="0.25">
      <c r="C1160" t="s">
        <v>1947</v>
      </c>
      <c r="D1160" t="s">
        <v>1948</v>
      </c>
      <c r="E1160" t="str">
        <f>HYPERLINK("https://worldwide.espacenet.com/publicationDetails/biblio?II=266&amp;ND=3&amp;adjacent=true&amp;locale=en_EP&amp;FT=D&amp;date=20140904&amp;CC=US&amp;NR=2014248911A1&amp;KC=A1")</f>
        <v>https://worldwide.espacenet.com/publicationDetails/biblio?II=266&amp;ND=3&amp;adjacent=true&amp;locale=en_EP&amp;FT=D&amp;date=20140904&amp;CC=US&amp;NR=2014248911A1&amp;KC=A1</v>
      </c>
    </row>
    <row r="1161" spans="3:5" x14ac:dyDescent="0.25">
      <c r="C1161" t="s">
        <v>1949</v>
      </c>
      <c r="D1161" t="s">
        <v>1950</v>
      </c>
      <c r="E1161" t="str">
        <f>HYPERLINK("https://worldwide.espacenet.com/publicationDetails/biblio?II=267&amp;ND=3&amp;adjacent=true&amp;locale=en_EP&amp;FT=D&amp;date=20140813&amp;CC=CN&amp;NR=203773709U&amp;KC=U")</f>
        <v>https://worldwide.espacenet.com/publicationDetails/biblio?II=267&amp;ND=3&amp;adjacent=true&amp;locale=en_EP&amp;FT=D&amp;date=20140813&amp;CC=CN&amp;NR=203773709U&amp;KC=U</v>
      </c>
    </row>
    <row r="1162" spans="3:5" x14ac:dyDescent="0.25">
      <c r="C1162" t="s">
        <v>1951</v>
      </c>
      <c r="D1162" t="s">
        <v>1952</v>
      </c>
      <c r="E1162" t="str">
        <f>HYPERLINK("https://worldwide.espacenet.com/publicationDetails/biblio?II=268&amp;ND=3&amp;adjacent=true&amp;locale=en_EP&amp;FT=D&amp;date=20140806&amp;CC=CN&amp;NR=203759753U&amp;KC=U")</f>
        <v>https://worldwide.espacenet.com/publicationDetails/biblio?II=268&amp;ND=3&amp;adjacent=true&amp;locale=en_EP&amp;FT=D&amp;date=20140806&amp;CC=CN&amp;NR=203759753U&amp;KC=U</v>
      </c>
    </row>
    <row r="1163" spans="3:5" x14ac:dyDescent="0.25">
      <c r="C1163" t="s">
        <v>1953</v>
      </c>
      <c r="D1163" t="s">
        <v>1954</v>
      </c>
      <c r="E1163" t="str">
        <f>HYPERLINK("https://worldwide.espacenet.com/publicationDetails/biblio?II=269&amp;ND=3&amp;adjacent=true&amp;locale=en_EP&amp;FT=D&amp;date=20140806&amp;CC=CN&amp;NR=203758622U&amp;KC=U")</f>
        <v>https://worldwide.espacenet.com/publicationDetails/biblio?II=269&amp;ND=3&amp;adjacent=true&amp;locale=en_EP&amp;FT=D&amp;date=20140806&amp;CC=CN&amp;NR=203758622U&amp;KC=U</v>
      </c>
    </row>
    <row r="1164" spans="3:5" x14ac:dyDescent="0.25">
      <c r="C1164" t="s">
        <v>1955</v>
      </c>
      <c r="D1164" t="s">
        <v>1956</v>
      </c>
      <c r="E1164" t="str">
        <f>HYPERLINK("https://worldwide.espacenet.com/publicationDetails/biblio?II=270&amp;ND=3&amp;adjacent=true&amp;locale=en_EP&amp;FT=D&amp;date=20140806&amp;CC=CN&amp;NR=103971623A&amp;KC=A")</f>
        <v>https://worldwide.espacenet.com/publicationDetails/biblio?II=270&amp;ND=3&amp;adjacent=true&amp;locale=en_EP&amp;FT=D&amp;date=20140806&amp;CC=CN&amp;NR=103971623A&amp;KC=A</v>
      </c>
    </row>
    <row r="1165" spans="3:5" x14ac:dyDescent="0.25">
      <c r="C1165" t="s">
        <v>1957</v>
      </c>
      <c r="D1165" t="s">
        <v>1958</v>
      </c>
      <c r="E1165" t="str">
        <f>HYPERLINK("https://worldwide.espacenet.com/publicationDetails/biblio?II=271&amp;ND=3&amp;adjacent=true&amp;locale=en_EP&amp;FT=D&amp;date=20140723&amp;CC=CN&amp;NR=103944613A&amp;KC=A")</f>
        <v>https://worldwide.espacenet.com/publicationDetails/biblio?II=271&amp;ND=3&amp;adjacent=true&amp;locale=en_EP&amp;FT=D&amp;date=20140723&amp;CC=CN&amp;NR=103944613A&amp;KC=A</v>
      </c>
    </row>
    <row r="1166" spans="3:5" x14ac:dyDescent="0.25">
      <c r="C1166" t="s">
        <v>1959</v>
      </c>
      <c r="D1166" t="s">
        <v>1960</v>
      </c>
      <c r="E1166" t="str">
        <f>HYPERLINK("https://worldwide.espacenet.com/publicationDetails/biblio?II=272&amp;ND=3&amp;adjacent=true&amp;locale=en_EP&amp;FT=D&amp;date=20140716&amp;CC=CN&amp;NR=203722668U&amp;KC=U")</f>
        <v>https://worldwide.espacenet.com/publicationDetails/biblio?II=272&amp;ND=3&amp;adjacent=true&amp;locale=en_EP&amp;FT=D&amp;date=20140716&amp;CC=CN&amp;NR=203722668U&amp;KC=U</v>
      </c>
    </row>
    <row r="1167" spans="3:5" x14ac:dyDescent="0.25">
      <c r="C1167" t="s">
        <v>1961</v>
      </c>
      <c r="D1167" t="s">
        <v>1962</v>
      </c>
      <c r="E1167" t="str">
        <f>HYPERLINK("https://worldwide.espacenet.com/publicationDetails/biblio?II=273&amp;ND=3&amp;adjacent=true&amp;locale=en_EP&amp;FT=D&amp;date=20140716&amp;CC=CN&amp;NR=203720851U&amp;KC=U")</f>
        <v>https://worldwide.espacenet.com/publicationDetails/biblio?II=273&amp;ND=3&amp;adjacent=true&amp;locale=en_EP&amp;FT=D&amp;date=20140716&amp;CC=CN&amp;NR=203720851U&amp;KC=U</v>
      </c>
    </row>
    <row r="1168" spans="3:5" x14ac:dyDescent="0.25">
      <c r="C1168" t="s">
        <v>1963</v>
      </c>
      <c r="D1168" t="s">
        <v>1964</v>
      </c>
      <c r="E1168" t="str">
        <f>HYPERLINK("https://worldwide.espacenet.com/publicationDetails/biblio?II=274&amp;ND=3&amp;adjacent=true&amp;locale=en_EP&amp;FT=D&amp;date=20140611&amp;CC=KR&amp;NR=20140070702A&amp;KC=A")</f>
        <v>https://worldwide.espacenet.com/publicationDetails/biblio?II=274&amp;ND=3&amp;adjacent=true&amp;locale=en_EP&amp;FT=D&amp;date=20140611&amp;CC=KR&amp;NR=20140070702A&amp;KC=A</v>
      </c>
    </row>
    <row r="1169" spans="3:5" x14ac:dyDescent="0.25">
      <c r="C1169" t="s">
        <v>1965</v>
      </c>
      <c r="D1169" t="s">
        <v>1966</v>
      </c>
      <c r="E1169" t="str">
        <f>HYPERLINK("https://worldwide.espacenet.com/publicationDetails/biblio?II=275&amp;ND=3&amp;adjacent=true&amp;locale=en_EP&amp;FT=D&amp;date=20140702&amp;CC=CN&amp;NR=203676344U&amp;KC=U")</f>
        <v>https://worldwide.espacenet.com/publicationDetails/biblio?II=275&amp;ND=3&amp;adjacent=true&amp;locale=en_EP&amp;FT=D&amp;date=20140702&amp;CC=CN&amp;NR=203676344U&amp;KC=U</v>
      </c>
    </row>
    <row r="1170" spans="3:5" x14ac:dyDescent="0.25">
      <c r="C1170" t="s">
        <v>1967</v>
      </c>
      <c r="D1170" t="s">
        <v>1968</v>
      </c>
      <c r="E1170" t="str">
        <f>HYPERLINK("https://worldwide.espacenet.com/publicationDetails/biblio?II=276&amp;ND=3&amp;adjacent=true&amp;locale=en_EP&amp;FT=D&amp;date=20140625&amp;CC=CN&amp;NR=103888533A&amp;KC=A")</f>
        <v>https://worldwide.espacenet.com/publicationDetails/biblio?II=276&amp;ND=3&amp;adjacent=true&amp;locale=en_EP&amp;FT=D&amp;date=20140625&amp;CC=CN&amp;NR=103888533A&amp;KC=A</v>
      </c>
    </row>
    <row r="1171" spans="3:5" x14ac:dyDescent="0.25">
      <c r="C1171" t="s">
        <v>1969</v>
      </c>
      <c r="D1171" t="s">
        <v>1970</v>
      </c>
      <c r="E1171" t="str">
        <f>HYPERLINK("https://worldwide.espacenet.com/publicationDetails/biblio?II=277&amp;ND=3&amp;adjacent=true&amp;locale=en_EP&amp;FT=D&amp;date=20140618&amp;CC=CN&amp;NR=103871213A&amp;KC=A")</f>
        <v>https://worldwide.espacenet.com/publicationDetails/biblio?II=277&amp;ND=3&amp;adjacent=true&amp;locale=en_EP&amp;FT=D&amp;date=20140618&amp;CC=CN&amp;NR=103871213A&amp;KC=A</v>
      </c>
    </row>
    <row r="1172" spans="3:5" x14ac:dyDescent="0.25">
      <c r="C1172" t="s">
        <v>1971</v>
      </c>
      <c r="D1172" t="s">
        <v>1972</v>
      </c>
      <c r="E1172" t="str">
        <f>HYPERLINK("https://worldwide.espacenet.com/publicationDetails/biblio?II=278&amp;ND=3&amp;adjacent=true&amp;locale=en_EP&amp;FT=D&amp;date=20140528&amp;CC=CN&amp;NR=103824337A&amp;KC=A")</f>
        <v>https://worldwide.espacenet.com/publicationDetails/biblio?II=278&amp;ND=3&amp;adjacent=true&amp;locale=en_EP&amp;FT=D&amp;date=20140528&amp;CC=CN&amp;NR=103824337A&amp;KC=A</v>
      </c>
    </row>
    <row r="1173" spans="3:5" x14ac:dyDescent="0.25">
      <c r="C1173" t="s">
        <v>1973</v>
      </c>
      <c r="D1173" t="s">
        <v>1974</v>
      </c>
      <c r="E1173" t="str">
        <f>HYPERLINK("https://worldwide.espacenet.com/publicationDetails/biblio?II=279&amp;ND=3&amp;adjacent=true&amp;locale=en_EP&amp;FT=D&amp;date=20140515&amp;CC=WO&amp;NR=2014071454A1&amp;KC=A1")</f>
        <v>https://worldwide.espacenet.com/publicationDetails/biblio?II=279&amp;ND=3&amp;adjacent=true&amp;locale=en_EP&amp;FT=D&amp;date=20140515&amp;CC=WO&amp;NR=2014071454A1&amp;KC=A1</v>
      </c>
    </row>
    <row r="1174" spans="3:5" x14ac:dyDescent="0.25">
      <c r="C1174" t="s">
        <v>1975</v>
      </c>
      <c r="D1174" t="s">
        <v>1976</v>
      </c>
      <c r="E1174" t="str">
        <f>HYPERLINK("https://worldwide.espacenet.com/publicationDetails/biblio?II=280&amp;ND=3&amp;adjacent=true&amp;locale=en_EP&amp;FT=D&amp;date=20140507&amp;CC=CN&amp;NR=103778261A&amp;KC=A")</f>
        <v>https://worldwide.espacenet.com/publicationDetails/biblio?II=280&amp;ND=3&amp;adjacent=true&amp;locale=en_EP&amp;FT=D&amp;date=20140507&amp;CC=CN&amp;NR=103778261A&amp;KC=A</v>
      </c>
    </row>
    <row r="1175" spans="3:5" x14ac:dyDescent="0.25">
      <c r="C1175" t="s">
        <v>1977</v>
      </c>
      <c r="D1175" t="s">
        <v>1978</v>
      </c>
      <c r="E1175" t="str">
        <f>HYPERLINK("https://worldwide.espacenet.com/publicationDetails/biblio?II=281&amp;ND=3&amp;adjacent=true&amp;locale=en_EP&amp;FT=D&amp;date=20140211&amp;CC=TW&amp;NR=M472357U&amp;KC=U")</f>
        <v>https://worldwide.espacenet.com/publicationDetails/biblio?II=281&amp;ND=3&amp;adjacent=true&amp;locale=en_EP&amp;FT=D&amp;date=20140211&amp;CC=TW&amp;NR=M472357U&amp;KC=U</v>
      </c>
    </row>
    <row r="1176" spans="3:5" x14ac:dyDescent="0.25">
      <c r="C1176" t="s">
        <v>1979</v>
      </c>
      <c r="D1176" t="s">
        <v>1980</v>
      </c>
      <c r="E1176" t="str">
        <f>HYPERLINK("https://worldwide.espacenet.com/publicationDetails/biblio?II=282&amp;ND=3&amp;adjacent=true&amp;locale=en_EP&amp;FT=D&amp;date=20140201&amp;CC=TW&amp;NR=201406177A&amp;KC=A")</f>
        <v>https://worldwide.espacenet.com/publicationDetails/biblio?II=282&amp;ND=3&amp;adjacent=true&amp;locale=en_EP&amp;FT=D&amp;date=20140201&amp;CC=TW&amp;NR=201406177A&amp;KC=A</v>
      </c>
    </row>
    <row r="1177" spans="3:5" x14ac:dyDescent="0.25">
      <c r="C1177" t="s">
        <v>1981</v>
      </c>
      <c r="D1177" t="s">
        <v>1982</v>
      </c>
      <c r="E1177" t="str">
        <f>HYPERLINK("https://worldwide.espacenet.com/publicationDetails/biblio?II=283&amp;ND=3&amp;adjacent=true&amp;locale=en_EP&amp;FT=D&amp;date=20140430&amp;CC=CN&amp;NR=103763341A&amp;KC=A")</f>
        <v>https://worldwide.espacenet.com/publicationDetails/biblio?II=283&amp;ND=3&amp;adjacent=true&amp;locale=en_EP&amp;FT=D&amp;date=20140430&amp;CC=CN&amp;NR=103763341A&amp;KC=A</v>
      </c>
    </row>
    <row r="1178" spans="3:5" x14ac:dyDescent="0.25">
      <c r="C1178" t="s">
        <v>1983</v>
      </c>
      <c r="D1178" t="s">
        <v>1984</v>
      </c>
      <c r="E1178" t="str">
        <f>HYPERLINK("https://worldwide.espacenet.com/publicationDetails/biblio?II=284&amp;ND=3&amp;adjacent=true&amp;locale=en_EP&amp;FT=D&amp;date=20140327&amp;CC=US&amp;NR=2014089850A1&amp;KC=A1")</f>
        <v>https://worldwide.espacenet.com/publicationDetails/biblio?II=284&amp;ND=3&amp;adjacent=true&amp;locale=en_EP&amp;FT=D&amp;date=20140327&amp;CC=US&amp;NR=2014089850A1&amp;KC=A1</v>
      </c>
    </row>
    <row r="1179" spans="3:5" x14ac:dyDescent="0.25">
      <c r="C1179" t="s">
        <v>1985</v>
      </c>
      <c r="D1179" t="s">
        <v>1986</v>
      </c>
      <c r="E1179" t="str">
        <f>HYPERLINK("https://worldwide.espacenet.com/publicationDetails/biblio?II=285&amp;ND=3&amp;adjacent=true&amp;locale=en_EP&amp;FT=D&amp;date=20140326&amp;CC=CN&amp;NR=103685472A&amp;KC=A")</f>
        <v>https://worldwide.espacenet.com/publicationDetails/biblio?II=285&amp;ND=3&amp;adjacent=true&amp;locale=en_EP&amp;FT=D&amp;date=20140326&amp;CC=CN&amp;NR=103685472A&amp;KC=A</v>
      </c>
    </row>
    <row r="1180" spans="3:5" x14ac:dyDescent="0.25">
      <c r="C1180" t="s">
        <v>1987</v>
      </c>
      <c r="D1180" t="s">
        <v>1988</v>
      </c>
      <c r="E1180" t="str">
        <f>HYPERLINK("https://worldwide.espacenet.com/publicationDetails/biblio?II=286&amp;ND=3&amp;adjacent=true&amp;locale=en_EP&amp;FT=D&amp;date=20140221&amp;CC=KR&amp;NR=20140021934A&amp;KC=A")</f>
        <v>https://worldwide.espacenet.com/publicationDetails/biblio?II=286&amp;ND=3&amp;adjacent=true&amp;locale=en_EP&amp;FT=D&amp;date=20140221&amp;CC=KR&amp;NR=20140021934A&amp;KC=A</v>
      </c>
    </row>
    <row r="1181" spans="3:5" x14ac:dyDescent="0.25">
      <c r="C1181" t="s">
        <v>1989</v>
      </c>
      <c r="D1181" t="s">
        <v>1990</v>
      </c>
      <c r="E1181" t="str">
        <f>HYPERLINK("https://worldwide.espacenet.com/publicationDetails/biblio?II=287&amp;ND=3&amp;adjacent=true&amp;locale=en_EP&amp;FT=D&amp;date=20140220&amp;CC=KR&amp;NR=20140021456A&amp;KC=A")</f>
        <v>https://worldwide.espacenet.com/publicationDetails/biblio?II=287&amp;ND=3&amp;adjacent=true&amp;locale=en_EP&amp;FT=D&amp;date=20140220&amp;CC=KR&amp;NR=20140021456A&amp;KC=A</v>
      </c>
    </row>
    <row r="1182" spans="3:5" x14ac:dyDescent="0.25">
      <c r="C1182" t="s">
        <v>1991</v>
      </c>
      <c r="D1182" t="s">
        <v>1992</v>
      </c>
      <c r="E1182" t="str">
        <f>HYPERLINK("https://worldwide.espacenet.com/publicationDetails/biblio?II=288&amp;ND=3&amp;adjacent=true&amp;locale=en_EP&amp;FT=D&amp;date=20140319&amp;CC=CN&amp;NR=203490535U&amp;KC=U")</f>
        <v>https://worldwide.espacenet.com/publicationDetails/biblio?II=288&amp;ND=3&amp;adjacent=true&amp;locale=en_EP&amp;FT=D&amp;date=20140319&amp;CC=CN&amp;NR=203490535U&amp;KC=U</v>
      </c>
    </row>
    <row r="1183" spans="3:5" x14ac:dyDescent="0.25">
      <c r="C1183" t="s">
        <v>1993</v>
      </c>
      <c r="D1183" t="s">
        <v>1994</v>
      </c>
      <c r="E1183" t="str">
        <f>HYPERLINK("https://worldwide.espacenet.com/publicationDetails/biblio?II=289&amp;ND=3&amp;adjacent=true&amp;locale=en_EP&amp;FT=D&amp;date=20140313&amp;CC=US&amp;NR=2014074747A1&amp;KC=A1")</f>
        <v>https://worldwide.espacenet.com/publicationDetails/biblio?II=289&amp;ND=3&amp;adjacent=true&amp;locale=en_EP&amp;FT=D&amp;date=20140313&amp;CC=US&amp;NR=2014074747A1&amp;KC=A1</v>
      </c>
    </row>
    <row r="1184" spans="3:5" x14ac:dyDescent="0.25">
      <c r="C1184" t="s">
        <v>1995</v>
      </c>
      <c r="D1184" t="s">
        <v>1996</v>
      </c>
      <c r="E1184" t="str">
        <f>HYPERLINK("https://worldwide.espacenet.com/publicationDetails/biblio?II=290&amp;ND=3&amp;adjacent=true&amp;locale=en_EP&amp;FT=D&amp;date=20140312&amp;CC=CN&amp;NR=103632626A&amp;KC=A")</f>
        <v>https://worldwide.espacenet.com/publicationDetails/biblio?II=290&amp;ND=3&amp;adjacent=true&amp;locale=en_EP&amp;FT=D&amp;date=20140312&amp;CC=CN&amp;NR=103632626A&amp;KC=A</v>
      </c>
    </row>
    <row r="1185" spans="3:5" x14ac:dyDescent="0.25">
      <c r="C1185" t="s">
        <v>1997</v>
      </c>
      <c r="D1185" t="s">
        <v>1998</v>
      </c>
      <c r="E1185" t="str">
        <f>HYPERLINK("https://worldwide.espacenet.com/publicationDetails/biblio?II=291&amp;ND=3&amp;adjacent=true&amp;locale=en_EP&amp;FT=D&amp;date=20140305&amp;CC=CN&amp;NR=103617500A&amp;KC=A")</f>
        <v>https://worldwide.espacenet.com/publicationDetails/biblio?II=291&amp;ND=3&amp;adjacent=true&amp;locale=en_EP&amp;FT=D&amp;date=20140305&amp;CC=CN&amp;NR=103617500A&amp;KC=A</v>
      </c>
    </row>
    <row r="1186" spans="3:5" x14ac:dyDescent="0.25">
      <c r="C1186" t="s">
        <v>1999</v>
      </c>
      <c r="D1186" t="s">
        <v>2000</v>
      </c>
      <c r="E1186" t="str">
        <f>HYPERLINK("https://worldwide.espacenet.com/publicationDetails/biblio?II=292&amp;ND=3&amp;adjacent=true&amp;locale=en_EP&amp;FT=D&amp;date=20140122&amp;CC=KR&amp;NR=20140008669A&amp;KC=A")</f>
        <v>https://worldwide.espacenet.com/publicationDetails/biblio?II=292&amp;ND=3&amp;adjacent=true&amp;locale=en_EP&amp;FT=D&amp;date=20140122&amp;CC=KR&amp;NR=20140008669A&amp;KC=A</v>
      </c>
    </row>
    <row r="1187" spans="3:5" x14ac:dyDescent="0.25">
      <c r="C1187" t="s">
        <v>2001</v>
      </c>
      <c r="D1187" t="s">
        <v>2002</v>
      </c>
      <c r="E1187" t="str">
        <f>HYPERLINK("https://worldwide.espacenet.com/publicationDetails/biblio?II=293&amp;ND=3&amp;adjacent=true&amp;locale=en_EP&amp;FT=D&amp;date=20140107&amp;CC=KR&amp;NR=20140001538A&amp;KC=A")</f>
        <v>https://worldwide.espacenet.com/publicationDetails/biblio?II=293&amp;ND=3&amp;adjacent=true&amp;locale=en_EP&amp;FT=D&amp;date=20140107&amp;CC=KR&amp;NR=20140001538A&amp;KC=A</v>
      </c>
    </row>
    <row r="1188" spans="3:5" x14ac:dyDescent="0.25">
      <c r="C1188" t="s">
        <v>2003</v>
      </c>
      <c r="D1188" t="s">
        <v>2004</v>
      </c>
      <c r="E1188" t="str">
        <f>HYPERLINK("https://worldwide.espacenet.com/publicationDetails/biblio?II=294&amp;ND=3&amp;adjacent=true&amp;locale=en_EP&amp;FT=D&amp;date=20140219&amp;CC=CN&amp;NR=103593408A&amp;KC=A")</f>
        <v>https://worldwide.espacenet.com/publicationDetails/biblio?II=294&amp;ND=3&amp;adjacent=true&amp;locale=en_EP&amp;FT=D&amp;date=20140219&amp;CC=CN&amp;NR=103593408A&amp;KC=A</v>
      </c>
    </row>
    <row r="1189" spans="3:5" x14ac:dyDescent="0.25">
      <c r="C1189" t="s">
        <v>2005</v>
      </c>
      <c r="D1189" t="s">
        <v>2006</v>
      </c>
      <c r="E1189" t="str">
        <f>HYPERLINK("https://worldwide.espacenet.com/publicationDetails/biblio?II=295&amp;ND=3&amp;adjacent=true&amp;locale=en_EP&amp;FT=D&amp;date=20140212&amp;CC=CN&amp;NR=103577099A&amp;KC=A")</f>
        <v>https://worldwide.espacenet.com/publicationDetails/biblio?II=295&amp;ND=3&amp;adjacent=true&amp;locale=en_EP&amp;FT=D&amp;date=20140212&amp;CC=CN&amp;NR=103577099A&amp;KC=A</v>
      </c>
    </row>
    <row r="1190" spans="3:5" x14ac:dyDescent="0.25">
      <c r="C1190" t="s">
        <v>2007</v>
      </c>
      <c r="D1190" t="s">
        <v>2008</v>
      </c>
      <c r="E1190" t="str">
        <f>HYPERLINK("https://worldwide.espacenet.com/publicationDetails/biblio?II=296&amp;ND=3&amp;adjacent=true&amp;locale=en_EP&amp;FT=D&amp;date=20140122&amp;CC=CN&amp;NR=203405852U&amp;KC=U")</f>
        <v>https://worldwide.espacenet.com/publicationDetails/biblio?II=296&amp;ND=3&amp;adjacent=true&amp;locale=en_EP&amp;FT=D&amp;date=20140122&amp;CC=CN&amp;NR=203405852U&amp;KC=U</v>
      </c>
    </row>
    <row r="1191" spans="3:5" x14ac:dyDescent="0.25">
      <c r="C1191" t="s">
        <v>2009</v>
      </c>
      <c r="D1191" t="s">
        <v>2010</v>
      </c>
      <c r="E1191" t="str">
        <f>HYPERLINK("https://worldwide.espacenet.com/publicationDetails/biblio?II=297&amp;ND=3&amp;adjacent=true&amp;locale=en_EP&amp;FT=D&amp;date=20140122&amp;CC=CN&amp;NR=103531037A&amp;KC=A")</f>
        <v>https://worldwide.espacenet.com/publicationDetails/biblio?II=297&amp;ND=3&amp;adjacent=true&amp;locale=en_EP&amp;FT=D&amp;date=20140122&amp;CC=CN&amp;NR=103531037A&amp;KC=A</v>
      </c>
    </row>
    <row r="1192" spans="3:5" x14ac:dyDescent="0.25">
      <c r="C1192" t="s">
        <v>2011</v>
      </c>
      <c r="D1192" t="s">
        <v>2012</v>
      </c>
      <c r="E1192" t="str">
        <f>HYPERLINK("https://worldwide.espacenet.com/publicationDetails/biblio?II=298&amp;ND=3&amp;adjacent=true&amp;locale=en_EP&amp;FT=D&amp;date=20140115&amp;CC=CN&amp;NR=103516720A&amp;KC=A")</f>
        <v>https://worldwide.espacenet.com/publicationDetails/biblio?II=298&amp;ND=3&amp;adjacent=true&amp;locale=en_EP&amp;FT=D&amp;date=20140115&amp;CC=CN&amp;NR=103516720A&amp;KC=A</v>
      </c>
    </row>
    <row r="1193" spans="3:5" x14ac:dyDescent="0.25">
      <c r="C1193" t="s">
        <v>2013</v>
      </c>
      <c r="D1193" t="s">
        <v>2014</v>
      </c>
      <c r="E1193" t="str">
        <f>HYPERLINK("https://worldwide.espacenet.com/publicationDetails/biblio?II=299&amp;ND=3&amp;adjacent=true&amp;locale=en_EP&amp;FT=D&amp;date=20140109&amp;CC=WO&amp;NR=2014008438A1&amp;KC=A1")</f>
        <v>https://worldwide.espacenet.com/publicationDetails/biblio?II=299&amp;ND=3&amp;adjacent=true&amp;locale=en_EP&amp;FT=D&amp;date=20140109&amp;CC=WO&amp;NR=2014008438A1&amp;KC=A1</v>
      </c>
    </row>
    <row r="1194" spans="3:5" x14ac:dyDescent="0.25">
      <c r="C1194" t="s">
        <v>2015</v>
      </c>
      <c r="D1194" t="s">
        <v>2016</v>
      </c>
      <c r="E1194" t="str">
        <f>HYPERLINK("https://worldwide.espacenet.com/publicationDetails/biblio?II=300&amp;ND=3&amp;adjacent=true&amp;locale=en_EP&amp;FT=D&amp;date=20140108&amp;CC=CN&amp;NR=103498701A&amp;KC=A")</f>
        <v>https://worldwide.espacenet.com/publicationDetails/biblio?II=300&amp;ND=3&amp;adjacent=true&amp;locale=en_EP&amp;FT=D&amp;date=20140108&amp;CC=CN&amp;NR=103498701A&amp;KC=A</v>
      </c>
    </row>
    <row r="1195" spans="3:5" x14ac:dyDescent="0.25">
      <c r="C1195" t="s">
        <v>2017</v>
      </c>
      <c r="D1195" t="s">
        <v>2018</v>
      </c>
      <c r="E1195" t="str">
        <f>HYPERLINK("https://worldwide.espacenet.com/publicationDetails/biblio?II=301&amp;ND=3&amp;adjacent=true&amp;locale=en_EP&amp;FT=D&amp;date=20131225&amp;CC=CN&amp;NR=103473085A&amp;KC=A")</f>
        <v>https://worldwide.espacenet.com/publicationDetails/biblio?II=301&amp;ND=3&amp;adjacent=true&amp;locale=en_EP&amp;FT=D&amp;date=20131225&amp;CC=CN&amp;NR=103473085A&amp;KC=A</v>
      </c>
    </row>
    <row r="1196" spans="3:5" x14ac:dyDescent="0.25">
      <c r="C1196" t="s">
        <v>2019</v>
      </c>
      <c r="D1196" t="s">
        <v>2020</v>
      </c>
      <c r="E1196" t="str">
        <f>HYPERLINK("https://worldwide.espacenet.com/publicationDetails/biblio?II=302&amp;ND=3&amp;adjacent=true&amp;locale=en_EP&amp;FT=D&amp;date=20131218&amp;CC=CN&amp;NR=203350907U&amp;KC=U")</f>
        <v>https://worldwide.espacenet.com/publicationDetails/biblio?II=302&amp;ND=3&amp;adjacent=true&amp;locale=en_EP&amp;FT=D&amp;date=20131218&amp;CC=CN&amp;NR=203350907U&amp;KC=U</v>
      </c>
    </row>
    <row r="1197" spans="3:5" x14ac:dyDescent="0.25">
      <c r="C1197" t="s">
        <v>2021</v>
      </c>
      <c r="D1197" t="s">
        <v>2022</v>
      </c>
      <c r="E1197" t="str">
        <f>HYPERLINK("https://worldwide.espacenet.com/publicationDetails/biblio?II=303&amp;ND=3&amp;adjacent=true&amp;locale=en_EP&amp;FT=D&amp;date=20131204&amp;CC=CN&amp;NR=203327055U&amp;KC=U")</f>
        <v>https://worldwide.espacenet.com/publicationDetails/biblio?II=303&amp;ND=3&amp;adjacent=true&amp;locale=en_EP&amp;FT=D&amp;date=20131204&amp;CC=CN&amp;NR=203327055U&amp;KC=U</v>
      </c>
    </row>
    <row r="1198" spans="3:5" x14ac:dyDescent="0.25">
      <c r="C1198" t="s">
        <v>2023</v>
      </c>
      <c r="D1198" t="s">
        <v>2024</v>
      </c>
      <c r="E1198" t="str">
        <f>HYPERLINK("https://worldwide.espacenet.com/publicationDetails/biblio?II=304&amp;ND=3&amp;adjacent=true&amp;locale=en_EP&amp;FT=D&amp;date=20131204&amp;CC=CN&amp;NR=203326440U&amp;KC=U")</f>
        <v>https://worldwide.espacenet.com/publicationDetails/biblio?II=304&amp;ND=3&amp;adjacent=true&amp;locale=en_EP&amp;FT=D&amp;date=20131204&amp;CC=CN&amp;NR=203326440U&amp;KC=U</v>
      </c>
    </row>
    <row r="1199" spans="3:5" x14ac:dyDescent="0.25">
      <c r="C1199" t="s">
        <v>2025</v>
      </c>
      <c r="D1199" t="s">
        <v>2026</v>
      </c>
      <c r="E1199" t="str">
        <f>HYPERLINK("https://worldwide.espacenet.com/publicationDetails/biblio?II=305&amp;ND=3&amp;adjacent=true&amp;locale=en_EP&amp;FT=D&amp;date=20131204&amp;CC=CN&amp;NR=103428342A&amp;KC=A")</f>
        <v>https://worldwide.espacenet.com/publicationDetails/biblio?II=305&amp;ND=3&amp;adjacent=true&amp;locale=en_EP&amp;FT=D&amp;date=20131204&amp;CC=CN&amp;NR=103428342A&amp;KC=A</v>
      </c>
    </row>
    <row r="1200" spans="3:5" x14ac:dyDescent="0.25">
      <c r="C1200" t="s">
        <v>2027</v>
      </c>
      <c r="D1200" t="s">
        <v>2028</v>
      </c>
      <c r="E1200" t="str">
        <f>HYPERLINK("https://worldwide.espacenet.com/publicationDetails/biblio?II=306&amp;ND=3&amp;adjacent=true&amp;locale=en_EP&amp;FT=D&amp;date=20131204&amp;CC=CN&amp;NR=103426061A&amp;KC=A")</f>
        <v>https://worldwide.espacenet.com/publicationDetails/biblio?II=306&amp;ND=3&amp;adjacent=true&amp;locale=en_EP&amp;FT=D&amp;date=20131204&amp;CC=CN&amp;NR=103426061A&amp;KC=A</v>
      </c>
    </row>
    <row r="1201" spans="3:5" x14ac:dyDescent="0.25">
      <c r="C1201" t="s">
        <v>2029</v>
      </c>
      <c r="D1201" t="s">
        <v>2030</v>
      </c>
      <c r="E1201" t="str">
        <f>HYPERLINK("https://worldwide.espacenet.com/publicationDetails/biblio?II=307&amp;ND=3&amp;adjacent=true&amp;locale=en_EP&amp;FT=D&amp;date=20131120&amp;CC=CN&amp;NR=203293182U&amp;KC=U")</f>
        <v>https://worldwide.espacenet.com/publicationDetails/biblio?II=307&amp;ND=3&amp;adjacent=true&amp;locale=en_EP&amp;FT=D&amp;date=20131120&amp;CC=CN&amp;NR=203293182U&amp;KC=U</v>
      </c>
    </row>
    <row r="1202" spans="3:5" x14ac:dyDescent="0.25">
      <c r="C1202" t="s">
        <v>2031</v>
      </c>
      <c r="D1202" t="s">
        <v>2032</v>
      </c>
      <c r="E1202" t="str">
        <f>HYPERLINK("https://worldwide.espacenet.com/publicationDetails/biblio?II=308&amp;ND=3&amp;adjacent=true&amp;locale=en_EP&amp;FT=D&amp;date=20140521&amp;CC=GB&amp;NR=2508070A&amp;KC=A")</f>
        <v>https://worldwide.espacenet.com/publicationDetails/biblio?II=308&amp;ND=3&amp;adjacent=true&amp;locale=en_EP&amp;FT=D&amp;date=20140521&amp;CC=GB&amp;NR=2508070A&amp;KC=A</v>
      </c>
    </row>
    <row r="1203" spans="3:5" x14ac:dyDescent="0.25">
      <c r="C1203" t="s">
        <v>2033</v>
      </c>
      <c r="D1203" t="s">
        <v>2034</v>
      </c>
      <c r="E1203" t="str">
        <f>HYPERLINK("https://worldwide.espacenet.com/publicationDetails/biblio?II=309&amp;ND=3&amp;adjacent=true&amp;locale=en_EP&amp;FT=D&amp;date=20131106&amp;CC=CN&amp;NR=203276452U&amp;KC=U")</f>
        <v>https://worldwide.espacenet.com/publicationDetails/biblio?II=309&amp;ND=3&amp;adjacent=true&amp;locale=en_EP&amp;FT=D&amp;date=20131106&amp;CC=CN&amp;NR=203276452U&amp;KC=U</v>
      </c>
    </row>
    <row r="1204" spans="3:5" x14ac:dyDescent="0.25">
      <c r="C1204" t="s">
        <v>2035</v>
      </c>
      <c r="D1204" t="s">
        <v>2036</v>
      </c>
      <c r="E1204" t="str">
        <f>HYPERLINK("https://worldwide.espacenet.com/publicationDetails/biblio?II=310&amp;ND=3&amp;adjacent=true&amp;locale=en_EP&amp;FT=D&amp;date=20131106&amp;CC=CN&amp;NR=103383461A&amp;KC=A")</f>
        <v>https://worldwide.espacenet.com/publicationDetails/biblio?II=310&amp;ND=3&amp;adjacent=true&amp;locale=en_EP&amp;FT=D&amp;date=20131106&amp;CC=CN&amp;NR=103383461A&amp;KC=A</v>
      </c>
    </row>
    <row r="1205" spans="3:5" x14ac:dyDescent="0.25">
      <c r="C1205" t="s">
        <v>2037</v>
      </c>
      <c r="D1205" t="s">
        <v>2038</v>
      </c>
      <c r="E1205" t="str">
        <f>HYPERLINK("https://worldwide.espacenet.com/publicationDetails/biblio?II=311&amp;ND=3&amp;adjacent=true&amp;locale=en_EP&amp;FT=D&amp;date=20130924&amp;CC=KR&amp;NR=101310185B1&amp;KC=B1")</f>
        <v>https://worldwide.espacenet.com/publicationDetails/biblio?II=311&amp;ND=3&amp;adjacent=true&amp;locale=en_EP&amp;FT=D&amp;date=20130924&amp;CC=KR&amp;NR=101310185B1&amp;KC=B1</v>
      </c>
    </row>
    <row r="1206" spans="3:5" x14ac:dyDescent="0.25">
      <c r="C1206" t="s">
        <v>2039</v>
      </c>
      <c r="D1206" t="s">
        <v>2040</v>
      </c>
      <c r="E1206" t="str">
        <f>HYPERLINK("https://worldwide.espacenet.com/publicationDetails/biblio?II=312&amp;ND=3&amp;adjacent=true&amp;locale=en_EP&amp;FT=D&amp;date=20131009&amp;CC=CN&amp;NR=103344974A&amp;KC=A")</f>
        <v>https://worldwide.espacenet.com/publicationDetails/biblio?II=312&amp;ND=3&amp;adjacent=true&amp;locale=en_EP&amp;FT=D&amp;date=20131009&amp;CC=CN&amp;NR=103344974A&amp;KC=A</v>
      </c>
    </row>
    <row r="1207" spans="3:5" x14ac:dyDescent="0.25">
      <c r="C1207" t="s">
        <v>2041</v>
      </c>
      <c r="D1207" t="s">
        <v>2042</v>
      </c>
      <c r="E1207" t="str">
        <f>HYPERLINK("https://worldwide.espacenet.com/publicationDetails/biblio?II=313&amp;ND=3&amp;adjacent=true&amp;locale=en_EP&amp;FT=D&amp;date=20131002&amp;CC=CN&amp;NR=203224630U&amp;KC=U")</f>
        <v>https://worldwide.espacenet.com/publicationDetails/biblio?II=313&amp;ND=3&amp;adjacent=true&amp;locale=en_EP&amp;FT=D&amp;date=20131002&amp;CC=CN&amp;NR=203224630U&amp;KC=U</v>
      </c>
    </row>
    <row r="1208" spans="3:5" x14ac:dyDescent="0.25">
      <c r="C1208" t="s">
        <v>2043</v>
      </c>
      <c r="D1208" t="s">
        <v>2044</v>
      </c>
      <c r="E1208" t="str">
        <f>HYPERLINK("https://worldwide.espacenet.com/publicationDetails/biblio?II=314&amp;ND=3&amp;adjacent=true&amp;locale=en_EP&amp;FT=D&amp;date=20130926&amp;CC=US&amp;NR=2013252639A1&amp;KC=A1")</f>
        <v>https://worldwide.espacenet.com/publicationDetails/biblio?II=314&amp;ND=3&amp;adjacent=true&amp;locale=en_EP&amp;FT=D&amp;date=20130926&amp;CC=US&amp;NR=2013252639A1&amp;KC=A1</v>
      </c>
    </row>
    <row r="1209" spans="3:5" x14ac:dyDescent="0.25">
      <c r="C1209" t="s">
        <v>2019</v>
      </c>
      <c r="D1209" t="s">
        <v>2045</v>
      </c>
      <c r="E1209" t="str">
        <f>HYPERLINK("https://worldwide.espacenet.com/publicationDetails/biblio?II=315&amp;ND=3&amp;adjacent=true&amp;locale=en_EP&amp;FT=D&amp;date=20130918&amp;CC=CN&amp;NR=103310395A&amp;KC=A")</f>
        <v>https://worldwide.espacenet.com/publicationDetails/biblio?II=315&amp;ND=3&amp;adjacent=true&amp;locale=en_EP&amp;FT=D&amp;date=20130918&amp;CC=CN&amp;NR=103310395A&amp;KC=A</v>
      </c>
    </row>
    <row r="1210" spans="3:5" x14ac:dyDescent="0.25">
      <c r="C1210" t="s">
        <v>2046</v>
      </c>
      <c r="D1210" t="s">
        <v>2047</v>
      </c>
      <c r="E1210" t="str">
        <f>HYPERLINK("https://worldwide.espacenet.com/publicationDetails/biblio?II=316&amp;ND=3&amp;adjacent=true&amp;locale=en_EP&amp;FT=D&amp;date=20130911&amp;CC=CN&amp;NR=203191563U&amp;KC=U")</f>
        <v>https://worldwide.espacenet.com/publicationDetails/biblio?II=316&amp;ND=3&amp;adjacent=true&amp;locale=en_EP&amp;FT=D&amp;date=20130911&amp;CC=CN&amp;NR=203191563U&amp;KC=U</v>
      </c>
    </row>
    <row r="1211" spans="3:5" x14ac:dyDescent="0.25">
      <c r="C1211" t="s">
        <v>2048</v>
      </c>
      <c r="D1211" t="s">
        <v>2049</v>
      </c>
      <c r="E1211" t="str">
        <f>HYPERLINK("https://worldwide.espacenet.com/publicationDetails/biblio?II=317&amp;ND=3&amp;adjacent=true&amp;locale=en_EP&amp;FT=D&amp;date=20130814&amp;CC=CN&amp;NR=103245961A&amp;KC=A")</f>
        <v>https://worldwide.espacenet.com/publicationDetails/biblio?II=317&amp;ND=3&amp;adjacent=true&amp;locale=en_EP&amp;FT=D&amp;date=20130814&amp;CC=CN&amp;NR=103245961A&amp;KC=A</v>
      </c>
    </row>
    <row r="1212" spans="3:5" x14ac:dyDescent="0.25">
      <c r="C1212" t="s">
        <v>2050</v>
      </c>
      <c r="D1212" t="s">
        <v>2051</v>
      </c>
      <c r="E1212" t="str">
        <f>HYPERLINK("https://worldwide.espacenet.com/publicationDetails/biblio?II=318&amp;ND=3&amp;adjacent=true&amp;locale=en_EP&amp;FT=D&amp;date=20130808&amp;CC=US&amp;NR=2013204977A1&amp;KC=A1")</f>
        <v>https://worldwide.espacenet.com/publicationDetails/biblio?II=318&amp;ND=3&amp;adjacent=true&amp;locale=en_EP&amp;FT=D&amp;date=20130808&amp;CC=US&amp;NR=2013204977A1&amp;KC=A1</v>
      </c>
    </row>
    <row r="1213" spans="3:5" x14ac:dyDescent="0.25">
      <c r="C1213" t="s">
        <v>2052</v>
      </c>
      <c r="D1213" t="s">
        <v>2053</v>
      </c>
      <c r="E1213" t="str">
        <f>HYPERLINK("https://worldwide.espacenet.com/publicationDetails/biblio?II=319&amp;ND=3&amp;adjacent=true&amp;locale=en_EP&amp;FT=D&amp;date=20130808&amp;CC=US&amp;NR=2013204712A1&amp;KC=A1")</f>
        <v>https://worldwide.espacenet.com/publicationDetails/biblio?II=319&amp;ND=3&amp;adjacent=true&amp;locale=en_EP&amp;FT=D&amp;date=20130808&amp;CC=US&amp;NR=2013204712A1&amp;KC=A1</v>
      </c>
    </row>
    <row r="1214" spans="3:5" x14ac:dyDescent="0.25">
      <c r="C1214" t="s">
        <v>2054</v>
      </c>
      <c r="D1214" t="s">
        <v>2055</v>
      </c>
      <c r="E1214" t="str">
        <f>HYPERLINK("https://worldwide.espacenet.com/publicationDetails/biblio?II=320&amp;ND=3&amp;adjacent=true&amp;locale=en_EP&amp;FT=D&amp;date=20130801&amp;CC=WO&amp;NR=2013112756A1&amp;KC=A1")</f>
        <v>https://worldwide.espacenet.com/publicationDetails/biblio?II=320&amp;ND=3&amp;adjacent=true&amp;locale=en_EP&amp;FT=D&amp;date=20130801&amp;CC=WO&amp;NR=2013112756A1&amp;KC=A1</v>
      </c>
    </row>
    <row r="1215" spans="3:5" x14ac:dyDescent="0.25">
      <c r="C1215" t="s">
        <v>2056</v>
      </c>
      <c r="D1215" t="s">
        <v>2057</v>
      </c>
      <c r="E1215" t="str">
        <f>HYPERLINK("https://worldwide.espacenet.com/publicationDetails/biblio?II=321&amp;ND=3&amp;adjacent=true&amp;locale=en_EP&amp;FT=D&amp;date=20130607&amp;CC=KR&amp;NR=20130060121A&amp;KC=A")</f>
        <v>https://worldwide.espacenet.com/publicationDetails/biblio?II=321&amp;ND=3&amp;adjacent=true&amp;locale=en_EP&amp;FT=D&amp;date=20130607&amp;CC=KR&amp;NR=20130060121A&amp;KC=A</v>
      </c>
    </row>
    <row r="1216" spans="3:5" x14ac:dyDescent="0.25">
      <c r="C1216" t="s">
        <v>1957</v>
      </c>
      <c r="D1216" t="s">
        <v>2058</v>
      </c>
      <c r="E1216" t="str">
        <f>HYPERLINK("https://worldwide.espacenet.com/publicationDetails/biblio?II=322&amp;ND=3&amp;adjacent=true&amp;locale=en_EP&amp;FT=D&amp;date=20130731&amp;CC=CN&amp;NR=203104445U&amp;KC=U")</f>
        <v>https://worldwide.espacenet.com/publicationDetails/biblio?II=322&amp;ND=3&amp;adjacent=true&amp;locale=en_EP&amp;FT=D&amp;date=20130731&amp;CC=CN&amp;NR=203104445U&amp;KC=U</v>
      </c>
    </row>
    <row r="1217" spans="3:5" x14ac:dyDescent="0.25">
      <c r="C1217" t="s">
        <v>2059</v>
      </c>
      <c r="D1217" t="s">
        <v>2060</v>
      </c>
      <c r="E1217" t="str">
        <f>HYPERLINK("https://worldwide.espacenet.com/publicationDetails/biblio?II=323&amp;ND=3&amp;adjacent=true&amp;locale=en_EP&amp;FT=D&amp;date=20130724&amp;CC=CN&amp;NR=103220620A&amp;KC=A")</f>
        <v>https://worldwide.espacenet.com/publicationDetails/biblio?II=323&amp;ND=3&amp;adjacent=true&amp;locale=en_EP&amp;FT=D&amp;date=20130724&amp;CC=CN&amp;NR=103220620A&amp;KC=A</v>
      </c>
    </row>
    <row r="1218" spans="3:5" x14ac:dyDescent="0.25">
      <c r="C1218" t="s">
        <v>2061</v>
      </c>
      <c r="D1218" t="s">
        <v>2062</v>
      </c>
      <c r="E1218" t="str">
        <f>HYPERLINK("https://worldwide.espacenet.com/publicationDetails/biblio?II=324&amp;ND=3&amp;adjacent=true&amp;locale=en_EP&amp;FT=D&amp;date=20130725&amp;CC=US&amp;NR=2013191787A1&amp;KC=A1")</f>
        <v>https://worldwide.espacenet.com/publicationDetails/biblio?II=324&amp;ND=3&amp;adjacent=true&amp;locale=en_EP&amp;FT=D&amp;date=20130725&amp;CC=US&amp;NR=2013191787A1&amp;KC=A1</v>
      </c>
    </row>
    <row r="1219" spans="3:5" x14ac:dyDescent="0.25">
      <c r="C1219" t="s">
        <v>2063</v>
      </c>
      <c r="D1219" t="s">
        <v>2064</v>
      </c>
      <c r="E1219" t="str">
        <f>HYPERLINK("https://worldwide.espacenet.com/publicationDetails/biblio?II=325&amp;ND=3&amp;adjacent=true&amp;locale=en_EP&amp;FT=D&amp;date=20130725&amp;CC=US&amp;NR=2013191067A1&amp;KC=A1")</f>
        <v>https://worldwide.espacenet.com/publicationDetails/biblio?II=325&amp;ND=3&amp;adjacent=true&amp;locale=en_EP&amp;FT=D&amp;date=20130725&amp;CC=US&amp;NR=2013191067A1&amp;KC=A1</v>
      </c>
    </row>
    <row r="1220" spans="3:5" x14ac:dyDescent="0.25">
      <c r="C1220" t="s">
        <v>2065</v>
      </c>
      <c r="D1220" t="s">
        <v>2066</v>
      </c>
      <c r="E1220" t="str">
        <f>HYPERLINK("https://worldwide.espacenet.com/publicationDetails/biblio?II=326&amp;ND=3&amp;adjacent=true&amp;locale=en_EP&amp;FT=D&amp;date=20130717&amp;CC=CN&amp;NR=203072161U&amp;KC=U")</f>
        <v>https://worldwide.espacenet.com/publicationDetails/biblio?II=326&amp;ND=3&amp;adjacent=true&amp;locale=en_EP&amp;FT=D&amp;date=20130717&amp;CC=CN&amp;NR=203072161U&amp;KC=U</v>
      </c>
    </row>
    <row r="1221" spans="3:5" x14ac:dyDescent="0.25">
      <c r="C1221" t="s">
        <v>2067</v>
      </c>
      <c r="D1221" t="s">
        <v>2068</v>
      </c>
      <c r="E1221" t="str">
        <f>HYPERLINK("https://worldwide.espacenet.com/publicationDetails/biblio?II=327&amp;ND=3&amp;adjacent=true&amp;locale=en_EP&amp;FT=D&amp;date=20130703&amp;CC=CN&amp;NR=203039755U&amp;KC=U")</f>
        <v>https://worldwide.espacenet.com/publicationDetails/biblio?II=327&amp;ND=3&amp;adjacent=true&amp;locale=en_EP&amp;FT=D&amp;date=20130703&amp;CC=CN&amp;NR=203039755U&amp;KC=U</v>
      </c>
    </row>
    <row r="1222" spans="3:5" x14ac:dyDescent="0.25">
      <c r="C1222" t="s">
        <v>2069</v>
      </c>
      <c r="D1222" t="s">
        <v>2070</v>
      </c>
      <c r="E1222" t="str">
        <f>HYPERLINK("https://worldwide.espacenet.com/publicationDetails/biblio?II=328&amp;ND=3&amp;adjacent=true&amp;locale=en_EP&amp;FT=D&amp;date=20130703&amp;CC=CN&amp;NR=203032516U&amp;KC=U")</f>
        <v>https://worldwide.espacenet.com/publicationDetails/biblio?II=328&amp;ND=3&amp;adjacent=true&amp;locale=en_EP&amp;FT=D&amp;date=20130703&amp;CC=CN&amp;NR=203032516U&amp;KC=U</v>
      </c>
    </row>
    <row r="1223" spans="3:5" x14ac:dyDescent="0.25">
      <c r="C1223" t="s">
        <v>2071</v>
      </c>
      <c r="D1223" t="s">
        <v>2072</v>
      </c>
      <c r="E1223" t="str">
        <f>HYPERLINK("https://worldwide.espacenet.com/publicationDetails/biblio?II=329&amp;ND=3&amp;adjacent=true&amp;locale=en_EP&amp;FT=D&amp;date=20130619&amp;CC=CN&amp;NR=103164778A&amp;KC=A")</f>
        <v>https://worldwide.espacenet.com/publicationDetails/biblio?II=329&amp;ND=3&amp;adjacent=true&amp;locale=en_EP&amp;FT=D&amp;date=20130619&amp;CC=CN&amp;NR=103164778A&amp;KC=A</v>
      </c>
    </row>
    <row r="1224" spans="3:5" x14ac:dyDescent="0.25">
      <c r="C1224" t="s">
        <v>2073</v>
      </c>
      <c r="D1224" t="s">
        <v>2074</v>
      </c>
      <c r="E1224" t="str">
        <f>HYPERLINK("https://worldwide.espacenet.com/publicationDetails/biblio?II=330&amp;ND=3&amp;adjacent=true&amp;locale=en_EP&amp;FT=D&amp;date=20130612&amp;CC=CN&amp;NR=103150982A&amp;KC=A")</f>
        <v>https://worldwide.espacenet.com/publicationDetails/biblio?II=330&amp;ND=3&amp;adjacent=true&amp;locale=en_EP&amp;FT=D&amp;date=20130612&amp;CC=CN&amp;NR=103150982A&amp;KC=A</v>
      </c>
    </row>
    <row r="1225" spans="3:5" x14ac:dyDescent="0.25">
      <c r="C1225" t="s">
        <v>2075</v>
      </c>
      <c r="D1225" t="s">
        <v>2076</v>
      </c>
      <c r="E1225" t="str">
        <f>HYPERLINK("https://worldwide.espacenet.com/publicationDetails/biblio?II=331&amp;ND=3&amp;adjacent=true&amp;locale=en_EP&amp;FT=D&amp;date=20130605&amp;CC=CN&amp;NR=202975761U&amp;KC=U")</f>
        <v>https://worldwide.espacenet.com/publicationDetails/biblio?II=331&amp;ND=3&amp;adjacent=true&amp;locale=en_EP&amp;FT=D&amp;date=20130605&amp;CC=CN&amp;NR=202975761U&amp;KC=U</v>
      </c>
    </row>
    <row r="1226" spans="3:5" x14ac:dyDescent="0.25">
      <c r="C1226" t="s">
        <v>2077</v>
      </c>
      <c r="D1226" t="s">
        <v>2078</v>
      </c>
      <c r="E1226" t="str">
        <f>HYPERLINK("https://worldwide.espacenet.com/publicationDetails/biblio?II=332&amp;ND=3&amp;adjacent=true&amp;locale=en_EP&amp;FT=D&amp;date=20130522&amp;CC=CN&amp;NR=202949571U&amp;KC=U")</f>
        <v>https://worldwide.espacenet.com/publicationDetails/biblio?II=332&amp;ND=3&amp;adjacent=true&amp;locale=en_EP&amp;FT=D&amp;date=20130522&amp;CC=CN&amp;NR=202949571U&amp;KC=U</v>
      </c>
    </row>
    <row r="1227" spans="3:5" x14ac:dyDescent="0.25">
      <c r="C1227" t="s">
        <v>2079</v>
      </c>
      <c r="D1227" t="s">
        <v>2080</v>
      </c>
      <c r="E1227" t="str">
        <f>HYPERLINK("https://worldwide.espacenet.com/publicationDetails/biblio?II=333&amp;ND=3&amp;adjacent=true&amp;locale=en_EP&amp;FT=D&amp;date=20130508&amp;CC=CN&amp;NR=103092151A&amp;KC=A")</f>
        <v>https://worldwide.espacenet.com/publicationDetails/biblio?II=333&amp;ND=3&amp;adjacent=true&amp;locale=en_EP&amp;FT=D&amp;date=20130508&amp;CC=CN&amp;NR=103092151A&amp;KC=A</v>
      </c>
    </row>
    <row r="1228" spans="3:5" x14ac:dyDescent="0.25">
      <c r="C1228" t="s">
        <v>2081</v>
      </c>
      <c r="D1228" t="s">
        <v>2082</v>
      </c>
      <c r="E1228" t="str">
        <f>HYPERLINK("https://worldwide.espacenet.com/publicationDetails/biblio?II=334&amp;ND=3&amp;adjacent=true&amp;locale=en_EP&amp;FT=D&amp;date=20130502&amp;CC=US&amp;NR=2013110633A1&amp;KC=A1")</f>
        <v>https://worldwide.espacenet.com/publicationDetails/biblio?II=334&amp;ND=3&amp;adjacent=true&amp;locale=en_EP&amp;FT=D&amp;date=20130502&amp;CC=US&amp;NR=2013110633A1&amp;KC=A1</v>
      </c>
    </row>
    <row r="1229" spans="3:5" x14ac:dyDescent="0.25">
      <c r="C1229" t="s">
        <v>2083</v>
      </c>
      <c r="D1229" t="s">
        <v>2084</v>
      </c>
      <c r="E1229" t="str">
        <f>HYPERLINK("https://worldwide.espacenet.com/publicationDetails/biblio?II=335&amp;ND=3&amp;adjacent=true&amp;locale=en_EP&amp;FT=D&amp;date=20130424&amp;CC=CN&amp;NR=202906579U&amp;KC=U")</f>
        <v>https://worldwide.espacenet.com/publicationDetails/biblio?II=335&amp;ND=3&amp;adjacent=true&amp;locale=en_EP&amp;FT=D&amp;date=20130424&amp;CC=CN&amp;NR=202906579U&amp;KC=U</v>
      </c>
    </row>
    <row r="1230" spans="3:5" x14ac:dyDescent="0.25">
      <c r="C1230" t="s">
        <v>2085</v>
      </c>
      <c r="D1230" t="s">
        <v>2086</v>
      </c>
      <c r="E1230" t="str">
        <f>HYPERLINK("https://worldwide.espacenet.com/publicationDetails/biblio?II=336&amp;ND=3&amp;adjacent=true&amp;locale=en_EP&amp;FT=D&amp;date=20130424&amp;CC=CN&amp;NR=103064921A&amp;KC=A")</f>
        <v>https://worldwide.espacenet.com/publicationDetails/biblio?II=336&amp;ND=3&amp;adjacent=true&amp;locale=en_EP&amp;FT=D&amp;date=20130424&amp;CC=CN&amp;NR=103064921A&amp;KC=A</v>
      </c>
    </row>
    <row r="1231" spans="3:5" x14ac:dyDescent="0.25">
      <c r="C1231" t="s">
        <v>2087</v>
      </c>
      <c r="D1231" t="s">
        <v>2088</v>
      </c>
      <c r="E1231" t="str">
        <f>HYPERLINK("https://worldwide.espacenet.com/publicationDetails/biblio?II=337&amp;ND=3&amp;adjacent=true&amp;locale=en_EP&amp;FT=D&amp;date=20130403&amp;CC=CN&amp;NR=202855251U&amp;KC=U")</f>
        <v>https://worldwide.espacenet.com/publicationDetails/biblio?II=337&amp;ND=3&amp;adjacent=true&amp;locale=en_EP&amp;FT=D&amp;date=20130403&amp;CC=CN&amp;NR=202855251U&amp;KC=U</v>
      </c>
    </row>
    <row r="1232" spans="3:5" x14ac:dyDescent="0.25">
      <c r="C1232" t="s">
        <v>2089</v>
      </c>
      <c r="D1232" t="s">
        <v>2090</v>
      </c>
      <c r="E1232" t="str">
        <f>HYPERLINK("https://worldwide.espacenet.com/publicationDetails/biblio?II=338&amp;ND=3&amp;adjacent=true&amp;locale=en_EP&amp;FT=D&amp;date=20121217&amp;CC=KR&amp;NR=20120135717A&amp;KC=A")</f>
        <v>https://worldwide.espacenet.com/publicationDetails/biblio?II=338&amp;ND=3&amp;adjacent=true&amp;locale=en_EP&amp;FT=D&amp;date=20121217&amp;CC=KR&amp;NR=20120135717A&amp;KC=A</v>
      </c>
    </row>
    <row r="1233" spans="3:5" x14ac:dyDescent="0.25">
      <c r="C1233" t="s">
        <v>2091</v>
      </c>
      <c r="D1233" t="s">
        <v>2092</v>
      </c>
      <c r="E1233" t="str">
        <f>HYPERLINK("https://worldwide.espacenet.com/publicationDetails/biblio?II=339&amp;ND=3&amp;adjacent=true&amp;locale=en_EP&amp;FT=D&amp;date=20130220&amp;CC=KR&amp;NR=20130017179A&amp;KC=A")</f>
        <v>https://worldwide.espacenet.com/publicationDetails/biblio?II=339&amp;ND=3&amp;adjacent=true&amp;locale=en_EP&amp;FT=D&amp;date=20130220&amp;CC=KR&amp;NR=20130017179A&amp;KC=A</v>
      </c>
    </row>
    <row r="1234" spans="3:5" x14ac:dyDescent="0.25">
      <c r="C1234" t="s">
        <v>2093</v>
      </c>
      <c r="D1234" t="s">
        <v>2094</v>
      </c>
      <c r="E1234" t="str">
        <f>HYPERLINK("https://worldwide.espacenet.com/publicationDetails/biblio?II=340&amp;ND=3&amp;adjacent=true&amp;locale=en_EP&amp;FT=D&amp;date=20130313&amp;CC=CN&amp;NR=102970424A&amp;KC=A")</f>
        <v>https://worldwide.espacenet.com/publicationDetails/biblio?II=340&amp;ND=3&amp;adjacent=true&amp;locale=en_EP&amp;FT=D&amp;date=20130313&amp;CC=CN&amp;NR=102970424A&amp;KC=A</v>
      </c>
    </row>
    <row r="1235" spans="3:5" x14ac:dyDescent="0.25">
      <c r="C1235" t="s">
        <v>2095</v>
      </c>
      <c r="D1235" t="s">
        <v>2096</v>
      </c>
      <c r="E1235" t="str">
        <f>HYPERLINK("https://worldwide.espacenet.com/publicationDetails/biblio?II=341&amp;ND=3&amp;adjacent=true&amp;locale=en_EP&amp;FT=D&amp;date=20130220&amp;CC=CN&amp;NR=202748234U&amp;KC=U")</f>
        <v>https://worldwide.espacenet.com/publicationDetails/biblio?II=341&amp;ND=3&amp;adjacent=true&amp;locale=en_EP&amp;FT=D&amp;date=20130220&amp;CC=CN&amp;NR=202748234U&amp;KC=U</v>
      </c>
    </row>
    <row r="1236" spans="3:5" x14ac:dyDescent="0.25">
      <c r="C1236" t="s">
        <v>2097</v>
      </c>
      <c r="D1236" t="s">
        <v>2098</v>
      </c>
      <c r="E1236" t="str">
        <f>HYPERLINK("https://worldwide.espacenet.com/publicationDetails/biblio?II=342&amp;ND=3&amp;adjacent=true&amp;locale=en_EP&amp;FT=D&amp;date=20130213&amp;CC=CN&amp;NR=102930805A&amp;KC=A")</f>
        <v>https://worldwide.espacenet.com/publicationDetails/biblio?II=342&amp;ND=3&amp;adjacent=true&amp;locale=en_EP&amp;FT=D&amp;date=20130213&amp;CC=CN&amp;NR=102930805A&amp;KC=A</v>
      </c>
    </row>
    <row r="1237" spans="3:5" x14ac:dyDescent="0.25">
      <c r="C1237" t="s">
        <v>2099</v>
      </c>
      <c r="D1237" t="s">
        <v>2100</v>
      </c>
      <c r="E1237" t="str">
        <f>HYPERLINK("https://worldwide.espacenet.com/publicationDetails/biblio?II=343&amp;ND=3&amp;adjacent=true&amp;locale=en_EP&amp;FT=D&amp;date=20130206&amp;CC=CN&amp;NR=102917134A&amp;KC=A")</f>
        <v>https://worldwide.espacenet.com/publicationDetails/biblio?II=343&amp;ND=3&amp;adjacent=true&amp;locale=en_EP&amp;FT=D&amp;date=20130206&amp;CC=CN&amp;NR=102917134A&amp;KC=A</v>
      </c>
    </row>
    <row r="1238" spans="3:5" x14ac:dyDescent="0.25">
      <c r="C1238" t="s">
        <v>2101</v>
      </c>
      <c r="D1238" t="s">
        <v>2102</v>
      </c>
      <c r="E1238" t="str">
        <f>HYPERLINK("https://worldwide.espacenet.com/publicationDetails/biblio?II=344&amp;ND=3&amp;adjacent=true&amp;locale=en_EP&amp;FT=D&amp;date=20130123&amp;CC=CN&amp;NR=202696892U&amp;KC=U")</f>
        <v>https://worldwide.espacenet.com/publicationDetails/biblio?II=344&amp;ND=3&amp;adjacent=true&amp;locale=en_EP&amp;FT=D&amp;date=20130123&amp;CC=CN&amp;NR=202696892U&amp;KC=U</v>
      </c>
    </row>
    <row r="1239" spans="3:5" x14ac:dyDescent="0.25">
      <c r="C1239" t="s">
        <v>2103</v>
      </c>
      <c r="D1239" t="s">
        <v>2104</v>
      </c>
      <c r="E1239" t="str">
        <f>HYPERLINK("https://worldwide.espacenet.com/publicationDetails/biblio?II=345&amp;ND=3&amp;adjacent=true&amp;locale=en_EP&amp;FT=D&amp;date=20121226&amp;CC=CN&amp;NR=102843429A&amp;KC=A")</f>
        <v>https://worldwide.espacenet.com/publicationDetails/biblio?II=345&amp;ND=3&amp;adjacent=true&amp;locale=en_EP&amp;FT=D&amp;date=20121226&amp;CC=CN&amp;NR=102843429A&amp;KC=A</v>
      </c>
    </row>
    <row r="1240" spans="3:5" x14ac:dyDescent="0.25">
      <c r="C1240" t="s">
        <v>2105</v>
      </c>
      <c r="D1240" t="s">
        <v>2106</v>
      </c>
      <c r="E1240" t="str">
        <f>HYPERLINK("https://worldwide.espacenet.com/publicationDetails/biblio?II=346&amp;ND=3&amp;adjacent=true&amp;locale=en_EP&amp;FT=D&amp;date=20121008&amp;CC=KR&amp;NR=101187338B1&amp;KC=B1")</f>
        <v>https://worldwide.espacenet.com/publicationDetails/biblio?II=346&amp;ND=3&amp;adjacent=true&amp;locale=en_EP&amp;FT=D&amp;date=20121008&amp;CC=KR&amp;NR=101187338B1&amp;KC=B1</v>
      </c>
    </row>
    <row r="1241" spans="3:5" x14ac:dyDescent="0.25">
      <c r="C1241" t="s">
        <v>2107</v>
      </c>
      <c r="D1241" t="s">
        <v>2108</v>
      </c>
      <c r="E1241" t="str">
        <f>HYPERLINK("https://worldwide.espacenet.com/publicationDetails/biblio?II=347&amp;ND=3&amp;adjacent=true&amp;locale=en_EP&amp;FT=D&amp;date=20121205&amp;CC=CN&amp;NR=202586151U&amp;KC=U")</f>
        <v>https://worldwide.espacenet.com/publicationDetails/biblio?II=347&amp;ND=3&amp;adjacent=true&amp;locale=en_EP&amp;FT=D&amp;date=20121205&amp;CC=CN&amp;NR=202586151U&amp;KC=U</v>
      </c>
    </row>
    <row r="1242" spans="3:5" x14ac:dyDescent="0.25">
      <c r="C1242" t="s">
        <v>2109</v>
      </c>
      <c r="D1242" t="s">
        <v>2110</v>
      </c>
      <c r="E1242" t="str">
        <f>HYPERLINK("https://worldwide.espacenet.com/publicationDetails/biblio?II=348&amp;ND=3&amp;adjacent=true&amp;locale=en_EP&amp;FT=D&amp;date=20121121&amp;CC=CN&amp;NR=202541829U&amp;KC=U")</f>
        <v>https://worldwide.espacenet.com/publicationDetails/biblio?II=348&amp;ND=3&amp;adjacent=true&amp;locale=en_EP&amp;FT=D&amp;date=20121121&amp;CC=CN&amp;NR=202541829U&amp;KC=U</v>
      </c>
    </row>
    <row r="1243" spans="3:5" x14ac:dyDescent="0.25">
      <c r="C1243" t="s">
        <v>2111</v>
      </c>
      <c r="D1243" t="s">
        <v>2112</v>
      </c>
      <c r="E1243" t="str">
        <f>HYPERLINK("https://worldwide.espacenet.com/publicationDetails/biblio?II=349&amp;ND=3&amp;adjacent=true&amp;locale=en_EP&amp;FT=D&amp;date=20121101&amp;CC=US&amp;NR=2012278721A1&amp;KC=A1")</f>
        <v>https://worldwide.espacenet.com/publicationDetails/biblio?II=349&amp;ND=3&amp;adjacent=true&amp;locale=en_EP&amp;FT=D&amp;date=20121101&amp;CC=US&amp;NR=2012278721A1&amp;KC=A1</v>
      </c>
    </row>
    <row r="1244" spans="3:5" x14ac:dyDescent="0.25">
      <c r="C1244" t="s">
        <v>2113</v>
      </c>
      <c r="D1244" t="s">
        <v>2114</v>
      </c>
      <c r="E1244" t="str">
        <f>HYPERLINK("https://worldwide.espacenet.com/publicationDetails/biblio?II=350&amp;ND=3&amp;adjacent=true&amp;locale=en_EP&amp;FT=D&amp;date=20121024&amp;CC=CN&amp;NR=102749464A&amp;KC=A")</f>
        <v>https://worldwide.espacenet.com/publicationDetails/biblio?II=350&amp;ND=3&amp;adjacent=true&amp;locale=en_EP&amp;FT=D&amp;date=20121024&amp;CC=CN&amp;NR=102749464A&amp;KC=A</v>
      </c>
    </row>
    <row r="1245" spans="3:5" x14ac:dyDescent="0.25">
      <c r="C1245" t="s">
        <v>2115</v>
      </c>
      <c r="D1245" t="s">
        <v>2116</v>
      </c>
      <c r="E1245" t="str">
        <f>HYPERLINK("https://worldwide.espacenet.com/publicationDetails/biblio?II=351&amp;ND=3&amp;adjacent=true&amp;locale=en_EP&amp;FT=D&amp;date=20121017&amp;CC=CN&amp;NR=202494922U&amp;KC=U")</f>
        <v>https://worldwide.espacenet.com/publicationDetails/biblio?II=351&amp;ND=3&amp;adjacent=true&amp;locale=en_EP&amp;FT=D&amp;date=20121017&amp;CC=CN&amp;NR=202494922U&amp;KC=U</v>
      </c>
    </row>
    <row r="1246" spans="3:5" x14ac:dyDescent="0.25">
      <c r="C1246" t="s">
        <v>2117</v>
      </c>
      <c r="D1246" t="s">
        <v>2118</v>
      </c>
      <c r="E1246" t="str">
        <f>HYPERLINK("https://worldwide.espacenet.com/publicationDetails/biblio?II=352&amp;ND=3&amp;adjacent=true&amp;locale=en_EP&amp;FT=D&amp;date=20121010&amp;CC=CN&amp;NR=202488719U&amp;KC=U")</f>
        <v>https://worldwide.espacenet.com/publicationDetails/biblio?II=352&amp;ND=3&amp;adjacent=true&amp;locale=en_EP&amp;FT=D&amp;date=20121010&amp;CC=CN&amp;NR=202488719U&amp;KC=U</v>
      </c>
    </row>
    <row r="1247" spans="3:5" x14ac:dyDescent="0.25">
      <c r="C1247" t="s">
        <v>2119</v>
      </c>
      <c r="D1247" t="s">
        <v>2120</v>
      </c>
      <c r="E1247" t="str">
        <f>HYPERLINK("https://worldwide.espacenet.com/publicationDetails/biblio?II=353&amp;ND=3&amp;adjacent=true&amp;locale=en_EP&amp;FT=D&amp;date=20120912&amp;CC=CN&amp;NR=202435470U&amp;KC=U")</f>
        <v>https://worldwide.espacenet.com/publicationDetails/biblio?II=353&amp;ND=3&amp;adjacent=true&amp;locale=en_EP&amp;FT=D&amp;date=20120912&amp;CC=CN&amp;NR=202435470U&amp;KC=U</v>
      </c>
    </row>
    <row r="1248" spans="3:5" x14ac:dyDescent="0.25">
      <c r="C1248" t="s">
        <v>2121</v>
      </c>
      <c r="D1248" t="s">
        <v>2122</v>
      </c>
      <c r="E1248" t="str">
        <f>HYPERLINK("https://worldwide.espacenet.com/publicationDetails/biblio?II=354&amp;ND=3&amp;adjacent=true&amp;locale=en_EP&amp;FT=D&amp;date=20120829&amp;CC=CN&amp;NR=202404655U&amp;KC=U")</f>
        <v>https://worldwide.espacenet.com/publicationDetails/biblio?II=354&amp;ND=3&amp;adjacent=true&amp;locale=en_EP&amp;FT=D&amp;date=20120829&amp;CC=CN&amp;NR=202404655U&amp;KC=U</v>
      </c>
    </row>
    <row r="1249" spans="3:5" x14ac:dyDescent="0.25">
      <c r="C1249" t="s">
        <v>2123</v>
      </c>
      <c r="D1249" t="s">
        <v>2124</v>
      </c>
      <c r="E1249" t="str">
        <f>HYPERLINK("https://worldwide.espacenet.com/publicationDetails/biblio?II=355&amp;ND=3&amp;adjacent=true&amp;locale=en_EP&amp;FT=D&amp;date=20120725&amp;CC=CN&amp;NR=202353249U&amp;KC=U")</f>
        <v>https://worldwide.espacenet.com/publicationDetails/biblio?II=355&amp;ND=3&amp;adjacent=true&amp;locale=en_EP&amp;FT=D&amp;date=20120725&amp;CC=CN&amp;NR=202353249U&amp;KC=U</v>
      </c>
    </row>
    <row r="1250" spans="3:5" x14ac:dyDescent="0.25">
      <c r="C1250" t="s">
        <v>2125</v>
      </c>
      <c r="D1250" t="s">
        <v>2126</v>
      </c>
      <c r="E1250" t="str">
        <f>HYPERLINK("https://worldwide.espacenet.com/publicationDetails/biblio?II=356&amp;ND=3&amp;adjacent=true&amp;locale=en_EP&amp;FT=D&amp;date=20120725&amp;CC=CN&amp;NR=102611747A&amp;KC=A")</f>
        <v>https://worldwide.espacenet.com/publicationDetails/biblio?II=356&amp;ND=3&amp;adjacent=true&amp;locale=en_EP&amp;FT=D&amp;date=20120725&amp;CC=CN&amp;NR=102611747A&amp;KC=A</v>
      </c>
    </row>
    <row r="1251" spans="3:5" x14ac:dyDescent="0.25">
      <c r="C1251" t="s">
        <v>2127</v>
      </c>
      <c r="D1251" t="s">
        <v>2128</v>
      </c>
      <c r="E1251" t="str">
        <f>HYPERLINK("https://worldwide.espacenet.com/publicationDetails/biblio?II=357&amp;ND=3&amp;adjacent=true&amp;locale=en_EP&amp;FT=D&amp;date=20120718&amp;CC=CN&amp;NR=102592233A&amp;KC=A")</f>
        <v>https://worldwide.espacenet.com/publicationDetails/biblio?II=357&amp;ND=3&amp;adjacent=true&amp;locale=en_EP&amp;FT=D&amp;date=20120718&amp;CC=CN&amp;NR=102592233A&amp;KC=A</v>
      </c>
    </row>
    <row r="1252" spans="3:5" x14ac:dyDescent="0.25">
      <c r="C1252" t="s">
        <v>2129</v>
      </c>
      <c r="D1252" t="s">
        <v>2130</v>
      </c>
      <c r="E1252" t="str">
        <f>HYPERLINK("https://worldwide.espacenet.com/publicationDetails/biblio?II=358&amp;ND=3&amp;adjacent=true&amp;locale=en_EP&amp;FT=D&amp;date=20120718&amp;CC=CN&amp;NR=102590826A&amp;KC=A")</f>
        <v>https://worldwide.espacenet.com/publicationDetails/biblio?II=358&amp;ND=3&amp;adjacent=true&amp;locale=en_EP&amp;FT=D&amp;date=20120718&amp;CC=CN&amp;NR=102590826A&amp;KC=A</v>
      </c>
    </row>
    <row r="1253" spans="3:5" x14ac:dyDescent="0.25">
      <c r="C1253" t="s">
        <v>2131</v>
      </c>
      <c r="D1253" t="s">
        <v>2132</v>
      </c>
      <c r="E1253" t="str">
        <f>HYPERLINK("https://worldwide.espacenet.com/publicationDetails/biblio?II=359&amp;ND=3&amp;adjacent=true&amp;locale=en_EP&amp;FT=D&amp;date=20120711&amp;CC=CN&amp;NR=102567440A&amp;KC=A")</f>
        <v>https://worldwide.espacenet.com/publicationDetails/biblio?II=359&amp;ND=3&amp;adjacent=true&amp;locale=en_EP&amp;FT=D&amp;date=20120711&amp;CC=CN&amp;NR=102567440A&amp;KC=A</v>
      </c>
    </row>
    <row r="1254" spans="3:5" x14ac:dyDescent="0.25">
      <c r="C1254" t="s">
        <v>2133</v>
      </c>
      <c r="D1254" t="s">
        <v>2134</v>
      </c>
      <c r="E1254" t="str">
        <f>HYPERLINK("https://worldwide.espacenet.com/publicationDetails/biblio?II=360&amp;ND=3&amp;adjacent=true&amp;locale=en_EP&amp;FT=D&amp;date=20120704&amp;CC=CN&amp;NR=202310105U&amp;KC=U")</f>
        <v>https://worldwide.espacenet.com/publicationDetails/biblio?II=360&amp;ND=3&amp;adjacent=true&amp;locale=en_EP&amp;FT=D&amp;date=20120704&amp;CC=CN&amp;NR=202310105U&amp;KC=U</v>
      </c>
    </row>
    <row r="1255" spans="3:5" x14ac:dyDescent="0.25">
      <c r="C1255" t="s">
        <v>2135</v>
      </c>
      <c r="D1255" t="s">
        <v>2136</v>
      </c>
      <c r="E1255" t="str">
        <f>HYPERLINK("https://worldwide.espacenet.com/publicationDetails/biblio?II=361&amp;ND=3&amp;adjacent=true&amp;locale=en_EP&amp;FT=D&amp;date=20120627&amp;CC=CN&amp;NR=102522085A&amp;KC=A")</f>
        <v>https://worldwide.espacenet.com/publicationDetails/biblio?II=361&amp;ND=3&amp;adjacent=true&amp;locale=en_EP&amp;FT=D&amp;date=20120627&amp;CC=CN&amp;NR=102522085A&amp;KC=A</v>
      </c>
    </row>
    <row r="1256" spans="3:5" x14ac:dyDescent="0.25">
      <c r="C1256" t="s">
        <v>2137</v>
      </c>
      <c r="D1256" t="s">
        <v>2138</v>
      </c>
      <c r="E1256" t="str">
        <f>HYPERLINK("https://worldwide.espacenet.com/publicationDetails/biblio?II=362&amp;ND=3&amp;adjacent=true&amp;locale=en_EP&amp;FT=D&amp;date=20120627&amp;CC=CN&amp;NR=102522044A&amp;KC=A")</f>
        <v>https://worldwide.espacenet.com/publicationDetails/biblio?II=362&amp;ND=3&amp;adjacent=true&amp;locale=en_EP&amp;FT=D&amp;date=20120627&amp;CC=CN&amp;NR=102522044A&amp;KC=A</v>
      </c>
    </row>
    <row r="1257" spans="3:5" x14ac:dyDescent="0.25">
      <c r="C1257" t="s">
        <v>2139</v>
      </c>
      <c r="D1257" t="s">
        <v>2140</v>
      </c>
      <c r="E1257" t="str">
        <f>HYPERLINK("https://worldwide.espacenet.com/publicationDetails/biblio?II=363&amp;ND=3&amp;adjacent=true&amp;locale=en_EP&amp;FT=D&amp;date=20120627&amp;CC=CN&amp;NR=102521253A&amp;KC=A")</f>
        <v>https://worldwide.espacenet.com/publicationDetails/biblio?II=363&amp;ND=3&amp;adjacent=true&amp;locale=en_EP&amp;FT=D&amp;date=20120627&amp;CC=CN&amp;NR=102521253A&amp;KC=A</v>
      </c>
    </row>
    <row r="1258" spans="3:5" x14ac:dyDescent="0.25">
      <c r="C1258" t="s">
        <v>2141</v>
      </c>
      <c r="D1258" t="s">
        <v>2142</v>
      </c>
      <c r="E1258" t="str">
        <f>HYPERLINK("https://worldwide.espacenet.com/publicationDetails/biblio?II=364&amp;ND=3&amp;adjacent=true&amp;locale=en_EP&amp;FT=D&amp;date=20120607&amp;CC=US&amp;NR=2012143980A1&amp;KC=A1")</f>
        <v>https://worldwide.espacenet.com/publicationDetails/biblio?II=364&amp;ND=3&amp;adjacent=true&amp;locale=en_EP&amp;FT=D&amp;date=20120607&amp;CC=US&amp;NR=2012143980A1&amp;KC=A1</v>
      </c>
    </row>
    <row r="1259" spans="3:5" x14ac:dyDescent="0.25">
      <c r="C1259" t="s">
        <v>2143</v>
      </c>
      <c r="D1259" t="s">
        <v>2144</v>
      </c>
      <c r="E1259" t="str">
        <f>HYPERLINK("https://worldwide.espacenet.com/publicationDetails/biblio?II=365&amp;ND=3&amp;adjacent=true&amp;locale=en_EP&amp;FT=D&amp;date=20120418&amp;CC=KR&amp;NR=20120036444A&amp;KC=A")</f>
        <v>https://worldwide.espacenet.com/publicationDetails/biblio?II=365&amp;ND=3&amp;adjacent=true&amp;locale=en_EP&amp;FT=D&amp;date=20120418&amp;CC=KR&amp;NR=20120036444A&amp;KC=A</v>
      </c>
    </row>
    <row r="1260" spans="3:5" x14ac:dyDescent="0.25">
      <c r="C1260" t="s">
        <v>2145</v>
      </c>
      <c r="D1260" t="s">
        <v>2146</v>
      </c>
      <c r="E1260" t="str">
        <f>HYPERLINK("https://worldwide.espacenet.com/publicationDetails/biblio?II=366&amp;ND=3&amp;adjacent=true&amp;locale=en_EP&amp;FT=D&amp;date=20120502&amp;CC=CN&amp;NR=202209255U&amp;KC=U")</f>
        <v>https://worldwide.espacenet.com/publicationDetails/biblio?II=366&amp;ND=3&amp;adjacent=true&amp;locale=en_EP&amp;FT=D&amp;date=20120502&amp;CC=CN&amp;NR=202209255U&amp;KC=U</v>
      </c>
    </row>
    <row r="1261" spans="3:5" x14ac:dyDescent="0.25">
      <c r="C1261" t="s">
        <v>2147</v>
      </c>
      <c r="D1261" t="s">
        <v>2148</v>
      </c>
      <c r="E1261" t="str">
        <f>HYPERLINK("https://worldwide.espacenet.com/publicationDetails/biblio?II=367&amp;ND=3&amp;adjacent=true&amp;locale=en_EP&amp;FT=D&amp;date=20120425&amp;CC=CN&amp;NR=202206007U&amp;KC=U")</f>
        <v>https://worldwide.espacenet.com/publicationDetails/biblio?II=367&amp;ND=3&amp;adjacent=true&amp;locale=en_EP&amp;FT=D&amp;date=20120425&amp;CC=CN&amp;NR=202206007U&amp;KC=U</v>
      </c>
    </row>
    <row r="1262" spans="3:5" x14ac:dyDescent="0.25">
      <c r="C1262" t="s">
        <v>2149</v>
      </c>
      <c r="D1262" t="s">
        <v>2150</v>
      </c>
      <c r="E1262" t="str">
        <f>HYPERLINK("https://worldwide.espacenet.com/publicationDetails/biblio?II=368&amp;ND=3&amp;adjacent=true&amp;locale=en_EP&amp;FT=D&amp;date=20120418&amp;CC=CN&amp;NR=102421060A&amp;KC=A")</f>
        <v>https://worldwide.espacenet.com/publicationDetails/biblio?II=368&amp;ND=3&amp;adjacent=true&amp;locale=en_EP&amp;FT=D&amp;date=20120418&amp;CC=CN&amp;NR=102421060A&amp;KC=A</v>
      </c>
    </row>
    <row r="1263" spans="3:5" x14ac:dyDescent="0.25">
      <c r="C1263" t="s">
        <v>2151</v>
      </c>
      <c r="D1263" t="s">
        <v>2152</v>
      </c>
      <c r="E1263" t="str">
        <f>HYPERLINK("https://worldwide.espacenet.com/publicationDetails/biblio?II=369&amp;ND=3&amp;adjacent=true&amp;locale=en_EP&amp;FT=D&amp;date=20120223&amp;CC=JP&amp;NR=2012038278A&amp;KC=A")</f>
        <v>https://worldwide.espacenet.com/publicationDetails/biblio?II=369&amp;ND=3&amp;adjacent=true&amp;locale=en_EP&amp;FT=D&amp;date=20120223&amp;CC=JP&amp;NR=2012038278A&amp;KC=A</v>
      </c>
    </row>
    <row r="1264" spans="3:5" x14ac:dyDescent="0.25">
      <c r="C1264" t="s">
        <v>2153</v>
      </c>
      <c r="D1264" t="s">
        <v>2154</v>
      </c>
      <c r="E1264" t="str">
        <f>HYPERLINK("https://worldwide.espacenet.com/publicationDetails/biblio?II=370&amp;ND=3&amp;adjacent=true&amp;locale=en_EP&amp;FT=D&amp;date=20120227&amp;CC=KR&amp;NR=20120016855A&amp;KC=A")</f>
        <v>https://worldwide.espacenet.com/publicationDetails/biblio?II=370&amp;ND=3&amp;adjacent=true&amp;locale=en_EP&amp;FT=D&amp;date=20120227&amp;CC=KR&amp;NR=20120016855A&amp;KC=A</v>
      </c>
    </row>
    <row r="1265" spans="3:5" x14ac:dyDescent="0.25">
      <c r="C1265" t="s">
        <v>2155</v>
      </c>
      <c r="D1265" t="s">
        <v>2156</v>
      </c>
      <c r="E1265" t="str">
        <f>HYPERLINK("https://worldwide.espacenet.com/publicationDetails/biblio?II=371&amp;ND=3&amp;adjacent=true&amp;locale=en_EP&amp;FT=D&amp;date=20120321&amp;CC=CN&amp;NR=102385662A&amp;KC=A")</f>
        <v>https://worldwide.espacenet.com/publicationDetails/biblio?II=371&amp;ND=3&amp;adjacent=true&amp;locale=en_EP&amp;FT=D&amp;date=20120321&amp;CC=CN&amp;NR=102385662A&amp;KC=A</v>
      </c>
    </row>
    <row r="1266" spans="3:5" x14ac:dyDescent="0.25">
      <c r="C1266" t="s">
        <v>2157</v>
      </c>
      <c r="D1266" t="s">
        <v>2158</v>
      </c>
      <c r="E1266" t="str">
        <f>HYPERLINK("https://worldwide.espacenet.com/publicationDetails/biblio?II=372&amp;ND=3&amp;adjacent=true&amp;locale=en_EP&amp;FT=D&amp;date=20120314&amp;CC=CN&amp;NR=102375870A&amp;KC=A")</f>
        <v>https://worldwide.espacenet.com/publicationDetails/biblio?II=372&amp;ND=3&amp;adjacent=true&amp;locale=en_EP&amp;FT=D&amp;date=20120314&amp;CC=CN&amp;NR=102375870A&amp;KC=A</v>
      </c>
    </row>
    <row r="1267" spans="3:5" x14ac:dyDescent="0.25">
      <c r="C1267" t="s">
        <v>2159</v>
      </c>
      <c r="D1267" t="s">
        <v>2160</v>
      </c>
      <c r="E1267" t="str">
        <f>HYPERLINK("https://worldwide.espacenet.com/publicationDetails/biblio?II=373&amp;ND=3&amp;adjacent=true&amp;locale=en_EP&amp;FT=D&amp;date=20120229&amp;CC=CN&amp;NR=202153615U&amp;KC=U")</f>
        <v>https://worldwide.espacenet.com/publicationDetails/biblio?II=373&amp;ND=3&amp;adjacent=true&amp;locale=en_EP&amp;FT=D&amp;date=20120229&amp;CC=CN&amp;NR=202153615U&amp;KC=U</v>
      </c>
    </row>
    <row r="1268" spans="3:5" x14ac:dyDescent="0.25">
      <c r="C1268" t="s">
        <v>2161</v>
      </c>
      <c r="D1268" t="s">
        <v>2162</v>
      </c>
      <c r="E1268" t="str">
        <f>HYPERLINK("https://worldwide.espacenet.com/publicationDetails/biblio?II=374&amp;ND=3&amp;adjacent=true&amp;locale=en_EP&amp;FT=D&amp;date=20120726&amp;CC=WO&amp;NR=2012098329A1&amp;KC=A1")</f>
        <v>https://worldwide.espacenet.com/publicationDetails/biblio?II=374&amp;ND=3&amp;adjacent=true&amp;locale=en_EP&amp;FT=D&amp;date=20120726&amp;CC=WO&amp;NR=2012098329A1&amp;KC=A1</v>
      </c>
    </row>
    <row r="1269" spans="3:5" x14ac:dyDescent="0.25">
      <c r="C1269" t="s">
        <v>2163</v>
      </c>
      <c r="D1269" t="s">
        <v>2164</v>
      </c>
      <c r="E1269" t="str">
        <f>HYPERLINK("https://worldwide.espacenet.com/publicationDetails/biblio?II=375&amp;ND=3&amp;adjacent=true&amp;locale=en_EP&amp;FT=D&amp;date=20120215&amp;CC=CN&amp;NR=202145538U&amp;KC=U")</f>
        <v>https://worldwide.espacenet.com/publicationDetails/biblio?II=375&amp;ND=3&amp;adjacent=true&amp;locale=en_EP&amp;FT=D&amp;date=20120215&amp;CC=CN&amp;NR=202145538U&amp;KC=U</v>
      </c>
    </row>
    <row r="1270" spans="3:5" x14ac:dyDescent="0.25">
      <c r="C1270" t="s">
        <v>2165</v>
      </c>
      <c r="D1270" t="s">
        <v>2166</v>
      </c>
      <c r="E1270" t="str">
        <f>HYPERLINK("https://worldwide.espacenet.com/publicationDetails/biblio?II=376&amp;ND=3&amp;adjacent=true&amp;locale=en_EP&amp;FT=D&amp;date=20120215&amp;CC=CN&amp;NR=102354474A&amp;KC=A")</f>
        <v>https://worldwide.espacenet.com/publicationDetails/biblio?II=376&amp;ND=3&amp;adjacent=true&amp;locale=en_EP&amp;FT=D&amp;date=20120215&amp;CC=CN&amp;NR=102354474A&amp;KC=A</v>
      </c>
    </row>
    <row r="1271" spans="3:5" x14ac:dyDescent="0.25">
      <c r="C1271" t="s">
        <v>2167</v>
      </c>
      <c r="D1271" t="s">
        <v>2168</v>
      </c>
      <c r="E1271" t="str">
        <f>HYPERLINK("https://worldwide.espacenet.com/publicationDetails/biblio?II=377&amp;ND=3&amp;adjacent=true&amp;locale=en_EP&amp;FT=D&amp;date=20120208&amp;CC=CN&amp;NR=102348223A&amp;KC=A")</f>
        <v>https://worldwide.espacenet.com/publicationDetails/biblio?II=377&amp;ND=3&amp;adjacent=true&amp;locale=en_EP&amp;FT=D&amp;date=20120208&amp;CC=CN&amp;NR=102348223A&amp;KC=A</v>
      </c>
    </row>
    <row r="1272" spans="3:5" x14ac:dyDescent="0.25">
      <c r="C1272" t="s">
        <v>2169</v>
      </c>
      <c r="D1272" t="s">
        <v>2170</v>
      </c>
      <c r="E1272" t="str">
        <f>HYPERLINK("https://worldwide.espacenet.com/publicationDetails/biblio?II=378&amp;ND=3&amp;adjacent=true&amp;locale=en_EP&amp;FT=D&amp;date=20120104&amp;CC=CN&amp;NR=202103479U&amp;KC=U")</f>
        <v>https://worldwide.espacenet.com/publicationDetails/biblio?II=378&amp;ND=3&amp;adjacent=true&amp;locale=en_EP&amp;FT=D&amp;date=20120104&amp;CC=CN&amp;NR=202103479U&amp;KC=U</v>
      </c>
    </row>
    <row r="1273" spans="3:5" x14ac:dyDescent="0.25">
      <c r="C1273" t="s">
        <v>2169</v>
      </c>
      <c r="D1273" t="s">
        <v>2171</v>
      </c>
      <c r="E1273" t="str">
        <f>HYPERLINK("https://worldwide.espacenet.com/publicationDetails/biblio?II=379&amp;ND=3&amp;adjacent=true&amp;locale=en_EP&amp;FT=D&amp;date=20120104&amp;CC=CN&amp;NR=202102887U&amp;KC=U")</f>
        <v>https://worldwide.espacenet.com/publicationDetails/biblio?II=379&amp;ND=3&amp;adjacent=true&amp;locale=en_EP&amp;FT=D&amp;date=20120104&amp;CC=CN&amp;NR=202102887U&amp;KC=U</v>
      </c>
    </row>
    <row r="1274" spans="3:5" x14ac:dyDescent="0.25">
      <c r="C1274" t="s">
        <v>1479</v>
      </c>
      <c r="D1274" t="s">
        <v>2172</v>
      </c>
      <c r="E1274" t="str">
        <f>HYPERLINK("https://worldwide.espacenet.com/publicationDetails/biblio?II=380&amp;ND=3&amp;adjacent=true&amp;locale=en_EP&amp;FT=D&amp;date=20111221&amp;CC=CN&amp;NR=202085225U&amp;KC=U")</f>
        <v>https://worldwide.espacenet.com/publicationDetails/biblio?II=380&amp;ND=3&amp;adjacent=true&amp;locale=en_EP&amp;FT=D&amp;date=20111221&amp;CC=CN&amp;NR=202085225U&amp;KC=U</v>
      </c>
    </row>
    <row r="1275" spans="3:5" x14ac:dyDescent="0.25">
      <c r="C1275" t="s">
        <v>2173</v>
      </c>
      <c r="D1275" t="s">
        <v>2174</v>
      </c>
      <c r="E1275" t="str">
        <f>HYPERLINK("https://worldwide.espacenet.com/publicationDetails/biblio?II=381&amp;ND=3&amp;adjacent=true&amp;locale=en_EP&amp;FT=D&amp;date=20111222&amp;CC=US&amp;NR=2011314090A1&amp;KC=A1")</f>
        <v>https://worldwide.espacenet.com/publicationDetails/biblio?II=381&amp;ND=3&amp;adjacent=true&amp;locale=en_EP&amp;FT=D&amp;date=20111222&amp;CC=US&amp;NR=2011314090A1&amp;KC=A1</v>
      </c>
    </row>
    <row r="1276" spans="3:5" x14ac:dyDescent="0.25">
      <c r="C1276" t="s">
        <v>2175</v>
      </c>
      <c r="D1276" t="s">
        <v>2176</v>
      </c>
      <c r="E1276" t="str">
        <f>HYPERLINK("https://worldwide.espacenet.com/publicationDetails/biblio?II=382&amp;ND=3&amp;adjacent=true&amp;locale=en_EP&amp;FT=D&amp;date=20110701&amp;CC=TW&amp;NR=201123095A&amp;KC=A")</f>
        <v>https://worldwide.espacenet.com/publicationDetails/biblio?II=382&amp;ND=3&amp;adjacent=true&amp;locale=en_EP&amp;FT=D&amp;date=20110701&amp;CC=TW&amp;NR=201123095A&amp;KC=A</v>
      </c>
    </row>
    <row r="1277" spans="3:5" x14ac:dyDescent="0.25">
      <c r="C1277" t="s">
        <v>2177</v>
      </c>
      <c r="D1277" t="s">
        <v>2178</v>
      </c>
      <c r="E1277" t="str">
        <f>HYPERLINK("https://worldwide.espacenet.com/publicationDetails/biblio?II=383&amp;ND=3&amp;adjacent=true&amp;locale=en_EP&amp;FT=D&amp;date=20110616&amp;CC=TW&amp;NR=201120789A&amp;KC=A")</f>
        <v>https://worldwide.espacenet.com/publicationDetails/biblio?II=383&amp;ND=3&amp;adjacent=true&amp;locale=en_EP&amp;FT=D&amp;date=20110616&amp;CC=TW&amp;NR=201120789A&amp;KC=A</v>
      </c>
    </row>
    <row r="1278" spans="3:5" x14ac:dyDescent="0.25">
      <c r="C1278" t="s">
        <v>2179</v>
      </c>
      <c r="D1278" t="s">
        <v>2180</v>
      </c>
      <c r="E1278" t="str">
        <f>HYPERLINK("https://worldwide.espacenet.com/publicationDetails/biblio?II=384&amp;ND=3&amp;adjacent=true&amp;locale=en_EP&amp;FT=D&amp;date=20101116&amp;CC=TW&amp;NR=201040841A&amp;KC=A")</f>
        <v>https://worldwide.espacenet.com/publicationDetails/biblio?II=384&amp;ND=3&amp;adjacent=true&amp;locale=en_EP&amp;FT=D&amp;date=20101116&amp;CC=TW&amp;NR=201040841A&amp;KC=A</v>
      </c>
    </row>
    <row r="1279" spans="3:5" x14ac:dyDescent="0.25">
      <c r="C1279" t="s">
        <v>2181</v>
      </c>
      <c r="D1279" t="s">
        <v>2182</v>
      </c>
      <c r="E1279" t="str">
        <f>HYPERLINK("https://worldwide.espacenet.com/publicationDetails/biblio?II=385&amp;ND=3&amp;adjacent=true&amp;locale=en_EP&amp;FT=D&amp;date=20110516&amp;CC=TW&amp;NR=201116800A&amp;KC=A")</f>
        <v>https://worldwide.espacenet.com/publicationDetails/biblio?II=385&amp;ND=3&amp;adjacent=true&amp;locale=en_EP&amp;FT=D&amp;date=20110516&amp;CC=TW&amp;NR=201116800A&amp;KC=A</v>
      </c>
    </row>
    <row r="1280" spans="3:5" x14ac:dyDescent="0.25">
      <c r="C1280" t="s">
        <v>2183</v>
      </c>
      <c r="D1280" t="s">
        <v>2184</v>
      </c>
      <c r="E1280" t="str">
        <f>HYPERLINK("https://worldwide.espacenet.com/publicationDetails/biblio?II=386&amp;ND=3&amp;adjacent=true&amp;locale=en_EP&amp;FT=D&amp;date=20110805&amp;CC=KR&amp;NR=20110089221A&amp;KC=A")</f>
        <v>https://worldwide.espacenet.com/publicationDetails/biblio?II=386&amp;ND=3&amp;adjacent=true&amp;locale=en_EP&amp;FT=D&amp;date=20110805&amp;CC=KR&amp;NR=20110089221A&amp;KC=A</v>
      </c>
    </row>
    <row r="1281" spans="3:5" x14ac:dyDescent="0.25">
      <c r="C1281" t="s">
        <v>2185</v>
      </c>
      <c r="D1281" t="s">
        <v>2186</v>
      </c>
      <c r="E1281" t="str">
        <f>HYPERLINK("https://worldwide.espacenet.com/publicationDetails/biblio?II=387&amp;ND=3&amp;adjacent=true&amp;locale=en_EP&amp;FT=D&amp;date=20111102&amp;CC=CN&amp;NR=202026112U&amp;KC=U")</f>
        <v>https://worldwide.espacenet.com/publicationDetails/biblio?II=387&amp;ND=3&amp;adjacent=true&amp;locale=en_EP&amp;FT=D&amp;date=20111102&amp;CC=CN&amp;NR=202026112U&amp;KC=U</v>
      </c>
    </row>
    <row r="1282" spans="3:5" x14ac:dyDescent="0.25">
      <c r="C1282" t="s">
        <v>2187</v>
      </c>
      <c r="D1282" t="s">
        <v>2188</v>
      </c>
      <c r="E1282" t="str">
        <f>HYPERLINK("https://worldwide.espacenet.com/publicationDetails/biblio?II=388&amp;ND=3&amp;adjacent=true&amp;locale=en_EP&amp;FT=D&amp;date=20080316&amp;CC=TW&amp;NR=200813905A&amp;KC=A")</f>
        <v>https://worldwide.espacenet.com/publicationDetails/biblio?II=388&amp;ND=3&amp;adjacent=true&amp;locale=en_EP&amp;FT=D&amp;date=20080316&amp;CC=TW&amp;NR=200813905A&amp;KC=A</v>
      </c>
    </row>
    <row r="1283" spans="3:5" x14ac:dyDescent="0.25">
      <c r="C1283" t="s">
        <v>2189</v>
      </c>
      <c r="D1283" t="s">
        <v>2190</v>
      </c>
      <c r="E1283" t="str">
        <f>HYPERLINK("https://worldwide.espacenet.com/publicationDetails/biblio?II=389&amp;ND=3&amp;adjacent=true&amp;locale=en_EP&amp;FT=D&amp;date=20110928&amp;CC=CN&amp;NR=201993782U&amp;KC=U")</f>
        <v>https://worldwide.espacenet.com/publicationDetails/biblio?II=389&amp;ND=3&amp;adjacent=true&amp;locale=en_EP&amp;FT=D&amp;date=20110928&amp;CC=CN&amp;NR=201993782U&amp;KC=U</v>
      </c>
    </row>
    <row r="1284" spans="3:5" x14ac:dyDescent="0.25">
      <c r="C1284" t="s">
        <v>2191</v>
      </c>
      <c r="D1284" t="s">
        <v>2192</v>
      </c>
      <c r="E1284" t="str">
        <f>HYPERLINK("https://worldwide.espacenet.com/publicationDetails/biblio?II=390&amp;ND=3&amp;adjacent=true&amp;locale=en_EP&amp;FT=D&amp;date=20110909&amp;CC=WO&amp;NR=2011109347A1&amp;KC=A1")</f>
        <v>https://worldwide.espacenet.com/publicationDetails/biblio?II=390&amp;ND=3&amp;adjacent=true&amp;locale=en_EP&amp;FT=D&amp;date=20110909&amp;CC=WO&amp;NR=2011109347A1&amp;KC=A1</v>
      </c>
    </row>
    <row r="1285" spans="3:5" x14ac:dyDescent="0.25">
      <c r="C1285" t="s">
        <v>2193</v>
      </c>
      <c r="D1285" t="s">
        <v>2194</v>
      </c>
      <c r="E1285" t="str">
        <f>HYPERLINK("https://worldwide.espacenet.com/publicationDetails/biblio?II=391&amp;ND=3&amp;adjacent=true&amp;locale=en_EP&amp;FT=D&amp;date=20110831&amp;CC=CN&amp;NR=201951977U&amp;KC=U")</f>
        <v>https://worldwide.espacenet.com/publicationDetails/biblio?II=391&amp;ND=3&amp;adjacent=true&amp;locale=en_EP&amp;FT=D&amp;date=20110831&amp;CC=CN&amp;NR=201951977U&amp;KC=U</v>
      </c>
    </row>
    <row r="1286" spans="3:5" x14ac:dyDescent="0.25">
      <c r="C1286" t="s">
        <v>2195</v>
      </c>
      <c r="D1286" t="s">
        <v>2196</v>
      </c>
      <c r="E1286" t="str">
        <f>HYPERLINK("https://worldwide.espacenet.com/publicationDetails/biblio?II=392&amp;ND=3&amp;adjacent=true&amp;locale=en_EP&amp;FT=D&amp;date=20110810&amp;CC=CN&amp;NR=201927083U&amp;KC=U")</f>
        <v>https://worldwide.espacenet.com/publicationDetails/biblio?II=392&amp;ND=3&amp;adjacent=true&amp;locale=en_EP&amp;FT=D&amp;date=20110810&amp;CC=CN&amp;NR=201927083U&amp;KC=U</v>
      </c>
    </row>
    <row r="1287" spans="3:5" x14ac:dyDescent="0.25">
      <c r="C1287" t="s">
        <v>2197</v>
      </c>
      <c r="D1287" t="s">
        <v>2198</v>
      </c>
      <c r="E1287" t="str">
        <f>HYPERLINK("https://worldwide.espacenet.com/publicationDetails/biblio?II=393&amp;ND=3&amp;adjacent=true&amp;locale=en_EP&amp;FT=D&amp;date=20110622&amp;CC=KR&amp;NR=20110068156A&amp;KC=A")</f>
        <v>https://worldwide.espacenet.com/publicationDetails/biblio?II=393&amp;ND=3&amp;adjacent=true&amp;locale=en_EP&amp;FT=D&amp;date=20110622&amp;CC=KR&amp;NR=20110068156A&amp;KC=A</v>
      </c>
    </row>
    <row r="1288" spans="3:5" x14ac:dyDescent="0.25">
      <c r="C1288" t="s">
        <v>1515</v>
      </c>
      <c r="D1288" t="s">
        <v>2199</v>
      </c>
      <c r="E1288" t="str">
        <f>HYPERLINK("https://worldwide.espacenet.com/publicationDetails/biblio?II=394&amp;ND=3&amp;adjacent=true&amp;locale=en_EP&amp;FT=D&amp;date=20091121&amp;CC=TW&amp;NR=M369497U&amp;KC=U")</f>
        <v>https://worldwide.espacenet.com/publicationDetails/biblio?II=394&amp;ND=3&amp;adjacent=true&amp;locale=en_EP&amp;FT=D&amp;date=20091121&amp;CC=TW&amp;NR=M369497U&amp;KC=U</v>
      </c>
    </row>
    <row r="1289" spans="3:5" x14ac:dyDescent="0.25">
      <c r="C1289" t="s">
        <v>2200</v>
      </c>
      <c r="D1289" t="s">
        <v>2201</v>
      </c>
      <c r="E1289" t="str">
        <f>HYPERLINK("https://worldwide.espacenet.com/publicationDetails/biblio?II=395&amp;ND=3&amp;adjacent=true&amp;locale=en_EP&amp;FT=D&amp;date=20110615&amp;CC=CN&amp;NR=201869363U&amp;KC=U")</f>
        <v>https://worldwide.espacenet.com/publicationDetails/biblio?II=395&amp;ND=3&amp;adjacent=true&amp;locale=en_EP&amp;FT=D&amp;date=20110615&amp;CC=CN&amp;NR=201869363U&amp;KC=U</v>
      </c>
    </row>
    <row r="1290" spans="3:5" x14ac:dyDescent="0.25">
      <c r="C1290" t="s">
        <v>2202</v>
      </c>
      <c r="D1290" t="s">
        <v>2203</v>
      </c>
      <c r="E1290" t="str">
        <f>HYPERLINK("https://worldwide.espacenet.com/publicationDetails/biblio?II=396&amp;ND=3&amp;adjacent=true&amp;locale=en_EP&amp;FT=D&amp;date=20110615&amp;CC=CN&amp;NR=201867868U&amp;KC=U")</f>
        <v>https://worldwide.espacenet.com/publicationDetails/biblio?II=396&amp;ND=3&amp;adjacent=true&amp;locale=en_EP&amp;FT=D&amp;date=20110615&amp;CC=CN&amp;NR=201867868U&amp;KC=U</v>
      </c>
    </row>
    <row r="1291" spans="3:5" x14ac:dyDescent="0.25">
      <c r="C1291" t="s">
        <v>2204</v>
      </c>
      <c r="D1291" t="s">
        <v>2205</v>
      </c>
      <c r="E1291" t="str">
        <f>HYPERLINK("https://worldwide.espacenet.com/publicationDetails/biblio?II=397&amp;ND=3&amp;adjacent=true&amp;locale=en_EP&amp;FT=D&amp;date=20110615&amp;CC=CN&amp;NR=201867807U&amp;KC=U")</f>
        <v>https://worldwide.espacenet.com/publicationDetails/biblio?II=397&amp;ND=3&amp;adjacent=true&amp;locale=en_EP&amp;FT=D&amp;date=20110615&amp;CC=CN&amp;NR=201867807U&amp;KC=U</v>
      </c>
    </row>
    <row r="1292" spans="3:5" x14ac:dyDescent="0.25">
      <c r="C1292" t="s">
        <v>2206</v>
      </c>
      <c r="D1292" t="s">
        <v>2207</v>
      </c>
      <c r="E1292" t="str">
        <f>HYPERLINK("https://worldwide.espacenet.com/publicationDetails/biblio?II=398&amp;ND=3&amp;adjacent=true&amp;locale=en_EP&amp;FT=D&amp;date=20110608&amp;CC=CN&amp;NR=201859927U&amp;KC=U")</f>
        <v>https://worldwide.espacenet.com/publicationDetails/biblio?II=398&amp;ND=3&amp;adjacent=true&amp;locale=en_EP&amp;FT=D&amp;date=20110608&amp;CC=CN&amp;NR=201859927U&amp;KC=U</v>
      </c>
    </row>
    <row r="1293" spans="3:5" x14ac:dyDescent="0.25">
      <c r="C1293" t="s">
        <v>2208</v>
      </c>
      <c r="D1293" t="s">
        <v>2209</v>
      </c>
      <c r="E1293" t="str">
        <f>HYPERLINK("https://worldwide.espacenet.com/publicationDetails/biblio?II=399&amp;ND=3&amp;adjacent=true&amp;locale=en_EP&amp;FT=D&amp;date=20110511&amp;CC=CN&amp;NR=102055501A&amp;KC=A")</f>
        <v>https://worldwide.espacenet.com/publicationDetails/biblio?II=399&amp;ND=3&amp;adjacent=true&amp;locale=en_EP&amp;FT=D&amp;date=20110511&amp;CC=CN&amp;NR=102055501A&amp;KC=A</v>
      </c>
    </row>
    <row r="1294" spans="3:5" x14ac:dyDescent="0.25">
      <c r="C1294" t="s">
        <v>2210</v>
      </c>
      <c r="D1294" t="s">
        <v>2211</v>
      </c>
      <c r="E1294" t="str">
        <f>HYPERLINK("https://worldwide.espacenet.com/publicationDetails/biblio?II=400&amp;ND=3&amp;adjacent=true&amp;locale=en_EP&amp;FT=D&amp;date=20110504&amp;CC=CN&amp;NR=102044164A&amp;KC=A")</f>
        <v>https://worldwide.espacenet.com/publicationDetails/biblio?II=400&amp;ND=3&amp;adjacent=true&amp;locale=en_EP&amp;FT=D&amp;date=20110504&amp;CC=CN&amp;NR=102044164A&amp;KC=A</v>
      </c>
    </row>
    <row r="1295" spans="3:5" x14ac:dyDescent="0.25">
      <c r="C1295" t="s">
        <v>2212</v>
      </c>
      <c r="D1295" t="s">
        <v>2213</v>
      </c>
      <c r="E1295" t="str">
        <f>HYPERLINK("https://worldwide.espacenet.com/publicationDetails/biblio?II=401&amp;ND=3&amp;adjacent=true&amp;locale=en_EP&amp;FT=D&amp;date=20110427&amp;CC=CN&amp;NR=201813535U&amp;KC=U")</f>
        <v>https://worldwide.espacenet.com/publicationDetails/biblio?II=401&amp;ND=3&amp;adjacent=true&amp;locale=en_EP&amp;FT=D&amp;date=20110427&amp;CC=CN&amp;NR=201813535U&amp;KC=U</v>
      </c>
    </row>
    <row r="1296" spans="3:5" x14ac:dyDescent="0.25">
      <c r="C1296" t="s">
        <v>2214</v>
      </c>
      <c r="D1296" t="s">
        <v>2215</v>
      </c>
      <c r="E1296" t="str">
        <f>HYPERLINK("https://worldwide.espacenet.com/publicationDetails/biblio?II=402&amp;ND=3&amp;adjacent=true&amp;locale=en_EP&amp;FT=D&amp;date=20110420&amp;CC=CN&amp;NR=102024397A&amp;KC=A")</f>
        <v>https://worldwide.espacenet.com/publicationDetails/biblio?II=402&amp;ND=3&amp;adjacent=true&amp;locale=en_EP&amp;FT=D&amp;date=20110420&amp;CC=CN&amp;NR=102024397A&amp;KC=A</v>
      </c>
    </row>
    <row r="1297" spans="3:5" x14ac:dyDescent="0.25">
      <c r="C1297" t="s">
        <v>2216</v>
      </c>
      <c r="D1297" t="s">
        <v>2217</v>
      </c>
      <c r="E1297" t="str">
        <f>HYPERLINK("https://worldwide.espacenet.com/publicationDetails/biblio?II=403&amp;ND=3&amp;adjacent=true&amp;locale=en_EP&amp;FT=D&amp;date=20110210&amp;CC=KR&amp;NR=20110013808A&amp;KC=A")</f>
        <v>https://worldwide.espacenet.com/publicationDetails/biblio?II=403&amp;ND=3&amp;adjacent=true&amp;locale=en_EP&amp;FT=D&amp;date=20110210&amp;CC=KR&amp;NR=20110013808A&amp;KC=A</v>
      </c>
    </row>
    <row r="1298" spans="3:5" x14ac:dyDescent="0.25">
      <c r="C1298" t="s">
        <v>2218</v>
      </c>
      <c r="D1298" t="s">
        <v>2219</v>
      </c>
      <c r="E1298" t="str">
        <f>HYPERLINK("https://worldwide.espacenet.com/publicationDetails/biblio?II=404&amp;ND=3&amp;adjacent=true&amp;locale=en_EP&amp;FT=D&amp;date=20110317&amp;CC=US&amp;NR=2011062226A1&amp;KC=A1")</f>
        <v>https://worldwide.espacenet.com/publicationDetails/biblio?II=404&amp;ND=3&amp;adjacent=true&amp;locale=en_EP&amp;FT=D&amp;date=20110317&amp;CC=US&amp;NR=2011062226A1&amp;KC=A1</v>
      </c>
    </row>
    <row r="1299" spans="3:5" x14ac:dyDescent="0.25">
      <c r="C1299" t="s">
        <v>2220</v>
      </c>
      <c r="D1299" t="s">
        <v>2221</v>
      </c>
      <c r="E1299" t="str">
        <f>HYPERLINK("https://worldwide.espacenet.com/publicationDetails/biblio?II=405&amp;ND=3&amp;adjacent=true&amp;locale=en_EP&amp;FT=D&amp;date=20101209&amp;CC=KR&amp;NR=20100129627A&amp;KC=A")</f>
        <v>https://worldwide.espacenet.com/publicationDetails/biblio?II=405&amp;ND=3&amp;adjacent=true&amp;locale=en_EP&amp;FT=D&amp;date=20101209&amp;CC=KR&amp;NR=20100129627A&amp;KC=A</v>
      </c>
    </row>
    <row r="1300" spans="3:5" x14ac:dyDescent="0.25">
      <c r="C1300" t="s">
        <v>2222</v>
      </c>
      <c r="D1300" t="s">
        <v>2223</v>
      </c>
      <c r="E1300" t="str">
        <f>HYPERLINK("https://worldwide.espacenet.com/publicationDetails/biblio?II=406&amp;ND=3&amp;adjacent=true&amp;locale=en_EP&amp;FT=D&amp;date=20110119&amp;CC=CN&amp;NR=101951550A&amp;KC=A")</f>
        <v>https://worldwide.espacenet.com/publicationDetails/biblio?II=406&amp;ND=3&amp;adjacent=true&amp;locale=en_EP&amp;FT=D&amp;date=20110119&amp;CC=CN&amp;NR=101951550A&amp;KC=A</v>
      </c>
    </row>
    <row r="1301" spans="3:5" x14ac:dyDescent="0.25">
      <c r="C1301" t="s">
        <v>2224</v>
      </c>
      <c r="D1301" t="s">
        <v>2225</v>
      </c>
      <c r="E1301" t="str">
        <f>HYPERLINK("https://worldwide.espacenet.com/publicationDetails/biblio?II=407&amp;ND=3&amp;adjacent=true&amp;locale=en_EP&amp;FT=D&amp;date=20110105&amp;CC=CN&amp;NR=101938511A&amp;KC=A")</f>
        <v>https://worldwide.espacenet.com/publicationDetails/biblio?II=407&amp;ND=3&amp;adjacent=true&amp;locale=en_EP&amp;FT=D&amp;date=20110105&amp;CC=CN&amp;NR=101938511A&amp;KC=A</v>
      </c>
    </row>
    <row r="1302" spans="3:5" x14ac:dyDescent="0.25">
      <c r="C1302" t="s">
        <v>2226</v>
      </c>
      <c r="D1302" t="s">
        <v>2227</v>
      </c>
      <c r="E1302" t="str">
        <f>HYPERLINK("https://worldwide.espacenet.com/publicationDetails/biblio?II=408&amp;ND=3&amp;adjacent=true&amp;locale=en_EP&amp;FT=D&amp;date=20101208&amp;CC=CN&amp;NR=101909073A&amp;KC=A")</f>
        <v>https://worldwide.espacenet.com/publicationDetails/biblio?II=408&amp;ND=3&amp;adjacent=true&amp;locale=en_EP&amp;FT=D&amp;date=20101208&amp;CC=CN&amp;NR=101909073A&amp;KC=A</v>
      </c>
    </row>
    <row r="1303" spans="3:5" x14ac:dyDescent="0.25">
      <c r="C1303" t="s">
        <v>2228</v>
      </c>
      <c r="D1303" t="s">
        <v>2229</v>
      </c>
      <c r="E1303" t="str">
        <f>HYPERLINK("https://worldwide.espacenet.com/publicationDetails/biblio?II=409&amp;ND=3&amp;adjacent=true&amp;locale=en_EP&amp;FT=D&amp;date=20101125&amp;CC=US&amp;NR=2010299179A1&amp;KC=A1")</f>
        <v>https://worldwide.espacenet.com/publicationDetails/biblio?II=409&amp;ND=3&amp;adjacent=true&amp;locale=en_EP&amp;FT=D&amp;date=20101125&amp;CC=US&amp;NR=2010299179A1&amp;KC=A1</v>
      </c>
    </row>
    <row r="1304" spans="3:5" x14ac:dyDescent="0.25">
      <c r="C1304" t="s">
        <v>2230</v>
      </c>
      <c r="D1304" t="s">
        <v>2231</v>
      </c>
      <c r="E1304" t="str">
        <f>HYPERLINK("https://worldwide.espacenet.com/publicationDetails/biblio?II=410&amp;ND=3&amp;adjacent=true&amp;locale=en_EP&amp;FT=D&amp;date=20101117&amp;CC=CN&amp;NR=201636561U&amp;KC=U")</f>
        <v>https://worldwide.espacenet.com/publicationDetails/biblio?II=410&amp;ND=3&amp;adjacent=true&amp;locale=en_EP&amp;FT=D&amp;date=20101117&amp;CC=CN&amp;NR=201636561U&amp;KC=U</v>
      </c>
    </row>
    <row r="1305" spans="3:5" x14ac:dyDescent="0.25">
      <c r="C1305" t="s">
        <v>2232</v>
      </c>
      <c r="D1305" t="s">
        <v>2233</v>
      </c>
      <c r="E1305" t="str">
        <f>HYPERLINK("https://worldwide.espacenet.com/publicationDetails/biblio?II=411&amp;ND=3&amp;adjacent=true&amp;locale=en_EP&amp;FT=D&amp;date=20101103&amp;CC=CN&amp;NR=201622346U&amp;KC=U")</f>
        <v>https://worldwide.espacenet.com/publicationDetails/biblio?II=411&amp;ND=3&amp;adjacent=true&amp;locale=en_EP&amp;FT=D&amp;date=20101103&amp;CC=CN&amp;NR=201622346U&amp;KC=U</v>
      </c>
    </row>
    <row r="1306" spans="3:5" x14ac:dyDescent="0.25">
      <c r="C1306" t="s">
        <v>2234</v>
      </c>
      <c r="D1306" t="s">
        <v>2235</v>
      </c>
      <c r="E1306" t="str">
        <f>HYPERLINK("https://worldwide.espacenet.com/publicationDetails/biblio?II=412&amp;ND=3&amp;adjacent=true&amp;locale=en_EP&amp;FT=D&amp;date=20100902&amp;CC=KR&amp;NR=20100096409A&amp;KC=A")</f>
        <v>https://worldwide.espacenet.com/publicationDetails/biblio?II=412&amp;ND=3&amp;adjacent=true&amp;locale=en_EP&amp;FT=D&amp;date=20100902&amp;CC=KR&amp;NR=20100096409A&amp;KC=A</v>
      </c>
    </row>
    <row r="1307" spans="3:5" x14ac:dyDescent="0.25">
      <c r="C1307" t="s">
        <v>2236</v>
      </c>
      <c r="D1307" t="s">
        <v>2237</v>
      </c>
      <c r="E1307" t="str">
        <f>HYPERLINK("https://worldwide.espacenet.com/publicationDetails/biblio?II=413&amp;ND=3&amp;adjacent=true&amp;locale=en_EP&amp;FT=D&amp;date=20100721&amp;CC=CN&amp;NR=201532749U&amp;KC=U")</f>
        <v>https://worldwide.espacenet.com/publicationDetails/biblio?II=413&amp;ND=3&amp;adjacent=true&amp;locale=en_EP&amp;FT=D&amp;date=20100721&amp;CC=CN&amp;NR=201532749U&amp;KC=U</v>
      </c>
    </row>
    <row r="1308" spans="3:5" x14ac:dyDescent="0.25">
      <c r="C1308" t="s">
        <v>2238</v>
      </c>
      <c r="D1308" t="s">
        <v>2239</v>
      </c>
      <c r="E1308" t="str">
        <f>HYPERLINK("https://worldwide.espacenet.com/publicationDetails/biblio?II=414&amp;ND=3&amp;adjacent=true&amp;locale=en_EP&amp;FT=D&amp;date=20100707&amp;CC=CN&amp;NR=101769747A&amp;KC=A")</f>
        <v>https://worldwide.espacenet.com/publicationDetails/biblio?II=414&amp;ND=3&amp;adjacent=true&amp;locale=en_EP&amp;FT=D&amp;date=20100707&amp;CC=CN&amp;NR=101769747A&amp;KC=A</v>
      </c>
    </row>
    <row r="1309" spans="3:5" x14ac:dyDescent="0.25">
      <c r="C1309" t="s">
        <v>2240</v>
      </c>
      <c r="D1309" t="s">
        <v>2241</v>
      </c>
      <c r="E1309" t="str">
        <f>HYPERLINK("https://worldwide.espacenet.com/publicationDetails/biblio?II=415&amp;ND=3&amp;adjacent=true&amp;locale=en_EP&amp;FT=D&amp;date=20100623&amp;CC=CN&amp;NR=101751838A&amp;KC=A")</f>
        <v>https://worldwide.espacenet.com/publicationDetails/biblio?II=415&amp;ND=3&amp;adjacent=true&amp;locale=en_EP&amp;FT=D&amp;date=20100623&amp;CC=CN&amp;NR=101751838A&amp;KC=A</v>
      </c>
    </row>
    <row r="1310" spans="3:5" x14ac:dyDescent="0.25">
      <c r="C1310" t="s">
        <v>2242</v>
      </c>
      <c r="D1310" t="s">
        <v>2243</v>
      </c>
      <c r="E1310" t="str">
        <f>HYPERLINK("https://worldwide.espacenet.com/publicationDetails/biblio?II=416&amp;ND=3&amp;adjacent=true&amp;locale=en_EP&amp;FT=D&amp;date=20100602&amp;CC=CN&amp;NR=101719925A&amp;KC=A")</f>
        <v>https://worldwide.espacenet.com/publicationDetails/biblio?II=416&amp;ND=3&amp;adjacent=true&amp;locale=en_EP&amp;FT=D&amp;date=20100602&amp;CC=CN&amp;NR=101719925A&amp;KC=A</v>
      </c>
    </row>
    <row r="1311" spans="3:5" x14ac:dyDescent="0.25">
      <c r="C1311" t="s">
        <v>2244</v>
      </c>
      <c r="D1311" t="s">
        <v>2245</v>
      </c>
      <c r="E1311" t="str">
        <f>HYPERLINK("https://worldwide.espacenet.com/publicationDetails/biblio?II=417&amp;ND=3&amp;adjacent=true&amp;locale=en_EP&amp;FT=D&amp;date=20100512&amp;CC=CN&amp;NR=201465512U&amp;KC=U")</f>
        <v>https://worldwide.espacenet.com/publicationDetails/biblio?II=417&amp;ND=3&amp;adjacent=true&amp;locale=en_EP&amp;FT=D&amp;date=20100512&amp;CC=CN&amp;NR=201465512U&amp;KC=U</v>
      </c>
    </row>
    <row r="1312" spans="3:5" x14ac:dyDescent="0.25">
      <c r="C1312" t="s">
        <v>2246</v>
      </c>
      <c r="D1312" t="s">
        <v>2247</v>
      </c>
      <c r="E1312" t="str">
        <f>HYPERLINK("https://worldwide.espacenet.com/publicationDetails/biblio?II=418&amp;ND=3&amp;adjacent=true&amp;locale=en_EP&amp;FT=D&amp;date=20100617&amp;CC=JP&amp;NR=2010134853A&amp;KC=A")</f>
        <v>https://worldwide.espacenet.com/publicationDetails/biblio?II=418&amp;ND=3&amp;adjacent=true&amp;locale=en_EP&amp;FT=D&amp;date=20100617&amp;CC=JP&amp;NR=2010134853A&amp;KC=A</v>
      </c>
    </row>
    <row r="1313" spans="3:5" x14ac:dyDescent="0.25">
      <c r="C1313" t="s">
        <v>2248</v>
      </c>
      <c r="D1313" t="s">
        <v>2249</v>
      </c>
      <c r="E1313" t="str">
        <f>HYPERLINK("https://worldwide.espacenet.com/publicationDetails/biblio?II=419&amp;ND=3&amp;adjacent=true&amp;locale=en_EP&amp;FT=D&amp;date=20100513&amp;CC=KR&amp;NR=20100050055A&amp;KC=A")</f>
        <v>https://worldwide.espacenet.com/publicationDetails/biblio?II=419&amp;ND=3&amp;adjacent=true&amp;locale=en_EP&amp;FT=D&amp;date=20100513&amp;CC=KR&amp;NR=20100050055A&amp;KC=A</v>
      </c>
    </row>
    <row r="1314" spans="3:5" x14ac:dyDescent="0.25">
      <c r="C1314" t="s">
        <v>2250</v>
      </c>
      <c r="D1314" t="s">
        <v>2251</v>
      </c>
      <c r="E1314" t="str">
        <f>HYPERLINK("https://worldwide.espacenet.com/publicationDetails/biblio?II=420&amp;ND=3&amp;adjacent=true&amp;locale=en_EP&amp;FT=D&amp;date=20100414&amp;CC=CN&amp;NR=101695199A&amp;KC=A")</f>
        <v>https://worldwide.espacenet.com/publicationDetails/biblio?II=420&amp;ND=3&amp;adjacent=true&amp;locale=en_EP&amp;FT=D&amp;date=20100414&amp;CC=CN&amp;NR=101695199A&amp;KC=A</v>
      </c>
    </row>
    <row r="1315" spans="3:5" x14ac:dyDescent="0.25">
      <c r="C1315" t="s">
        <v>2252</v>
      </c>
      <c r="D1315" t="s">
        <v>2253</v>
      </c>
      <c r="E1315" t="str">
        <f>HYPERLINK("https://worldwide.espacenet.com/publicationDetails/biblio?II=421&amp;ND=3&amp;adjacent=true&amp;locale=en_EP&amp;FT=D&amp;date=20100331&amp;CC=CN&amp;NR=101685590A&amp;KC=A")</f>
        <v>https://worldwide.espacenet.com/publicationDetails/biblio?II=421&amp;ND=3&amp;adjacent=true&amp;locale=en_EP&amp;FT=D&amp;date=20100331&amp;CC=CN&amp;NR=101685590A&amp;KC=A</v>
      </c>
    </row>
    <row r="1316" spans="3:5" x14ac:dyDescent="0.25">
      <c r="C1316" t="s">
        <v>2254</v>
      </c>
      <c r="D1316" t="s">
        <v>2255</v>
      </c>
      <c r="E1316" t="str">
        <f>HYPERLINK("https://worldwide.espacenet.com/publicationDetails/biblio?II=422&amp;ND=3&amp;adjacent=true&amp;locale=en_EP&amp;FT=D&amp;date=20091216&amp;CC=CN&amp;NR=201360586Y&amp;KC=Y")</f>
        <v>https://worldwide.espacenet.com/publicationDetails/biblio?II=422&amp;ND=3&amp;adjacent=true&amp;locale=en_EP&amp;FT=D&amp;date=20091216&amp;CC=CN&amp;NR=201360586Y&amp;KC=Y</v>
      </c>
    </row>
    <row r="1317" spans="3:5" x14ac:dyDescent="0.25">
      <c r="C1317" t="s">
        <v>2256</v>
      </c>
      <c r="D1317" t="s">
        <v>2257</v>
      </c>
      <c r="E1317" t="str">
        <f>HYPERLINK("https://worldwide.espacenet.com/publicationDetails/biblio?II=423&amp;ND=3&amp;adjacent=true&amp;locale=en_EP&amp;FT=D&amp;date=20091202&amp;CC=CN&amp;NR=201355510Y&amp;KC=Y")</f>
        <v>https://worldwide.espacenet.com/publicationDetails/biblio?II=423&amp;ND=3&amp;adjacent=true&amp;locale=en_EP&amp;FT=D&amp;date=20091202&amp;CC=CN&amp;NR=201355510Y&amp;KC=Y</v>
      </c>
    </row>
    <row r="1318" spans="3:5" x14ac:dyDescent="0.25">
      <c r="C1318" t="s">
        <v>2258</v>
      </c>
      <c r="D1318" t="s">
        <v>2259</v>
      </c>
      <c r="E1318" t="str">
        <f>HYPERLINK("https://worldwide.espacenet.com/publicationDetails/biblio?II=424&amp;ND=3&amp;adjacent=true&amp;locale=en_EP&amp;FT=D&amp;date=20090702&amp;CC=KR&amp;NR=20090072284A&amp;KC=A")</f>
        <v>https://worldwide.espacenet.com/publicationDetails/biblio?II=424&amp;ND=3&amp;adjacent=true&amp;locale=en_EP&amp;FT=D&amp;date=20090702&amp;CC=KR&amp;NR=20090072284A&amp;KC=A</v>
      </c>
    </row>
    <row r="1319" spans="3:5" x14ac:dyDescent="0.25">
      <c r="C1319" t="s">
        <v>2260</v>
      </c>
      <c r="D1319" t="s">
        <v>2261</v>
      </c>
      <c r="E1319" t="str">
        <f>HYPERLINK("https://worldwide.espacenet.com/publicationDetails/biblio?II=425&amp;ND=3&amp;adjacent=true&amp;locale=en_EP&amp;FT=D&amp;date=20090805&amp;CC=CN&amp;NR=101499089A&amp;KC=A")</f>
        <v>https://worldwide.espacenet.com/publicationDetails/biblio?II=425&amp;ND=3&amp;adjacent=true&amp;locale=en_EP&amp;FT=D&amp;date=20090805&amp;CC=CN&amp;NR=101499089A&amp;KC=A</v>
      </c>
    </row>
    <row r="1320" spans="3:5" x14ac:dyDescent="0.25">
      <c r="C1320" t="s">
        <v>2262</v>
      </c>
      <c r="D1320" t="s">
        <v>2263</v>
      </c>
      <c r="E1320" t="str">
        <f>HYPERLINK("https://worldwide.espacenet.com/publicationDetails/biblio?II=426&amp;ND=3&amp;adjacent=true&amp;locale=en_EP&amp;FT=D&amp;date=20090806&amp;CC=US&amp;NR=2009199192A1&amp;KC=A1")</f>
        <v>https://worldwide.espacenet.com/publicationDetails/biblio?II=426&amp;ND=3&amp;adjacent=true&amp;locale=en_EP&amp;FT=D&amp;date=20090806&amp;CC=US&amp;NR=2009199192A1&amp;KC=A1</v>
      </c>
    </row>
    <row r="1321" spans="3:5" x14ac:dyDescent="0.25">
      <c r="C1321" t="s">
        <v>2264</v>
      </c>
      <c r="D1321" t="s">
        <v>2265</v>
      </c>
      <c r="E1321" t="str">
        <f>HYPERLINK("https://worldwide.espacenet.com/publicationDetails/biblio?II=427&amp;ND=3&amp;adjacent=true&amp;locale=en_EP&amp;FT=D&amp;date=20090722&amp;CC=CN&amp;NR=101488014A&amp;KC=A")</f>
        <v>https://worldwide.espacenet.com/publicationDetails/biblio?II=427&amp;ND=3&amp;adjacent=true&amp;locale=en_EP&amp;FT=D&amp;date=20090722&amp;CC=CN&amp;NR=101488014A&amp;KC=A</v>
      </c>
    </row>
    <row r="1322" spans="3:5" x14ac:dyDescent="0.25">
      <c r="C1322" t="s">
        <v>2266</v>
      </c>
      <c r="D1322" t="s">
        <v>2267</v>
      </c>
      <c r="E1322" t="str">
        <f>HYPERLINK("https://worldwide.espacenet.com/publicationDetails/biblio?II=428&amp;ND=3&amp;adjacent=true&amp;locale=en_EP&amp;FT=D&amp;date=20090715&amp;CC=CN&amp;NR=201274483Y&amp;KC=Y")</f>
        <v>https://worldwide.espacenet.com/publicationDetails/biblio?II=428&amp;ND=3&amp;adjacent=true&amp;locale=en_EP&amp;FT=D&amp;date=20090715&amp;CC=CN&amp;NR=201274483Y&amp;KC=Y</v>
      </c>
    </row>
    <row r="1323" spans="3:5" x14ac:dyDescent="0.25">
      <c r="C1323" t="s">
        <v>2268</v>
      </c>
      <c r="D1323" t="s">
        <v>2269</v>
      </c>
      <c r="E1323" t="str">
        <f>HYPERLINK("https://worldwide.espacenet.com/publicationDetails/biblio?II=429&amp;ND=3&amp;adjacent=true&amp;locale=en_EP&amp;FT=D&amp;date=20090318&amp;CC=CN&amp;NR=201209270Y&amp;KC=Y")</f>
        <v>https://worldwide.espacenet.com/publicationDetails/biblio?II=429&amp;ND=3&amp;adjacent=true&amp;locale=en_EP&amp;FT=D&amp;date=20090318&amp;CC=CN&amp;NR=201209270Y&amp;KC=Y</v>
      </c>
    </row>
    <row r="1324" spans="3:5" x14ac:dyDescent="0.25">
      <c r="C1324" t="s">
        <v>2270</v>
      </c>
      <c r="D1324" t="s">
        <v>2271</v>
      </c>
      <c r="E1324" t="str">
        <f>HYPERLINK("https://worldwide.espacenet.com/publicationDetails/biblio?II=430&amp;ND=3&amp;adjacent=true&amp;locale=en_EP&amp;FT=D&amp;date=20090312&amp;CC=DE&amp;NR=102008033744A1&amp;KC=A1")</f>
        <v>https://worldwide.espacenet.com/publicationDetails/biblio?II=430&amp;ND=3&amp;adjacent=true&amp;locale=en_EP&amp;FT=D&amp;date=20090312&amp;CC=DE&amp;NR=102008033744A1&amp;KC=A1</v>
      </c>
    </row>
    <row r="1325" spans="3:5" x14ac:dyDescent="0.25">
      <c r="C1325" t="s">
        <v>2272</v>
      </c>
      <c r="D1325" t="s">
        <v>2273</v>
      </c>
      <c r="E1325" t="str">
        <f>HYPERLINK("https://worldwide.espacenet.com/publicationDetails/biblio?II=431&amp;ND=3&amp;adjacent=true&amp;locale=en_EP&amp;FT=D&amp;date=20090128&amp;CC=CN&amp;NR=101354836A&amp;KC=A")</f>
        <v>https://worldwide.espacenet.com/publicationDetails/biblio?II=431&amp;ND=3&amp;adjacent=true&amp;locale=en_EP&amp;FT=D&amp;date=20090128&amp;CC=CN&amp;NR=101354836A&amp;KC=A</v>
      </c>
    </row>
    <row r="1326" spans="3:5" x14ac:dyDescent="0.25">
      <c r="C1326" t="s">
        <v>2274</v>
      </c>
      <c r="D1326" t="s">
        <v>2275</v>
      </c>
      <c r="E1326" t="str">
        <f>HYPERLINK("https://worldwide.espacenet.com/publicationDetails/biblio?II=432&amp;ND=3&amp;adjacent=true&amp;locale=en_EP&amp;FT=D&amp;date=20090101&amp;CC=US&amp;NR=2009005983A1&amp;KC=A1")</f>
        <v>https://worldwide.espacenet.com/publicationDetails/biblio?II=432&amp;ND=3&amp;adjacent=true&amp;locale=en_EP&amp;FT=D&amp;date=20090101&amp;CC=US&amp;NR=2009005983A1&amp;KC=A1</v>
      </c>
    </row>
    <row r="1327" spans="3:5" x14ac:dyDescent="0.25">
      <c r="C1327" t="s">
        <v>2276</v>
      </c>
      <c r="D1327" t="s">
        <v>2277</v>
      </c>
      <c r="E1327" t="str">
        <f>HYPERLINK("https://worldwide.espacenet.com/publicationDetails/biblio?II=433&amp;ND=3&amp;adjacent=true&amp;locale=en_EP&amp;FT=D&amp;date=20080918&amp;CC=KR&amp;NR=20080083390A&amp;KC=A")</f>
        <v>https://worldwide.espacenet.com/publicationDetails/biblio?II=433&amp;ND=3&amp;adjacent=true&amp;locale=en_EP&amp;FT=D&amp;date=20080918&amp;CC=KR&amp;NR=20080083390A&amp;KC=A</v>
      </c>
    </row>
    <row r="1328" spans="3:5" x14ac:dyDescent="0.25">
      <c r="C1328" t="s">
        <v>2278</v>
      </c>
      <c r="D1328" t="s">
        <v>2279</v>
      </c>
      <c r="E1328" t="str">
        <f>HYPERLINK("https://worldwide.espacenet.com/publicationDetails/biblio?II=434&amp;ND=3&amp;adjacent=true&amp;locale=en_EP&amp;FT=D&amp;date=20080929&amp;CC=KR&amp;NR=100860636B1&amp;KC=B1")</f>
        <v>https://worldwide.espacenet.com/publicationDetails/biblio?II=434&amp;ND=3&amp;adjacent=true&amp;locale=en_EP&amp;FT=D&amp;date=20080929&amp;CC=KR&amp;NR=100860636B1&amp;KC=B1</v>
      </c>
    </row>
    <row r="1329" spans="3:5" x14ac:dyDescent="0.25">
      <c r="C1329" t="s">
        <v>2280</v>
      </c>
      <c r="D1329" t="s">
        <v>2281</v>
      </c>
      <c r="E1329" t="str">
        <f>HYPERLINK("https://worldwide.espacenet.com/publicationDetails/biblio?II=435&amp;ND=3&amp;adjacent=true&amp;locale=en_EP&amp;FT=D&amp;date=20080827&amp;CC=CN&amp;NR=101252722A&amp;KC=A")</f>
        <v>https://worldwide.espacenet.com/publicationDetails/biblio?II=435&amp;ND=3&amp;adjacent=true&amp;locale=en_EP&amp;FT=D&amp;date=20080827&amp;CC=CN&amp;NR=101252722A&amp;KC=A</v>
      </c>
    </row>
    <row r="1330" spans="3:5" x14ac:dyDescent="0.25">
      <c r="C1330" t="s">
        <v>2282</v>
      </c>
      <c r="D1330" t="s">
        <v>2283</v>
      </c>
      <c r="E1330" t="str">
        <f>HYPERLINK("https://worldwide.espacenet.com/publicationDetails/biblio?II=436&amp;ND=3&amp;adjacent=true&amp;locale=en_EP&amp;FT=D&amp;date=20080903&amp;CC=CN&amp;NR=101257672A&amp;KC=A")</f>
        <v>https://worldwide.espacenet.com/publicationDetails/biblio?II=436&amp;ND=3&amp;adjacent=true&amp;locale=en_EP&amp;FT=D&amp;date=20080903&amp;CC=CN&amp;NR=101257672A&amp;KC=A</v>
      </c>
    </row>
    <row r="1331" spans="3:5" x14ac:dyDescent="0.25">
      <c r="C1331" t="s">
        <v>2284</v>
      </c>
      <c r="D1331" t="s">
        <v>2285</v>
      </c>
      <c r="E1331" t="str">
        <f>HYPERLINK("https://worldwide.espacenet.com/publicationDetails/biblio?II=437&amp;ND=3&amp;adjacent=true&amp;locale=en_EP&amp;FT=D&amp;date=20020711&amp;CC=US&amp;NR=2002091793A1&amp;KC=A1")</f>
        <v>https://worldwide.espacenet.com/publicationDetails/biblio?II=437&amp;ND=3&amp;adjacent=true&amp;locale=en_EP&amp;FT=D&amp;date=20020711&amp;CC=US&amp;NR=2002091793A1&amp;KC=A1</v>
      </c>
    </row>
    <row r="1332" spans="3:5" x14ac:dyDescent="0.25">
      <c r="C1332" t="s">
        <v>2286</v>
      </c>
      <c r="D1332" t="s">
        <v>2287</v>
      </c>
      <c r="E1332" t="str">
        <f>HYPERLINK("https://worldwide.espacenet.com/publicationDetails/biblio?II=438&amp;ND=3&amp;adjacent=true&amp;locale=en_EP&amp;FT=D&amp;date=20020307&amp;CC=US&amp;NR=2002027597A1&amp;KC=A1")</f>
        <v>https://worldwide.espacenet.com/publicationDetails/biblio?II=438&amp;ND=3&amp;adjacent=true&amp;locale=en_EP&amp;FT=D&amp;date=20020307&amp;CC=US&amp;NR=2002027597A1&amp;KC=A1</v>
      </c>
    </row>
    <row r="1333" spans="3:5" x14ac:dyDescent="0.25">
      <c r="C1333" t="s">
        <v>2288</v>
      </c>
      <c r="D1333" t="s">
        <v>2289</v>
      </c>
      <c r="E1333" t="str">
        <f>HYPERLINK("https://worldwide.espacenet.com/publicationDetails/biblio?II=439&amp;ND=3&amp;adjacent=true&amp;locale=en_EP&amp;FT=D&amp;date=20080724&amp;CC=US&amp;NR=2008177793A1&amp;KC=A1")</f>
        <v>https://worldwide.espacenet.com/publicationDetails/biblio?II=439&amp;ND=3&amp;adjacent=true&amp;locale=en_EP&amp;FT=D&amp;date=20080724&amp;CC=US&amp;NR=2008177793A1&amp;KC=A1</v>
      </c>
    </row>
    <row r="1334" spans="3:5" x14ac:dyDescent="0.25">
      <c r="C1334" t="s">
        <v>2290</v>
      </c>
      <c r="D1334" t="s">
        <v>2291</v>
      </c>
      <c r="E1334" t="str">
        <f>HYPERLINK("https://worldwide.espacenet.com/publicationDetails/biblio?II=440&amp;ND=3&amp;adjacent=true&amp;locale=en_EP&amp;FT=D&amp;date=19990518&amp;CC=US&amp;NR=5904852A&amp;KC=A")</f>
        <v>https://worldwide.espacenet.com/publicationDetails/biblio?II=440&amp;ND=3&amp;adjacent=true&amp;locale=en_EP&amp;FT=D&amp;date=19990518&amp;CC=US&amp;NR=5904852A&amp;KC=A</v>
      </c>
    </row>
    <row r="1335" spans="3:5" x14ac:dyDescent="0.25">
      <c r="C1335" t="s">
        <v>2292</v>
      </c>
      <c r="D1335" t="s">
        <v>2293</v>
      </c>
      <c r="E1335" t="str">
        <f>HYPERLINK("https://worldwide.espacenet.com/publicationDetails/biblio?II=441&amp;ND=3&amp;adjacent=true&amp;locale=en_EP&amp;FT=D&amp;date=20071129&amp;CC=US&amp;NR=2007273751A1&amp;KC=A1")</f>
        <v>https://worldwide.espacenet.com/publicationDetails/biblio?II=441&amp;ND=3&amp;adjacent=true&amp;locale=en_EP&amp;FT=D&amp;date=20071129&amp;CC=US&amp;NR=2007273751A1&amp;KC=A1</v>
      </c>
    </row>
    <row r="1336" spans="3:5" x14ac:dyDescent="0.25">
      <c r="C1336" t="s">
        <v>2294</v>
      </c>
      <c r="D1336" t="s">
        <v>2295</v>
      </c>
      <c r="E1336" t="str">
        <f>HYPERLINK("https://worldwide.espacenet.com/publicationDetails/biblio?II=442&amp;ND=3&amp;adjacent=true&amp;locale=en_EP&amp;FT=D&amp;date=20021105&amp;CC=US&amp;NR=6477542B1&amp;KC=B1")</f>
        <v>https://worldwide.espacenet.com/publicationDetails/biblio?II=442&amp;ND=3&amp;adjacent=true&amp;locale=en_EP&amp;FT=D&amp;date=20021105&amp;CC=US&amp;NR=6477542B1&amp;KC=B1</v>
      </c>
    </row>
    <row r="1337" spans="3:5" x14ac:dyDescent="0.25">
      <c r="C1337" t="s">
        <v>2296</v>
      </c>
      <c r="D1337" t="s">
        <v>2297</v>
      </c>
      <c r="E1337" t="str">
        <f>HYPERLINK("https://worldwide.espacenet.com/publicationDetails/biblio?II=443&amp;ND=3&amp;adjacent=true&amp;locale=en_EP&amp;FT=D&amp;date=20080515&amp;CC=US&amp;NR=2008114856A1&amp;KC=A1")</f>
        <v>https://worldwide.espacenet.com/publicationDetails/biblio?II=443&amp;ND=3&amp;adjacent=true&amp;locale=en_EP&amp;FT=D&amp;date=20080515&amp;CC=US&amp;NR=2008114856A1&amp;KC=A1</v>
      </c>
    </row>
    <row r="1338" spans="3:5" x14ac:dyDescent="0.25">
      <c r="C1338" t="s">
        <v>2298</v>
      </c>
      <c r="D1338" t="s">
        <v>2299</v>
      </c>
      <c r="E1338" t="str">
        <f>HYPERLINK("https://worldwide.espacenet.com/publicationDetails/biblio?II=444&amp;ND=3&amp;adjacent=true&amp;locale=en_EP&amp;FT=D&amp;date=20060921&amp;CC=US&amp;NR=2006208857A1&amp;KC=A1")</f>
        <v>https://worldwide.espacenet.com/publicationDetails/biblio?II=444&amp;ND=3&amp;adjacent=true&amp;locale=en_EP&amp;FT=D&amp;date=20060921&amp;CC=US&amp;NR=2006208857A1&amp;KC=A1</v>
      </c>
    </row>
    <row r="1339" spans="3:5" x14ac:dyDescent="0.25">
      <c r="C1339" t="s">
        <v>2300</v>
      </c>
      <c r="D1339" t="s">
        <v>2301</v>
      </c>
      <c r="E1339" t="str">
        <f>HYPERLINK("https://worldwide.espacenet.com/publicationDetails/biblio?II=445&amp;ND=3&amp;adjacent=true&amp;locale=en_EP&amp;FT=D&amp;date=20070208&amp;CC=US&amp;NR=2007031967A1&amp;KC=A1")</f>
        <v>https://worldwide.espacenet.com/publicationDetails/biblio?II=445&amp;ND=3&amp;adjacent=true&amp;locale=en_EP&amp;FT=D&amp;date=20070208&amp;CC=US&amp;NR=2007031967A1&amp;KC=A1</v>
      </c>
    </row>
    <row r="1340" spans="3:5" x14ac:dyDescent="0.25">
      <c r="C1340" t="s">
        <v>2302</v>
      </c>
      <c r="D1340" t="s">
        <v>2303</v>
      </c>
      <c r="E1340" t="str">
        <f>HYPERLINK("https://worldwide.espacenet.com/publicationDetails/biblio?II=446&amp;ND=3&amp;adjacent=true&amp;locale=en_EP&amp;FT=D&amp;date=20070823&amp;CC=US&amp;NR=2007198631A1&amp;KC=A1")</f>
        <v>https://worldwide.espacenet.com/publicationDetails/biblio?II=446&amp;ND=3&amp;adjacent=true&amp;locale=en_EP&amp;FT=D&amp;date=20070823&amp;CC=US&amp;NR=2007198631A1&amp;KC=A1</v>
      </c>
    </row>
    <row r="1341" spans="3:5" x14ac:dyDescent="0.25">
      <c r="C1341" t="s">
        <v>2304</v>
      </c>
      <c r="D1341" t="s">
        <v>2305</v>
      </c>
      <c r="E1341" t="str">
        <f>HYPERLINK("https://worldwide.espacenet.com/publicationDetails/biblio?II=447&amp;ND=3&amp;adjacent=true&amp;locale=en_EP&amp;FT=D&amp;date=20001031&amp;CC=US&amp;NR=6141357A&amp;KC=A")</f>
        <v>https://worldwide.espacenet.com/publicationDetails/biblio?II=447&amp;ND=3&amp;adjacent=true&amp;locale=en_EP&amp;FT=D&amp;date=20001031&amp;CC=US&amp;NR=6141357A&amp;KC=A</v>
      </c>
    </row>
    <row r="1342" spans="3:5" x14ac:dyDescent="0.25">
      <c r="C1342" t="s">
        <v>2306</v>
      </c>
      <c r="D1342" t="s">
        <v>2307</v>
      </c>
      <c r="E1342" t="str">
        <f>HYPERLINK("https://worldwide.espacenet.com/publicationDetails/biblio?II=448&amp;ND=3&amp;adjacent=true&amp;locale=en_EP&amp;FT=D&amp;date=20021219&amp;CC=US&amp;NR=2002191017A1&amp;KC=A1")</f>
        <v>https://worldwide.espacenet.com/publicationDetails/biblio?II=448&amp;ND=3&amp;adjacent=true&amp;locale=en_EP&amp;FT=D&amp;date=20021219&amp;CC=US&amp;NR=2002191017A1&amp;KC=A1</v>
      </c>
    </row>
    <row r="1343" spans="3:5" x14ac:dyDescent="0.25">
      <c r="C1343" t="s">
        <v>2308</v>
      </c>
      <c r="D1343" t="s">
        <v>2309</v>
      </c>
      <c r="E1343" t="str">
        <f>HYPERLINK("https://worldwide.espacenet.com/publicationDetails/biblio?II=449&amp;ND=3&amp;adjacent=true&amp;locale=en_EP&amp;FT=D&amp;date=20070129&amp;CC=KR&amp;NR=20070012764A&amp;KC=A")</f>
        <v>https://worldwide.espacenet.com/publicationDetails/biblio?II=449&amp;ND=3&amp;adjacent=true&amp;locale=en_EP&amp;FT=D&amp;date=20070129&amp;CC=KR&amp;NR=20070012764A&amp;KC=A</v>
      </c>
    </row>
    <row r="1344" spans="3:5" x14ac:dyDescent="0.25">
      <c r="C1344" t="s">
        <v>2310</v>
      </c>
      <c r="D1344" t="s">
        <v>2311</v>
      </c>
      <c r="E1344" t="str">
        <f>HYPERLINK("https://worldwide.espacenet.com/publicationDetails/biblio?II=450&amp;ND=3&amp;adjacent=true&amp;locale=en_EP&amp;FT=D&amp;date=20080424&amp;CC=KR&amp;NR=20080035758A&amp;KC=A")</f>
        <v>https://worldwide.espacenet.com/publicationDetails/biblio?II=450&amp;ND=3&amp;adjacent=true&amp;locale=en_EP&amp;FT=D&amp;date=20080424&amp;CC=KR&amp;NR=20080035758A&amp;KC=A</v>
      </c>
    </row>
    <row r="1345" spans="3:5" x14ac:dyDescent="0.25">
      <c r="C1345" t="s">
        <v>2312</v>
      </c>
      <c r="D1345" t="s">
        <v>2313</v>
      </c>
      <c r="E1345" t="str">
        <f>HYPERLINK("https://worldwide.espacenet.com/publicationDetails/biblio?II=451&amp;ND=3&amp;adjacent=true&amp;locale=en_EP&amp;FT=D&amp;date=20080212&amp;CC=KR&amp;NR=20080012481A&amp;KC=A")</f>
        <v>https://worldwide.espacenet.com/publicationDetails/biblio?II=451&amp;ND=3&amp;adjacent=true&amp;locale=en_EP&amp;FT=D&amp;date=20080212&amp;CC=KR&amp;NR=20080012481A&amp;KC=A</v>
      </c>
    </row>
    <row r="1346" spans="3:5" x14ac:dyDescent="0.25">
      <c r="C1346" t="s">
        <v>2314</v>
      </c>
      <c r="D1346" t="s">
        <v>2315</v>
      </c>
      <c r="E1346" t="str">
        <f>HYPERLINK("https://worldwide.espacenet.com/publicationDetails/biblio?II=452&amp;ND=3&amp;adjacent=true&amp;locale=en_EP&amp;FT=D&amp;date=20070816&amp;CC=KR&amp;NR=20070081288A&amp;KC=A")</f>
        <v>https://worldwide.espacenet.com/publicationDetails/biblio?II=452&amp;ND=3&amp;adjacent=true&amp;locale=en_EP&amp;FT=D&amp;date=20070816&amp;CC=KR&amp;NR=20070081288A&amp;KC=A</v>
      </c>
    </row>
    <row r="1347" spans="3:5" x14ac:dyDescent="0.25">
      <c r="C1347" t="s">
        <v>2316</v>
      </c>
      <c r="D1347" t="s">
        <v>2317</v>
      </c>
      <c r="E1347" t="str">
        <f>HYPERLINK("https://worldwide.espacenet.com/publicationDetails/biblio?II=453&amp;ND=3&amp;adjacent=true&amp;locale=en_EP&amp;FT=D&amp;date=20070403&amp;CC=KR&amp;NR=20070036219A&amp;KC=A")</f>
        <v>https://worldwide.espacenet.com/publicationDetails/biblio?II=453&amp;ND=3&amp;adjacent=true&amp;locale=en_EP&amp;FT=D&amp;date=20070403&amp;CC=KR&amp;NR=20070036219A&amp;KC=A</v>
      </c>
    </row>
    <row r="1348" spans="3:5" x14ac:dyDescent="0.25">
      <c r="C1348" t="s">
        <v>2318</v>
      </c>
      <c r="D1348" t="s">
        <v>2319</v>
      </c>
      <c r="E1348" t="str">
        <f>HYPERLINK("https://worldwide.espacenet.com/publicationDetails/biblio?II=454&amp;ND=3&amp;adjacent=true&amp;locale=en_EP&amp;FT=D&amp;date=20030609&amp;CC=KR&amp;NR=20030044980A&amp;KC=A")</f>
        <v>https://worldwide.espacenet.com/publicationDetails/biblio?II=454&amp;ND=3&amp;adjacent=true&amp;locale=en_EP&amp;FT=D&amp;date=20030609&amp;CC=KR&amp;NR=20030044980A&amp;KC=A</v>
      </c>
    </row>
    <row r="1349" spans="3:5" x14ac:dyDescent="0.25">
      <c r="C1349" t="s">
        <v>2320</v>
      </c>
      <c r="D1349" t="s">
        <v>2321</v>
      </c>
      <c r="E1349" t="str">
        <f>HYPERLINK("https://worldwide.espacenet.com/publicationDetails/biblio?II=455&amp;ND=3&amp;adjacent=true&amp;locale=en_EP&amp;FT=D&amp;date=20040131&amp;CC=KR&amp;NR=20040010013A&amp;KC=A")</f>
        <v>https://worldwide.espacenet.com/publicationDetails/biblio?II=455&amp;ND=3&amp;adjacent=true&amp;locale=en_EP&amp;FT=D&amp;date=20040131&amp;CC=KR&amp;NR=20040010013A&amp;KC=A</v>
      </c>
    </row>
    <row r="1350" spans="3:5" x14ac:dyDescent="0.25">
      <c r="C1350" t="s">
        <v>2322</v>
      </c>
      <c r="D1350" t="s">
        <v>2323</v>
      </c>
      <c r="E1350" t="str">
        <f>HYPERLINK("https://worldwide.espacenet.com/publicationDetails/biblio?II=456&amp;ND=3&amp;adjacent=true&amp;locale=en_EP&amp;FT=D&amp;date=20040324&amp;CC=KR&amp;NR=20040025066A&amp;KC=A")</f>
        <v>https://worldwide.espacenet.com/publicationDetails/biblio?II=456&amp;ND=3&amp;adjacent=true&amp;locale=en_EP&amp;FT=D&amp;date=20040324&amp;CC=KR&amp;NR=20040025066A&amp;KC=A</v>
      </c>
    </row>
    <row r="1351" spans="3:5" x14ac:dyDescent="0.25">
      <c r="C1351" t="s">
        <v>2324</v>
      </c>
      <c r="D1351" t="s">
        <v>2325</v>
      </c>
      <c r="E1351" t="str">
        <f>HYPERLINK("https://worldwide.espacenet.com/publicationDetails/biblio?II=457&amp;ND=3&amp;adjacent=true&amp;locale=en_EP&amp;FT=D&amp;date=20030205&amp;CC=KR&amp;NR=20030009725A&amp;KC=A")</f>
        <v>https://worldwide.espacenet.com/publicationDetails/biblio?II=457&amp;ND=3&amp;adjacent=true&amp;locale=en_EP&amp;FT=D&amp;date=20030205&amp;CC=KR&amp;NR=20030009725A&amp;KC=A</v>
      </c>
    </row>
    <row r="1352" spans="3:5" x14ac:dyDescent="0.25">
      <c r="C1352" t="s">
        <v>2326</v>
      </c>
      <c r="D1352" t="s">
        <v>2327</v>
      </c>
      <c r="E1352" t="str">
        <f>HYPERLINK("https://worldwide.espacenet.com/publicationDetails/biblio?II=458&amp;ND=3&amp;adjacent=true&amp;locale=en_EP&amp;FT=D&amp;date=20030106&amp;CC=KR&amp;NR=20030001042A&amp;KC=A")</f>
        <v>https://worldwide.espacenet.com/publicationDetails/biblio?II=458&amp;ND=3&amp;adjacent=true&amp;locale=en_EP&amp;FT=D&amp;date=20030106&amp;CC=KR&amp;NR=20030001042A&amp;KC=A</v>
      </c>
    </row>
    <row r="1353" spans="3:5" x14ac:dyDescent="0.25">
      <c r="C1353" t="s">
        <v>2328</v>
      </c>
      <c r="D1353" t="s">
        <v>2329</v>
      </c>
      <c r="E1353" t="str">
        <f>HYPERLINK("https://worldwide.espacenet.com/publicationDetails/biblio?II=459&amp;ND=3&amp;adjacent=true&amp;locale=en_EP&amp;FT=D&amp;date=20021129&amp;CC=KR&amp;NR=20020088846A&amp;KC=A")</f>
        <v>https://worldwide.espacenet.com/publicationDetails/biblio?II=459&amp;ND=3&amp;adjacent=true&amp;locale=en_EP&amp;FT=D&amp;date=20021129&amp;CC=KR&amp;NR=20020088846A&amp;KC=A</v>
      </c>
    </row>
    <row r="1354" spans="3:5" x14ac:dyDescent="0.25">
      <c r="C1354" t="s">
        <v>2330</v>
      </c>
      <c r="D1354" t="s">
        <v>2331</v>
      </c>
      <c r="E1354" t="str">
        <f>HYPERLINK("https://worldwide.espacenet.com/publicationDetails/biblio?II=460&amp;ND=3&amp;adjacent=true&amp;locale=en_EP&amp;FT=D&amp;date=20021104&amp;CC=KR&amp;NR=20020083749A&amp;KC=A")</f>
        <v>https://worldwide.espacenet.com/publicationDetails/biblio?II=460&amp;ND=3&amp;adjacent=true&amp;locale=en_EP&amp;FT=D&amp;date=20021104&amp;CC=KR&amp;NR=20020083749A&amp;KC=A</v>
      </c>
    </row>
    <row r="1355" spans="3:5" x14ac:dyDescent="0.25">
      <c r="C1355" t="s">
        <v>2332</v>
      </c>
      <c r="D1355" t="s">
        <v>2333</v>
      </c>
      <c r="E1355" t="str">
        <f>HYPERLINK("https://worldwide.espacenet.com/publicationDetails/biblio?II=461&amp;ND=3&amp;adjacent=true&amp;locale=en_EP&amp;FT=D&amp;date=20021030&amp;CC=KR&amp;NR=20020081889A&amp;KC=A")</f>
        <v>https://worldwide.espacenet.com/publicationDetails/biblio?II=461&amp;ND=3&amp;adjacent=true&amp;locale=en_EP&amp;FT=D&amp;date=20021030&amp;CC=KR&amp;NR=20020081889A&amp;KC=A</v>
      </c>
    </row>
    <row r="1356" spans="3:5" x14ac:dyDescent="0.25">
      <c r="C1356" t="s">
        <v>2334</v>
      </c>
      <c r="D1356" t="s">
        <v>2335</v>
      </c>
      <c r="E1356" t="str">
        <f>HYPERLINK("https://worldwide.espacenet.com/publicationDetails/biblio?II=462&amp;ND=3&amp;adjacent=true&amp;locale=en_EP&amp;FT=D&amp;date=20010821&amp;CC=KR&amp;NR=20010078484A&amp;KC=A")</f>
        <v>https://worldwide.espacenet.com/publicationDetails/biblio?II=462&amp;ND=3&amp;adjacent=true&amp;locale=en_EP&amp;FT=D&amp;date=20010821&amp;CC=KR&amp;NR=20010078484A&amp;KC=A</v>
      </c>
    </row>
    <row r="1357" spans="3:5" x14ac:dyDescent="0.25">
      <c r="C1357" t="s">
        <v>2336</v>
      </c>
      <c r="D1357" t="s">
        <v>2337</v>
      </c>
      <c r="E1357" t="str">
        <f>HYPERLINK("https://worldwide.espacenet.com/publicationDetails/biblio?II=463&amp;ND=3&amp;adjacent=true&amp;locale=en_EP&amp;FT=D&amp;date=20020912&amp;CC=KR&amp;NR=20020071125A&amp;KC=A")</f>
        <v>https://worldwide.espacenet.com/publicationDetails/biblio?II=463&amp;ND=3&amp;adjacent=true&amp;locale=en_EP&amp;FT=D&amp;date=20020912&amp;CC=KR&amp;NR=20020071125A&amp;KC=A</v>
      </c>
    </row>
    <row r="1358" spans="3:5" x14ac:dyDescent="0.25">
      <c r="C1358" t="s">
        <v>2338</v>
      </c>
      <c r="D1358" t="s">
        <v>2339</v>
      </c>
      <c r="E1358" t="str">
        <f>HYPERLINK("https://worldwide.espacenet.com/publicationDetails/biblio?II=464&amp;ND=3&amp;adjacent=true&amp;locale=en_EP&amp;FT=D&amp;date=20010605&amp;CC=KR&amp;NR=20010044437A&amp;KC=A")</f>
        <v>https://worldwide.espacenet.com/publicationDetails/biblio?II=464&amp;ND=3&amp;adjacent=true&amp;locale=en_EP&amp;FT=D&amp;date=20010605&amp;CC=KR&amp;NR=20010044437A&amp;KC=A</v>
      </c>
    </row>
    <row r="1359" spans="3:5" x14ac:dyDescent="0.25">
      <c r="C1359" t="s">
        <v>2340</v>
      </c>
      <c r="D1359" t="s">
        <v>2341</v>
      </c>
      <c r="E1359" t="str">
        <f>HYPERLINK("https://worldwide.espacenet.com/publicationDetails/biblio?II=465&amp;ND=3&amp;adjacent=true&amp;locale=en_EP&amp;FT=D&amp;date=20020622&amp;CC=KR&amp;NR=20020047800A&amp;KC=A")</f>
        <v>https://worldwide.espacenet.com/publicationDetails/biblio?II=465&amp;ND=3&amp;adjacent=true&amp;locale=en_EP&amp;FT=D&amp;date=20020622&amp;CC=KR&amp;NR=20020047800A&amp;KC=A</v>
      </c>
    </row>
    <row r="1360" spans="3:5" x14ac:dyDescent="0.25">
      <c r="C1360" t="s">
        <v>2342</v>
      </c>
      <c r="D1360" t="s">
        <v>2343</v>
      </c>
      <c r="E1360" t="str">
        <f>HYPERLINK("https://worldwide.espacenet.com/publicationDetails/biblio?II=466&amp;ND=3&amp;adjacent=true&amp;locale=en_EP&amp;FT=D&amp;date=20000605&amp;CC=KR&amp;NR=20000030541A&amp;KC=A")</f>
        <v>https://worldwide.espacenet.com/publicationDetails/biblio?II=466&amp;ND=3&amp;adjacent=true&amp;locale=en_EP&amp;FT=D&amp;date=20000605&amp;CC=KR&amp;NR=20000030541A&amp;KC=A</v>
      </c>
    </row>
    <row r="1361" spans="3:5" x14ac:dyDescent="0.25">
      <c r="C1361" t="s">
        <v>2344</v>
      </c>
      <c r="D1361" t="s">
        <v>2345</v>
      </c>
      <c r="E1361" t="str">
        <f>HYPERLINK("https://worldwide.espacenet.com/publicationDetails/biblio?II=467&amp;ND=3&amp;adjacent=true&amp;locale=en_EP&amp;FT=D&amp;date=20070816&amp;CC=JP&amp;NR=2007205947A&amp;KC=A")</f>
        <v>https://worldwide.espacenet.com/publicationDetails/biblio?II=467&amp;ND=3&amp;adjacent=true&amp;locale=en_EP&amp;FT=D&amp;date=20070816&amp;CC=JP&amp;NR=2007205947A&amp;KC=A</v>
      </c>
    </row>
    <row r="1362" spans="3:5" x14ac:dyDescent="0.25">
      <c r="C1362" t="s">
        <v>2346</v>
      </c>
      <c r="D1362" t="s">
        <v>2347</v>
      </c>
      <c r="E1362" t="str">
        <f>HYPERLINK("https://worldwide.espacenet.com/publicationDetails/biblio?II=468&amp;ND=3&amp;adjacent=true&amp;locale=en_EP&amp;FT=D&amp;date=20061026&amp;CC=JP&amp;NR=2006292550A&amp;KC=A")</f>
        <v>https://worldwide.espacenet.com/publicationDetails/biblio?II=468&amp;ND=3&amp;adjacent=true&amp;locale=en_EP&amp;FT=D&amp;date=20061026&amp;CC=JP&amp;NR=2006292550A&amp;KC=A</v>
      </c>
    </row>
    <row r="1363" spans="3:5" x14ac:dyDescent="0.25">
      <c r="C1363" t="s">
        <v>2348</v>
      </c>
      <c r="D1363" t="s">
        <v>2349</v>
      </c>
      <c r="E1363" t="str">
        <f>HYPERLINK("https://worldwide.espacenet.com/publicationDetails/biblio?II=469&amp;ND=3&amp;adjacent=true&amp;locale=en_EP&amp;FT=D&amp;date=20051215&amp;CC=JP&amp;NR=2005348039A&amp;KC=A")</f>
        <v>https://worldwide.espacenet.com/publicationDetails/biblio?II=469&amp;ND=3&amp;adjacent=true&amp;locale=en_EP&amp;FT=D&amp;date=20051215&amp;CC=JP&amp;NR=2005348039A&amp;KC=A</v>
      </c>
    </row>
    <row r="1364" spans="3:5" x14ac:dyDescent="0.25">
      <c r="C1364" t="s">
        <v>2350</v>
      </c>
      <c r="D1364" t="s">
        <v>2351</v>
      </c>
      <c r="E1364" t="str">
        <f>HYPERLINK("https://worldwide.espacenet.com/publicationDetails/biblio?II=470&amp;ND=3&amp;adjacent=true&amp;locale=en_EP&amp;FT=D&amp;date=20050922&amp;CC=JP&amp;NR=2005259060A&amp;KC=A")</f>
        <v>https://worldwide.espacenet.com/publicationDetails/biblio?II=470&amp;ND=3&amp;adjacent=true&amp;locale=en_EP&amp;FT=D&amp;date=20050922&amp;CC=JP&amp;NR=2005259060A&amp;KC=A</v>
      </c>
    </row>
    <row r="1365" spans="3:5" x14ac:dyDescent="0.25">
      <c r="C1365" t="s">
        <v>2352</v>
      </c>
      <c r="D1365" t="s">
        <v>2353</v>
      </c>
      <c r="E1365" t="str">
        <f>HYPERLINK("https://worldwide.espacenet.com/publicationDetails/biblio?II=471&amp;ND=3&amp;adjacent=true&amp;locale=en_EP&amp;FT=D&amp;date=20030214&amp;CC=JP&amp;NR=2003044555A&amp;KC=A")</f>
        <v>https://worldwide.espacenet.com/publicationDetails/biblio?II=471&amp;ND=3&amp;adjacent=true&amp;locale=en_EP&amp;FT=D&amp;date=20030214&amp;CC=JP&amp;NR=2003044555A&amp;KC=A</v>
      </c>
    </row>
    <row r="1366" spans="3:5" x14ac:dyDescent="0.25">
      <c r="C1366" t="s">
        <v>2354</v>
      </c>
      <c r="D1366" t="s">
        <v>2355</v>
      </c>
      <c r="E1366" t="str">
        <f>HYPERLINK("https://worldwide.espacenet.com/publicationDetails/biblio?II=472&amp;ND=3&amp;adjacent=true&amp;locale=en_EP&amp;FT=D&amp;date=20030214&amp;CC=JP&amp;NR=2003044552A&amp;KC=A")</f>
        <v>https://worldwide.espacenet.com/publicationDetails/biblio?II=472&amp;ND=3&amp;adjacent=true&amp;locale=en_EP&amp;FT=D&amp;date=20030214&amp;CC=JP&amp;NR=2003044552A&amp;KC=A</v>
      </c>
    </row>
    <row r="1367" spans="3:5" x14ac:dyDescent="0.25">
      <c r="C1367" t="s">
        <v>2356</v>
      </c>
      <c r="D1367" t="s">
        <v>2357</v>
      </c>
      <c r="E1367" t="str">
        <f>HYPERLINK("https://worldwide.espacenet.com/publicationDetails/biblio?II=473&amp;ND=3&amp;adjacent=true&amp;locale=en_EP&amp;FT=D&amp;date=20020220&amp;CC=JP&amp;NR=2002056186A&amp;KC=A")</f>
        <v>https://worldwide.espacenet.com/publicationDetails/biblio?II=473&amp;ND=3&amp;adjacent=true&amp;locale=en_EP&amp;FT=D&amp;date=20020220&amp;CC=JP&amp;NR=2002056186A&amp;KC=A</v>
      </c>
    </row>
    <row r="1368" spans="3:5" x14ac:dyDescent="0.25">
      <c r="C1368" t="s">
        <v>2358</v>
      </c>
      <c r="D1368" t="s">
        <v>2359</v>
      </c>
      <c r="E1368" t="str">
        <f>HYPERLINK("https://worldwide.espacenet.com/publicationDetails/biblio?II=474&amp;ND=3&amp;adjacent=true&amp;locale=en_EP&amp;FT=D&amp;date=20020614&amp;CC=JP&amp;NR=2002169919A&amp;KC=A")</f>
        <v>https://worldwide.espacenet.com/publicationDetails/biblio?II=474&amp;ND=3&amp;adjacent=true&amp;locale=en_EP&amp;FT=D&amp;date=20020614&amp;CC=JP&amp;NR=2002169919A&amp;KC=A</v>
      </c>
    </row>
    <row r="1369" spans="3:5" x14ac:dyDescent="0.25">
      <c r="C1369" t="s">
        <v>2360</v>
      </c>
      <c r="D1369" t="s">
        <v>2361</v>
      </c>
      <c r="E1369" t="str">
        <f>HYPERLINK("https://worldwide.espacenet.com/publicationDetails/biblio?II=475&amp;ND=3&amp;adjacent=true&amp;locale=en_EP&amp;FT=D&amp;date=20020329&amp;CC=JP&amp;NR=2002092193A&amp;KC=A")</f>
        <v>https://worldwide.espacenet.com/publicationDetails/biblio?II=475&amp;ND=3&amp;adjacent=true&amp;locale=en_EP&amp;FT=D&amp;date=20020329&amp;CC=JP&amp;NR=2002092193A&amp;KC=A</v>
      </c>
    </row>
    <row r="1370" spans="3:5" x14ac:dyDescent="0.25">
      <c r="C1370" t="s">
        <v>2362</v>
      </c>
      <c r="D1370" t="s">
        <v>2363</v>
      </c>
      <c r="E1370" t="str">
        <f>HYPERLINK("https://worldwide.espacenet.com/publicationDetails/biblio?II=476&amp;ND=3&amp;adjacent=true&amp;locale=en_EP&amp;FT=D&amp;date=19970117&amp;CC=JP&amp;NR=H0916068A&amp;KC=A")</f>
        <v>https://worldwide.espacenet.com/publicationDetails/biblio?II=476&amp;ND=3&amp;adjacent=true&amp;locale=en_EP&amp;FT=D&amp;date=19970117&amp;CC=JP&amp;NR=H0916068A&amp;KC=A</v>
      </c>
    </row>
    <row r="1371" spans="3:5" x14ac:dyDescent="0.25">
      <c r="C1371" t="s">
        <v>2364</v>
      </c>
      <c r="D1371" t="s">
        <v>2365</v>
      </c>
      <c r="E1371" t="str">
        <f>HYPERLINK("https://worldwide.espacenet.com/publicationDetails/biblio?II=477&amp;ND=3&amp;adjacent=true&amp;locale=en_EP&amp;FT=D&amp;date=20040916&amp;CC=WO&amp;NR=2004078962A1&amp;KC=A1")</f>
        <v>https://worldwide.espacenet.com/publicationDetails/biblio?II=477&amp;ND=3&amp;adjacent=true&amp;locale=en_EP&amp;FT=D&amp;date=20040916&amp;CC=WO&amp;NR=2004078962A1&amp;KC=A1</v>
      </c>
    </row>
    <row r="1372" spans="3:5" x14ac:dyDescent="0.25">
      <c r="C1372" t="s">
        <v>2366</v>
      </c>
      <c r="D1372" t="s">
        <v>2367</v>
      </c>
      <c r="E1372" t="str">
        <f>HYPERLINK("https://worldwide.espacenet.com/publicationDetails/biblio?II=478&amp;ND=3&amp;adjacent=true&amp;locale=en_EP&amp;FT=D&amp;date=19990408&amp;CC=WO&amp;NR=9917082A1&amp;KC=A1")</f>
        <v>https://worldwide.espacenet.com/publicationDetails/biblio?II=478&amp;ND=3&amp;adjacent=true&amp;locale=en_EP&amp;FT=D&amp;date=19990408&amp;CC=WO&amp;NR=9917082A1&amp;KC=A1</v>
      </c>
    </row>
    <row r="1373" spans="3:5" x14ac:dyDescent="0.25">
      <c r="C1373" t="s">
        <v>2368</v>
      </c>
      <c r="D1373" t="s">
        <v>2369</v>
      </c>
      <c r="E1373" t="str">
        <f>HYPERLINK("https://worldwide.espacenet.com/publicationDetails/biblio?II=479&amp;ND=3&amp;adjacent=true&amp;locale=en_EP&amp;FT=D&amp;date=19880922&amp;CC=WO&amp;NR=8806994A1&amp;KC=A1")</f>
        <v>https://worldwide.espacenet.com/publicationDetails/biblio?II=479&amp;ND=3&amp;adjacent=true&amp;locale=en_EP&amp;FT=D&amp;date=19880922&amp;CC=WO&amp;NR=8806994A1&amp;KC=A1</v>
      </c>
    </row>
    <row r="1374" spans="3:5" x14ac:dyDescent="0.25">
      <c r="C1374" t="s">
        <v>2370</v>
      </c>
      <c r="D1374" t="s">
        <v>2371</v>
      </c>
      <c r="E1374" t="str">
        <f>HYPERLINK("https://worldwide.espacenet.com/publicationDetails/biblio?II=480&amp;ND=3&amp;adjacent=true&amp;locale=en_EP&amp;FT=D&amp;date=20070607&amp;CC=WO&amp;NR=2007063033A1&amp;KC=A1")</f>
        <v>https://worldwide.espacenet.com/publicationDetails/biblio?II=480&amp;ND=3&amp;adjacent=true&amp;locale=en_EP&amp;FT=D&amp;date=20070607&amp;CC=WO&amp;NR=2007063033A1&amp;KC=A1</v>
      </c>
    </row>
    <row r="1375" spans="3:5" x14ac:dyDescent="0.25">
      <c r="C1375" t="s">
        <v>2294</v>
      </c>
      <c r="D1375" t="s">
        <v>2372</v>
      </c>
      <c r="E1375" t="str">
        <f>HYPERLINK("https://worldwide.espacenet.com/publicationDetails/biblio?II=481&amp;ND=3&amp;adjacent=true&amp;locale=en_EP&amp;FT=D&amp;date=20010425&amp;CC=EP&amp;NR=1094417A2&amp;KC=A2")</f>
        <v>https://worldwide.espacenet.com/publicationDetails/biblio?II=481&amp;ND=3&amp;adjacent=true&amp;locale=en_EP&amp;FT=D&amp;date=20010425&amp;CC=EP&amp;NR=1094417A2&amp;KC=A2</v>
      </c>
    </row>
    <row r="1376" spans="3:5" x14ac:dyDescent="0.25">
      <c r="C1376" t="s">
        <v>2373</v>
      </c>
      <c r="D1376" t="s">
        <v>2374</v>
      </c>
      <c r="E1376" t="str">
        <f>HYPERLINK("https://worldwide.espacenet.com/publicationDetails/biblio?II=482&amp;ND=3&amp;adjacent=true&amp;locale=en_EP&amp;FT=D&amp;date=20030528&amp;CC=DE&amp;NR=10132714A1&amp;KC=A1")</f>
        <v>https://worldwide.espacenet.com/publicationDetails/biblio?II=482&amp;ND=3&amp;adjacent=true&amp;locale=en_EP&amp;FT=D&amp;date=20030528&amp;CC=DE&amp;NR=10132714A1&amp;KC=A1</v>
      </c>
    </row>
    <row r="1377" spans="1:5" x14ac:dyDescent="0.25">
      <c r="C1377" t="s">
        <v>2375</v>
      </c>
      <c r="D1377" t="s">
        <v>2376</v>
      </c>
      <c r="E1377" t="str">
        <f>HYPERLINK("https://worldwide.espacenet.com/publicationDetails/biblio?II=483&amp;ND=3&amp;adjacent=true&amp;locale=en_EP&amp;FT=D&amp;date=20080625&amp;CC=CN&amp;NR=201078787Y&amp;KC=Y")</f>
        <v>https://worldwide.espacenet.com/publicationDetails/biblio?II=483&amp;ND=3&amp;adjacent=true&amp;locale=en_EP&amp;FT=D&amp;date=20080625&amp;CC=CN&amp;NR=201078787Y&amp;KC=Y</v>
      </c>
    </row>
    <row r="1378" spans="1:5" x14ac:dyDescent="0.25">
      <c r="C1378" t="s">
        <v>2377</v>
      </c>
      <c r="D1378" t="s">
        <v>2378</v>
      </c>
      <c r="E1378" t="str">
        <f>HYPERLINK("https://worldwide.espacenet.com/publicationDetails/biblio?II=484&amp;ND=3&amp;adjacent=true&amp;locale=en_EP&amp;FT=D&amp;date=20080611&amp;CC=CN&amp;NR=101198104A&amp;KC=A")</f>
        <v>https://worldwide.espacenet.com/publicationDetails/biblio?II=484&amp;ND=3&amp;adjacent=true&amp;locale=en_EP&amp;FT=D&amp;date=20080611&amp;CC=CN&amp;NR=101198104A&amp;KC=A</v>
      </c>
    </row>
    <row r="1379" spans="1:5" x14ac:dyDescent="0.25">
      <c r="C1379" t="s">
        <v>2377</v>
      </c>
      <c r="D1379" t="s">
        <v>2379</v>
      </c>
      <c r="E1379" t="str">
        <f>HYPERLINK("https://worldwide.espacenet.com/publicationDetails/biblio?II=485&amp;ND=3&amp;adjacent=true&amp;locale=en_EP&amp;FT=D&amp;date=20080611&amp;CC=CN&amp;NR=101198103A&amp;KC=A")</f>
        <v>https://worldwide.espacenet.com/publicationDetails/biblio?II=485&amp;ND=3&amp;adjacent=true&amp;locale=en_EP&amp;FT=D&amp;date=20080611&amp;CC=CN&amp;NR=101198103A&amp;KC=A</v>
      </c>
    </row>
    <row r="1380" spans="1:5" x14ac:dyDescent="0.25">
      <c r="C1380" t="s">
        <v>2380</v>
      </c>
      <c r="D1380" t="s">
        <v>2381</v>
      </c>
      <c r="E1380" t="str">
        <f>HYPERLINK("https://worldwide.espacenet.com/publicationDetails/biblio?II=486&amp;ND=3&amp;adjacent=true&amp;locale=en_EP&amp;FT=D&amp;date=20070919&amp;CC=CN&amp;NR=101036552A&amp;KC=A")</f>
        <v>https://worldwide.espacenet.com/publicationDetails/biblio?II=486&amp;ND=3&amp;adjacent=true&amp;locale=en_EP&amp;FT=D&amp;date=20070919&amp;CC=CN&amp;NR=101036552A&amp;KC=A</v>
      </c>
    </row>
    <row r="1381" spans="1:5" x14ac:dyDescent="0.25">
      <c r="C1381" t="s">
        <v>2382</v>
      </c>
      <c r="D1381" t="s">
        <v>2383</v>
      </c>
      <c r="E1381" t="str">
        <f>HYPERLINK("https://worldwide.espacenet.com/publicationDetails/biblio?II=487&amp;ND=3&amp;adjacent=true&amp;locale=en_EP&amp;FT=D&amp;date=20070117&amp;CC=CN&amp;NR=2859830Y&amp;KC=Y")</f>
        <v>https://worldwide.espacenet.com/publicationDetails/biblio?II=487&amp;ND=3&amp;adjacent=true&amp;locale=en_EP&amp;FT=D&amp;date=20070117&amp;CC=CN&amp;NR=2859830Y&amp;KC=Y</v>
      </c>
    </row>
    <row r="1382" spans="1:5" x14ac:dyDescent="0.25">
      <c r="C1382" t="s">
        <v>2384</v>
      </c>
      <c r="D1382" t="s">
        <v>2385</v>
      </c>
      <c r="E1382" t="str">
        <f>HYPERLINK("https://worldwide.espacenet.com/publicationDetails/biblio?II=488&amp;ND=3&amp;adjacent=true&amp;locale=en_EP&amp;FT=D&amp;date=20070328&amp;CC=CN&amp;NR=1937801A&amp;KC=A")</f>
        <v>https://worldwide.espacenet.com/publicationDetails/biblio?II=488&amp;ND=3&amp;adjacent=true&amp;locale=en_EP&amp;FT=D&amp;date=20070328&amp;CC=CN&amp;NR=1937801A&amp;KC=A</v>
      </c>
    </row>
    <row r="1383" spans="1:5" x14ac:dyDescent="0.25">
      <c r="C1383" t="s">
        <v>2386</v>
      </c>
      <c r="D1383" t="s">
        <v>2387</v>
      </c>
      <c r="E1383" t="str">
        <f>HYPERLINK("https://worldwide.espacenet.com/publicationDetails/biblio?II=489&amp;ND=3&amp;adjacent=true&amp;locale=en_EP&amp;FT=D&amp;date=20070214&amp;CC=CN&amp;NR=1913473A&amp;KC=A")</f>
        <v>https://worldwide.espacenet.com/publicationDetails/biblio?II=489&amp;ND=3&amp;adjacent=true&amp;locale=en_EP&amp;FT=D&amp;date=20070214&amp;CC=CN&amp;NR=1913473A&amp;KC=A</v>
      </c>
    </row>
    <row r="1384" spans="1:5" x14ac:dyDescent="0.25">
      <c r="C1384" t="s">
        <v>2388</v>
      </c>
      <c r="D1384" t="s">
        <v>2389</v>
      </c>
      <c r="E1384" t="str">
        <f>HYPERLINK("https://worldwide.espacenet.com/publicationDetails/biblio?II=490&amp;ND=3&amp;adjacent=true&amp;locale=en_EP&amp;FT=D&amp;date=20071219&amp;CC=CN&amp;NR=101090517A&amp;KC=A")</f>
        <v>https://worldwide.espacenet.com/publicationDetails/biblio?II=490&amp;ND=3&amp;adjacent=true&amp;locale=en_EP&amp;FT=D&amp;date=20071219&amp;CC=CN&amp;NR=101090517A&amp;KC=A</v>
      </c>
    </row>
    <row r="1385" spans="1:5" x14ac:dyDescent="0.25">
      <c r="A1385" t="s">
        <v>2390</v>
      </c>
      <c r="B1385">
        <v>177</v>
      </c>
    </row>
    <row r="1386" spans="1:5" x14ac:dyDescent="0.25">
      <c r="C1386" t="s">
        <v>1441</v>
      </c>
      <c r="D1386" t="s">
        <v>1442</v>
      </c>
      <c r="E1386" t="str">
        <f>HYPERLINK("https://worldwide.espacenet.com/publicationDetails/biblio?II=0&amp;ND=3&amp;adjacent=true&amp;locale=en_EP&amp;FT=D&amp;date=20180622&amp;CC=CN&amp;NR=108200539A&amp;KC=A")</f>
        <v>https://worldwide.espacenet.com/publicationDetails/biblio?II=0&amp;ND=3&amp;adjacent=true&amp;locale=en_EP&amp;FT=D&amp;date=20180622&amp;CC=CN&amp;NR=108200539A&amp;KC=A</v>
      </c>
    </row>
    <row r="1387" spans="1:5" x14ac:dyDescent="0.25">
      <c r="C1387" t="s">
        <v>1443</v>
      </c>
      <c r="D1387" t="s">
        <v>1444</v>
      </c>
      <c r="E1387" t="str">
        <f>HYPERLINK("https://worldwide.espacenet.com/publicationDetails/biblio?II=1&amp;ND=3&amp;adjacent=true&amp;locale=en_EP&amp;FT=D&amp;date=20180622&amp;CC=CN&amp;NR=108198098A&amp;KC=A")</f>
        <v>https://worldwide.espacenet.com/publicationDetails/biblio?II=1&amp;ND=3&amp;adjacent=true&amp;locale=en_EP&amp;FT=D&amp;date=20180622&amp;CC=CN&amp;NR=108198098A&amp;KC=A</v>
      </c>
    </row>
    <row r="1388" spans="1:5" x14ac:dyDescent="0.25">
      <c r="C1388" t="s">
        <v>1396</v>
      </c>
      <c r="D1388" t="s">
        <v>1397</v>
      </c>
      <c r="E1388" t="str">
        <f>HYPERLINK("https://worldwide.espacenet.com/publicationDetails/biblio?II=2&amp;ND=3&amp;adjacent=true&amp;locale=en_EP&amp;FT=D&amp;date=20180612&amp;CC=CN&amp;NR=207489434U&amp;KC=U")</f>
        <v>https://worldwide.espacenet.com/publicationDetails/biblio?II=2&amp;ND=3&amp;adjacent=true&amp;locale=en_EP&amp;FT=D&amp;date=20180612&amp;CC=CN&amp;NR=207489434U&amp;KC=U</v>
      </c>
    </row>
    <row r="1389" spans="1:5" x14ac:dyDescent="0.25">
      <c r="C1389" t="s">
        <v>1447</v>
      </c>
      <c r="D1389" t="s">
        <v>1448</v>
      </c>
      <c r="E1389" t="str">
        <f>HYPERLINK("https://worldwide.espacenet.com/publicationDetails/biblio?II=3&amp;ND=3&amp;adjacent=true&amp;locale=en_EP&amp;FT=D&amp;date=20180525&amp;CC=KR&amp;NR=20180055128A&amp;KC=A")</f>
        <v>https://worldwide.espacenet.com/publicationDetails/biblio?II=3&amp;ND=3&amp;adjacent=true&amp;locale=en_EP&amp;FT=D&amp;date=20180525&amp;CC=KR&amp;NR=20180055128A&amp;KC=A</v>
      </c>
    </row>
    <row r="1390" spans="1:5" x14ac:dyDescent="0.25">
      <c r="A1390" t="s">
        <v>2391</v>
      </c>
      <c r="B1390">
        <v>164</v>
      </c>
    </row>
    <row r="1391" spans="1:5" x14ac:dyDescent="0.25">
      <c r="C1391" t="s">
        <v>2392</v>
      </c>
      <c r="D1391" t="s">
        <v>2393</v>
      </c>
      <c r="E1391" t="str">
        <f>HYPERLINK("https://worldwide.espacenet.com/publicationDetails/biblio?II=0&amp;ND=3&amp;adjacent=true&amp;locale=en_EP&amp;FT=D&amp;date=20180619&amp;CC=CN&amp;NR=207517817U&amp;KC=U")</f>
        <v>https://worldwide.espacenet.com/publicationDetails/biblio?II=0&amp;ND=3&amp;adjacent=true&amp;locale=en_EP&amp;FT=D&amp;date=20180619&amp;CC=CN&amp;NR=207517817U&amp;KC=U</v>
      </c>
    </row>
    <row r="1392" spans="1:5" x14ac:dyDescent="0.25">
      <c r="C1392" t="s">
        <v>2394</v>
      </c>
      <c r="D1392" t="s">
        <v>2395</v>
      </c>
      <c r="E1392" t="str">
        <f>HYPERLINK("https://worldwide.espacenet.com/publicationDetails/biblio?II=1&amp;ND=3&amp;adjacent=true&amp;locale=en_EP&amp;FT=D&amp;date=20180608&amp;CC=CN&amp;NR=108133539A&amp;KC=A")</f>
        <v>https://worldwide.espacenet.com/publicationDetails/biblio?II=1&amp;ND=3&amp;adjacent=true&amp;locale=en_EP&amp;FT=D&amp;date=20180608&amp;CC=CN&amp;NR=108133539A&amp;KC=A</v>
      </c>
    </row>
    <row r="1393" spans="3:5" x14ac:dyDescent="0.25">
      <c r="C1393" t="s">
        <v>2396</v>
      </c>
      <c r="D1393" t="s">
        <v>2397</v>
      </c>
      <c r="E1393" t="str">
        <f>HYPERLINK("https://worldwide.espacenet.com/publicationDetails/biblio?II=2&amp;ND=3&amp;adjacent=true&amp;locale=en_EP&amp;FT=D&amp;date=20180406&amp;CC=CN&amp;NR=107886877A&amp;KC=A")</f>
        <v>https://worldwide.espacenet.com/publicationDetails/biblio?II=2&amp;ND=3&amp;adjacent=true&amp;locale=en_EP&amp;FT=D&amp;date=20180406&amp;CC=CN&amp;NR=107886877A&amp;KC=A</v>
      </c>
    </row>
    <row r="1394" spans="3:5" x14ac:dyDescent="0.25">
      <c r="C1394" t="s">
        <v>2398</v>
      </c>
      <c r="D1394" t="s">
        <v>2399</v>
      </c>
      <c r="E1394" t="str">
        <f>HYPERLINK("https://worldwide.espacenet.com/publicationDetails/biblio?II=3&amp;ND=3&amp;adjacent=true&amp;locale=en_EP&amp;FT=D&amp;date=20171127&amp;CC=KR&amp;NR=20170129472A&amp;KC=A")</f>
        <v>https://worldwide.espacenet.com/publicationDetails/biblio?II=3&amp;ND=3&amp;adjacent=true&amp;locale=en_EP&amp;FT=D&amp;date=20171127&amp;CC=KR&amp;NR=20170129472A&amp;KC=A</v>
      </c>
    </row>
    <row r="1395" spans="3:5" x14ac:dyDescent="0.25">
      <c r="C1395" t="s">
        <v>2400</v>
      </c>
      <c r="D1395" t="s">
        <v>2401</v>
      </c>
      <c r="E1395" t="str">
        <f>HYPERLINK("https://worldwide.espacenet.com/publicationDetails/biblio?II=4&amp;ND=3&amp;adjacent=true&amp;locale=en_EP&amp;FT=D&amp;date=20171219&amp;CC=CN&amp;NR=107492328A&amp;KC=A")</f>
        <v>https://worldwide.espacenet.com/publicationDetails/biblio?II=4&amp;ND=3&amp;adjacent=true&amp;locale=en_EP&amp;FT=D&amp;date=20171219&amp;CC=CN&amp;NR=107492328A&amp;KC=A</v>
      </c>
    </row>
    <row r="1396" spans="3:5" x14ac:dyDescent="0.25">
      <c r="C1396" t="s">
        <v>1525</v>
      </c>
      <c r="D1396" t="s">
        <v>1526</v>
      </c>
      <c r="E1396" t="str">
        <f>HYPERLINK("https://worldwide.espacenet.com/publicationDetails/biblio?II=5&amp;ND=3&amp;adjacent=true&amp;locale=en_EP&amp;FT=D&amp;date=20171205&amp;CC=CN&amp;NR=107437393A&amp;KC=A")</f>
        <v>https://worldwide.espacenet.com/publicationDetails/biblio?II=5&amp;ND=3&amp;adjacent=true&amp;locale=en_EP&amp;FT=D&amp;date=20171205&amp;CC=CN&amp;NR=107437393A&amp;KC=A</v>
      </c>
    </row>
    <row r="1397" spans="3:5" x14ac:dyDescent="0.25">
      <c r="C1397" t="s">
        <v>2402</v>
      </c>
      <c r="D1397" t="s">
        <v>2403</v>
      </c>
      <c r="E1397" t="str">
        <f>HYPERLINK("https://worldwide.espacenet.com/publicationDetails/biblio?II=6&amp;ND=3&amp;adjacent=true&amp;locale=en_EP&amp;FT=D&amp;date=20171130&amp;CC=US&amp;NR=2017343365A1&amp;KC=A1")</f>
        <v>https://worldwide.espacenet.com/publicationDetails/biblio?II=6&amp;ND=3&amp;adjacent=true&amp;locale=en_EP&amp;FT=D&amp;date=20171130&amp;CC=US&amp;NR=2017343365A1&amp;KC=A1</v>
      </c>
    </row>
    <row r="1398" spans="3:5" x14ac:dyDescent="0.25">
      <c r="C1398" t="s">
        <v>2404</v>
      </c>
      <c r="D1398" t="s">
        <v>2405</v>
      </c>
      <c r="E1398" t="str">
        <f>HYPERLINK("https://worldwide.espacenet.com/publicationDetails/biblio?II=7&amp;ND=3&amp;adjacent=true&amp;locale=en_EP&amp;FT=D&amp;date=20171103&amp;CC=CN&amp;NR=206609426U&amp;KC=U")</f>
        <v>https://worldwide.espacenet.com/publicationDetails/biblio?II=7&amp;ND=3&amp;adjacent=true&amp;locale=en_EP&amp;FT=D&amp;date=20171103&amp;CC=CN&amp;NR=206609426U&amp;KC=U</v>
      </c>
    </row>
    <row r="1399" spans="3:5" x14ac:dyDescent="0.25">
      <c r="C1399" t="s">
        <v>2406</v>
      </c>
      <c r="D1399" t="s">
        <v>2407</v>
      </c>
      <c r="E1399" t="str">
        <f>HYPERLINK("https://worldwide.espacenet.com/publicationDetails/biblio?II=8&amp;ND=3&amp;adjacent=true&amp;locale=en_EP&amp;FT=D&amp;date=20171103&amp;CC=CN&amp;NR=206609427U&amp;KC=U")</f>
        <v>https://worldwide.espacenet.com/publicationDetails/biblio?II=8&amp;ND=3&amp;adjacent=true&amp;locale=en_EP&amp;FT=D&amp;date=20171103&amp;CC=CN&amp;NR=206609427U&amp;KC=U</v>
      </c>
    </row>
    <row r="1400" spans="3:5" x14ac:dyDescent="0.25">
      <c r="C1400" t="s">
        <v>2408</v>
      </c>
      <c r="D1400" t="s">
        <v>2409</v>
      </c>
      <c r="E1400" t="str">
        <f>HYPERLINK("https://worldwide.espacenet.com/publicationDetails/biblio?II=9&amp;ND=3&amp;adjacent=true&amp;locale=en_EP&amp;FT=D&amp;date=20170922&amp;CC=CN&amp;NR=206515887U&amp;KC=U")</f>
        <v>https://worldwide.espacenet.com/publicationDetails/biblio?II=9&amp;ND=3&amp;adjacent=true&amp;locale=en_EP&amp;FT=D&amp;date=20170922&amp;CC=CN&amp;NR=206515887U&amp;KC=U</v>
      </c>
    </row>
    <row r="1401" spans="3:5" x14ac:dyDescent="0.25">
      <c r="C1401" t="s">
        <v>2410</v>
      </c>
      <c r="D1401" t="s">
        <v>2411</v>
      </c>
      <c r="E1401" t="str">
        <f>HYPERLINK("https://worldwide.espacenet.com/publicationDetails/biblio?II=10&amp;ND=3&amp;adjacent=true&amp;locale=en_EP&amp;FT=D&amp;date=20170818&amp;CC=CN&amp;NR=107071625A&amp;KC=A")</f>
        <v>https://worldwide.espacenet.com/publicationDetails/biblio?II=10&amp;ND=3&amp;adjacent=true&amp;locale=en_EP&amp;FT=D&amp;date=20170818&amp;CC=CN&amp;NR=107071625A&amp;KC=A</v>
      </c>
    </row>
    <row r="1402" spans="3:5" x14ac:dyDescent="0.25">
      <c r="C1402" t="s">
        <v>2412</v>
      </c>
      <c r="D1402" t="s">
        <v>2413</v>
      </c>
      <c r="E1402" t="str">
        <f>HYPERLINK("https://worldwide.espacenet.com/publicationDetails/biblio?II=11&amp;ND=3&amp;adjacent=true&amp;locale=en_EP&amp;FT=D&amp;date=20170613&amp;CC=CN&amp;NR=106846966A&amp;KC=A")</f>
        <v>https://worldwide.espacenet.com/publicationDetails/biblio?II=11&amp;ND=3&amp;adjacent=true&amp;locale=en_EP&amp;FT=D&amp;date=20170613&amp;CC=CN&amp;NR=106846966A&amp;KC=A</v>
      </c>
    </row>
    <row r="1403" spans="3:5" x14ac:dyDescent="0.25">
      <c r="C1403" t="s">
        <v>1604</v>
      </c>
      <c r="D1403" t="s">
        <v>1605</v>
      </c>
      <c r="E1403" t="str">
        <f>HYPERLINK("https://worldwide.espacenet.com/publicationDetails/biblio?II=12&amp;ND=3&amp;adjacent=true&amp;locale=en_EP&amp;FT=D&amp;date=20170609&amp;CC=CN&amp;NR=106817416A&amp;KC=A")</f>
        <v>https://worldwide.espacenet.com/publicationDetails/biblio?II=12&amp;ND=3&amp;adjacent=true&amp;locale=en_EP&amp;FT=D&amp;date=20170609&amp;CC=CN&amp;NR=106817416A&amp;KC=A</v>
      </c>
    </row>
    <row r="1404" spans="3:5" x14ac:dyDescent="0.25">
      <c r="C1404" t="s">
        <v>2414</v>
      </c>
      <c r="D1404" t="s">
        <v>2415</v>
      </c>
      <c r="E1404" t="str">
        <f>HYPERLINK("https://worldwide.espacenet.com/publicationDetails/biblio?II=13&amp;ND=3&amp;adjacent=true&amp;locale=en_EP&amp;FT=D&amp;date=20170510&amp;CC=CN&amp;NR=106647550A&amp;KC=A")</f>
        <v>https://worldwide.espacenet.com/publicationDetails/biblio?II=13&amp;ND=3&amp;adjacent=true&amp;locale=en_EP&amp;FT=D&amp;date=20170510&amp;CC=CN&amp;NR=106647550A&amp;KC=A</v>
      </c>
    </row>
    <row r="1405" spans="3:5" x14ac:dyDescent="0.25">
      <c r="C1405" t="s">
        <v>2416</v>
      </c>
      <c r="D1405" t="s">
        <v>2417</v>
      </c>
      <c r="E1405" t="str">
        <f>HYPERLINK("https://worldwide.espacenet.com/publicationDetails/biblio?II=14&amp;ND=3&amp;adjacent=true&amp;locale=en_EP&amp;FT=D&amp;date=20170419&amp;CC=CN&amp;NR=206115982U&amp;KC=U")</f>
        <v>https://worldwide.espacenet.com/publicationDetails/biblio?II=14&amp;ND=3&amp;adjacent=true&amp;locale=en_EP&amp;FT=D&amp;date=20170419&amp;CC=CN&amp;NR=206115982U&amp;KC=U</v>
      </c>
    </row>
    <row r="1406" spans="3:5" x14ac:dyDescent="0.25">
      <c r="C1406" t="s">
        <v>2418</v>
      </c>
      <c r="D1406" t="s">
        <v>2419</v>
      </c>
      <c r="E1406" t="str">
        <f>HYPERLINK("https://worldwide.espacenet.com/publicationDetails/biblio?II=15&amp;ND=3&amp;adjacent=true&amp;locale=en_EP&amp;FT=D&amp;date=20170308&amp;CC=CN&amp;NR=106486036A&amp;KC=A")</f>
        <v>https://worldwide.espacenet.com/publicationDetails/biblio?II=15&amp;ND=3&amp;adjacent=true&amp;locale=en_EP&amp;FT=D&amp;date=20170308&amp;CC=CN&amp;NR=106486036A&amp;KC=A</v>
      </c>
    </row>
    <row r="1407" spans="3:5" x14ac:dyDescent="0.25">
      <c r="C1407" t="s">
        <v>1668</v>
      </c>
      <c r="D1407" t="s">
        <v>1669</v>
      </c>
      <c r="E1407" t="str">
        <f>HYPERLINK("https://worldwide.espacenet.com/publicationDetails/biblio?II=16&amp;ND=3&amp;adjacent=true&amp;locale=en_EP&amp;FT=D&amp;date=20161221&amp;CC=CN&amp;NR=106250949A&amp;KC=A")</f>
        <v>https://worldwide.espacenet.com/publicationDetails/biblio?II=16&amp;ND=3&amp;adjacent=true&amp;locale=en_EP&amp;FT=D&amp;date=20161221&amp;CC=CN&amp;NR=106250949A&amp;KC=A</v>
      </c>
    </row>
    <row r="1408" spans="3:5" x14ac:dyDescent="0.25">
      <c r="C1408" t="s">
        <v>2420</v>
      </c>
      <c r="D1408" t="s">
        <v>2421</v>
      </c>
      <c r="E1408" t="str">
        <f>HYPERLINK("https://worldwide.espacenet.com/publicationDetails/biblio?II=17&amp;ND=3&amp;adjacent=true&amp;locale=en_EP&amp;FT=D&amp;date=20170301&amp;CC=TW&amp;NR=201709123A&amp;KC=A")</f>
        <v>https://worldwide.espacenet.com/publicationDetails/biblio?II=17&amp;ND=3&amp;adjacent=true&amp;locale=en_EP&amp;FT=D&amp;date=20170301&amp;CC=TW&amp;NR=201709123A&amp;KC=A</v>
      </c>
    </row>
    <row r="1409" spans="3:5" x14ac:dyDescent="0.25">
      <c r="C1409" t="s">
        <v>2422</v>
      </c>
      <c r="D1409" t="s">
        <v>2423</v>
      </c>
      <c r="E1409" t="str">
        <f>HYPERLINK("https://worldwide.espacenet.com/publicationDetails/biblio?II=18&amp;ND=3&amp;adjacent=true&amp;locale=en_EP&amp;FT=D&amp;date=20161207&amp;CC=CN&amp;NR=106204784A&amp;KC=A")</f>
        <v>https://worldwide.espacenet.com/publicationDetails/biblio?II=18&amp;ND=3&amp;adjacent=true&amp;locale=en_EP&amp;FT=D&amp;date=20161207&amp;CC=CN&amp;NR=106204784A&amp;KC=A</v>
      </c>
    </row>
    <row r="1410" spans="3:5" x14ac:dyDescent="0.25">
      <c r="C1410" t="s">
        <v>2424</v>
      </c>
      <c r="D1410" t="s">
        <v>2425</v>
      </c>
      <c r="E1410" t="str">
        <f>HYPERLINK("https://worldwide.espacenet.com/publicationDetails/biblio?II=19&amp;ND=3&amp;adjacent=true&amp;locale=en_EP&amp;FT=D&amp;date=20161012&amp;CC=CN&amp;NR=106027621A&amp;KC=A")</f>
        <v>https://worldwide.espacenet.com/publicationDetails/biblio?II=19&amp;ND=3&amp;adjacent=true&amp;locale=en_EP&amp;FT=D&amp;date=20161012&amp;CC=CN&amp;NR=106027621A&amp;KC=A</v>
      </c>
    </row>
    <row r="1411" spans="3:5" x14ac:dyDescent="0.25">
      <c r="C1411" t="s">
        <v>1716</v>
      </c>
      <c r="D1411" t="s">
        <v>1717</v>
      </c>
      <c r="E1411" t="str">
        <f>HYPERLINK("https://worldwide.espacenet.com/publicationDetails/biblio?II=20&amp;ND=3&amp;adjacent=true&amp;locale=en_EP&amp;FT=D&amp;date=20160921&amp;CC=CN&amp;NR=105956949A&amp;KC=A")</f>
        <v>https://worldwide.espacenet.com/publicationDetails/biblio?II=20&amp;ND=3&amp;adjacent=true&amp;locale=en_EP&amp;FT=D&amp;date=20160921&amp;CC=CN&amp;NR=105956949A&amp;KC=A</v>
      </c>
    </row>
    <row r="1412" spans="3:5" x14ac:dyDescent="0.25">
      <c r="C1412" t="s">
        <v>1742</v>
      </c>
      <c r="D1412" t="s">
        <v>1743</v>
      </c>
      <c r="E1412" t="str">
        <f>HYPERLINK("https://worldwide.espacenet.com/publicationDetails/biblio?II=21&amp;ND=3&amp;adjacent=true&amp;locale=en_EP&amp;FT=D&amp;date=20160608&amp;CC=CN&amp;NR=105657664A&amp;KC=A")</f>
        <v>https://worldwide.espacenet.com/publicationDetails/biblio?II=21&amp;ND=3&amp;adjacent=true&amp;locale=en_EP&amp;FT=D&amp;date=20160608&amp;CC=CN&amp;NR=105657664A&amp;KC=A</v>
      </c>
    </row>
    <row r="1413" spans="3:5" x14ac:dyDescent="0.25">
      <c r="C1413" t="s">
        <v>1752</v>
      </c>
      <c r="D1413" t="s">
        <v>1753</v>
      </c>
      <c r="E1413" t="str">
        <f>HYPERLINK("https://worldwide.espacenet.com/publicationDetails/biblio?II=22&amp;ND=3&amp;adjacent=true&amp;locale=en_EP&amp;FT=D&amp;date=20160901&amp;CC=TW&amp;NR=201631545A&amp;KC=A")</f>
        <v>https://worldwide.espacenet.com/publicationDetails/biblio?II=22&amp;ND=3&amp;adjacent=true&amp;locale=en_EP&amp;FT=D&amp;date=20160901&amp;CC=TW&amp;NR=201631545A&amp;KC=A</v>
      </c>
    </row>
    <row r="1414" spans="3:5" x14ac:dyDescent="0.25">
      <c r="C1414" t="s">
        <v>2426</v>
      </c>
      <c r="D1414" t="s">
        <v>2427</v>
      </c>
      <c r="E1414" t="str">
        <f>HYPERLINK("https://worldwide.espacenet.com/publicationDetails/biblio?II=23&amp;ND=3&amp;adjacent=true&amp;locale=en_EP&amp;FT=D&amp;date=20160706&amp;CC=CN&amp;NR=105743530A&amp;KC=A")</f>
        <v>https://worldwide.espacenet.com/publicationDetails/biblio?II=23&amp;ND=3&amp;adjacent=true&amp;locale=en_EP&amp;FT=D&amp;date=20160706&amp;CC=CN&amp;NR=105743530A&amp;KC=A</v>
      </c>
    </row>
    <row r="1415" spans="3:5" x14ac:dyDescent="0.25">
      <c r="C1415" t="s">
        <v>2428</v>
      </c>
      <c r="D1415" t="s">
        <v>2429</v>
      </c>
      <c r="E1415" t="str">
        <f>HYPERLINK("https://worldwide.espacenet.com/publicationDetails/biblio?II=24&amp;ND=3&amp;adjacent=true&amp;locale=en_EP&amp;FT=D&amp;date=20160622&amp;CC=CN&amp;NR=105703792A&amp;KC=A")</f>
        <v>https://worldwide.espacenet.com/publicationDetails/biblio?II=24&amp;ND=3&amp;adjacent=true&amp;locale=en_EP&amp;FT=D&amp;date=20160622&amp;CC=CN&amp;NR=105703792A&amp;KC=A</v>
      </c>
    </row>
    <row r="1416" spans="3:5" x14ac:dyDescent="0.25">
      <c r="C1416" t="s">
        <v>1772</v>
      </c>
      <c r="D1416" t="s">
        <v>1773</v>
      </c>
      <c r="E1416" t="str">
        <f>HYPERLINK("https://worldwide.espacenet.com/publicationDetails/biblio?II=25&amp;ND=3&amp;adjacent=true&amp;locale=en_EP&amp;FT=D&amp;date=20160511&amp;CC=CN&amp;NR=105574564A&amp;KC=A")</f>
        <v>https://worldwide.espacenet.com/publicationDetails/biblio?II=25&amp;ND=3&amp;adjacent=true&amp;locale=en_EP&amp;FT=D&amp;date=20160511&amp;CC=CN&amp;NR=105574564A&amp;KC=A</v>
      </c>
    </row>
    <row r="1417" spans="3:5" x14ac:dyDescent="0.25">
      <c r="C1417" t="s">
        <v>2430</v>
      </c>
      <c r="D1417" t="s">
        <v>2431</v>
      </c>
      <c r="E1417" t="str">
        <f>HYPERLINK("https://worldwide.espacenet.com/publicationDetails/biblio?II=26&amp;ND=3&amp;adjacent=true&amp;locale=en_EP&amp;FT=D&amp;date=20160511&amp;CC=CN&amp;NR=105574059A&amp;KC=A")</f>
        <v>https://worldwide.espacenet.com/publicationDetails/biblio?II=26&amp;ND=3&amp;adjacent=true&amp;locale=en_EP&amp;FT=D&amp;date=20160511&amp;CC=CN&amp;NR=105574059A&amp;KC=A</v>
      </c>
    </row>
    <row r="1418" spans="3:5" x14ac:dyDescent="0.25">
      <c r="C1418" t="s">
        <v>1777</v>
      </c>
      <c r="D1418" t="s">
        <v>1778</v>
      </c>
      <c r="E1418" t="str">
        <f>HYPERLINK("https://worldwide.espacenet.com/publicationDetails/biblio?II=27&amp;ND=3&amp;adjacent=true&amp;locale=en_EP&amp;FT=D&amp;date=20160504&amp;CC=CN&amp;NR=205210953U&amp;KC=U")</f>
        <v>https://worldwide.espacenet.com/publicationDetails/biblio?II=27&amp;ND=3&amp;adjacent=true&amp;locale=en_EP&amp;FT=D&amp;date=20160504&amp;CC=CN&amp;NR=205210953U&amp;KC=U</v>
      </c>
    </row>
    <row r="1419" spans="3:5" x14ac:dyDescent="0.25">
      <c r="C1419" t="s">
        <v>1779</v>
      </c>
      <c r="D1419" t="s">
        <v>1780</v>
      </c>
      <c r="E1419" t="str">
        <f>HYPERLINK("https://worldwide.espacenet.com/publicationDetails/biblio?II=28&amp;ND=3&amp;adjacent=true&amp;locale=en_EP&amp;FT=D&amp;date=20160504&amp;CC=CN&amp;NR=105550722A&amp;KC=A")</f>
        <v>https://worldwide.espacenet.com/publicationDetails/biblio?II=28&amp;ND=3&amp;adjacent=true&amp;locale=en_EP&amp;FT=D&amp;date=20160504&amp;CC=CN&amp;NR=105550722A&amp;KC=A</v>
      </c>
    </row>
    <row r="1420" spans="3:5" x14ac:dyDescent="0.25">
      <c r="C1420" t="s">
        <v>1783</v>
      </c>
      <c r="D1420" t="s">
        <v>1784</v>
      </c>
      <c r="E1420" t="str">
        <f>HYPERLINK("https://worldwide.espacenet.com/publicationDetails/biblio?II=29&amp;ND=3&amp;adjacent=true&amp;locale=en_EP&amp;FT=D&amp;date=20160420&amp;CC=CN&amp;NR=105516918A&amp;KC=A")</f>
        <v>https://worldwide.espacenet.com/publicationDetails/biblio?II=29&amp;ND=3&amp;adjacent=true&amp;locale=en_EP&amp;FT=D&amp;date=20160420&amp;CC=CN&amp;NR=105516918A&amp;KC=A</v>
      </c>
    </row>
    <row r="1421" spans="3:5" x14ac:dyDescent="0.25">
      <c r="C1421" t="s">
        <v>2432</v>
      </c>
      <c r="D1421" t="s">
        <v>2433</v>
      </c>
      <c r="E1421" t="str">
        <f>HYPERLINK("https://worldwide.espacenet.com/publicationDetails/biblio?II=30&amp;ND=3&amp;adjacent=true&amp;locale=en_EP&amp;FT=D&amp;date=20160309&amp;CC=CN&amp;NR=205080605U&amp;KC=U")</f>
        <v>https://worldwide.espacenet.com/publicationDetails/biblio?II=30&amp;ND=3&amp;adjacent=true&amp;locale=en_EP&amp;FT=D&amp;date=20160309&amp;CC=CN&amp;NR=205080605U&amp;KC=U</v>
      </c>
    </row>
    <row r="1422" spans="3:5" x14ac:dyDescent="0.25">
      <c r="C1422" t="s">
        <v>1815</v>
      </c>
      <c r="D1422" t="s">
        <v>1816</v>
      </c>
      <c r="E1422" t="str">
        <f>HYPERLINK("https://worldwide.espacenet.com/publicationDetails/biblio?II=31&amp;ND=3&amp;adjacent=true&amp;locale=en_EP&amp;FT=D&amp;date=20151111&amp;CC=CN&amp;NR=105050051A&amp;KC=A")</f>
        <v>https://worldwide.espacenet.com/publicationDetails/biblio?II=31&amp;ND=3&amp;adjacent=true&amp;locale=en_EP&amp;FT=D&amp;date=20151111&amp;CC=CN&amp;NR=105050051A&amp;KC=A</v>
      </c>
    </row>
    <row r="1423" spans="3:5" x14ac:dyDescent="0.25">
      <c r="C1423" t="s">
        <v>2434</v>
      </c>
      <c r="D1423" t="s">
        <v>2435</v>
      </c>
      <c r="E1423" t="str">
        <f>HYPERLINK("https://worldwide.espacenet.com/publicationDetails/biblio?II=32&amp;ND=3&amp;adjacent=true&amp;locale=en_EP&amp;FT=D&amp;date=20151111&amp;CC=CN&amp;NR=105046627A&amp;KC=A")</f>
        <v>https://worldwide.espacenet.com/publicationDetails/biblio?II=32&amp;ND=3&amp;adjacent=true&amp;locale=en_EP&amp;FT=D&amp;date=20151111&amp;CC=CN&amp;NR=105046627A&amp;KC=A</v>
      </c>
    </row>
    <row r="1424" spans="3:5" x14ac:dyDescent="0.25">
      <c r="C1424" t="s">
        <v>2436</v>
      </c>
      <c r="D1424" t="s">
        <v>2437</v>
      </c>
      <c r="E1424" t="str">
        <f>HYPERLINK("https://worldwide.espacenet.com/publicationDetails/biblio?II=33&amp;ND=3&amp;adjacent=true&amp;locale=en_EP&amp;FT=D&amp;date=20151104&amp;CC=CN&amp;NR=105025442A&amp;KC=A")</f>
        <v>https://worldwide.espacenet.com/publicationDetails/biblio?II=33&amp;ND=3&amp;adjacent=true&amp;locale=en_EP&amp;FT=D&amp;date=20151104&amp;CC=CN&amp;NR=105025442A&amp;KC=A</v>
      </c>
    </row>
    <row r="1425" spans="3:5" x14ac:dyDescent="0.25">
      <c r="C1425" t="s">
        <v>2438</v>
      </c>
      <c r="D1425" t="s">
        <v>2439</v>
      </c>
      <c r="E1425" t="str">
        <f>HYPERLINK("https://worldwide.espacenet.com/publicationDetails/biblio?II=34&amp;ND=3&amp;adjacent=true&amp;locale=en_EP&amp;FT=D&amp;date=20151007&amp;CC=CN&amp;NR=204695741U&amp;KC=U")</f>
        <v>https://worldwide.espacenet.com/publicationDetails/biblio?II=34&amp;ND=3&amp;adjacent=true&amp;locale=en_EP&amp;FT=D&amp;date=20151007&amp;CC=CN&amp;NR=204695741U&amp;KC=U</v>
      </c>
    </row>
    <row r="1426" spans="3:5" x14ac:dyDescent="0.25">
      <c r="C1426" t="s">
        <v>2440</v>
      </c>
      <c r="D1426" t="s">
        <v>2441</v>
      </c>
      <c r="E1426" t="str">
        <f>HYPERLINK("https://worldwide.espacenet.com/publicationDetails/biblio?II=35&amp;ND=3&amp;adjacent=true&amp;locale=en_EP&amp;FT=D&amp;date=20151007&amp;CC=CN&amp;NR=104966174A&amp;KC=A")</f>
        <v>https://worldwide.espacenet.com/publicationDetails/biblio?II=35&amp;ND=3&amp;adjacent=true&amp;locale=en_EP&amp;FT=D&amp;date=20151007&amp;CC=CN&amp;NR=104966174A&amp;KC=A</v>
      </c>
    </row>
    <row r="1427" spans="3:5" x14ac:dyDescent="0.25">
      <c r="C1427" t="s">
        <v>1841</v>
      </c>
      <c r="D1427" t="s">
        <v>1842</v>
      </c>
      <c r="E1427" t="str">
        <f>HYPERLINK("https://worldwide.espacenet.com/publicationDetails/biblio?II=36&amp;ND=3&amp;adjacent=true&amp;locale=en_EP&amp;FT=D&amp;date=20150930&amp;CC=CN&amp;NR=104952007A&amp;KC=A")</f>
        <v>https://worldwide.espacenet.com/publicationDetails/biblio?II=36&amp;ND=3&amp;adjacent=true&amp;locale=en_EP&amp;FT=D&amp;date=20150930&amp;CC=CN&amp;NR=104952007A&amp;KC=A</v>
      </c>
    </row>
    <row r="1428" spans="3:5" x14ac:dyDescent="0.25">
      <c r="C1428" t="s">
        <v>2442</v>
      </c>
      <c r="D1428" t="s">
        <v>2443</v>
      </c>
      <c r="E1428" t="str">
        <f>HYPERLINK("https://worldwide.espacenet.com/publicationDetails/biblio?II=37&amp;ND=3&amp;adjacent=true&amp;locale=en_EP&amp;FT=D&amp;date=20150624&amp;CC=CN&amp;NR=104732666A&amp;KC=A")</f>
        <v>https://worldwide.espacenet.com/publicationDetails/biblio?II=37&amp;ND=3&amp;adjacent=true&amp;locale=en_EP&amp;FT=D&amp;date=20150624&amp;CC=CN&amp;NR=104732666A&amp;KC=A</v>
      </c>
    </row>
    <row r="1429" spans="3:5" x14ac:dyDescent="0.25">
      <c r="C1429" t="s">
        <v>2444</v>
      </c>
      <c r="D1429" t="s">
        <v>2445</v>
      </c>
      <c r="E1429" t="str">
        <f>HYPERLINK("https://worldwide.espacenet.com/publicationDetails/biblio?II=38&amp;ND=3&amp;adjacent=true&amp;locale=en_EP&amp;FT=D&amp;date=20150603&amp;CC=CN&amp;NR=104680956A&amp;KC=A")</f>
        <v>https://worldwide.espacenet.com/publicationDetails/biblio?II=38&amp;ND=3&amp;adjacent=true&amp;locale=en_EP&amp;FT=D&amp;date=20150603&amp;CC=CN&amp;NR=104680956A&amp;KC=A</v>
      </c>
    </row>
    <row r="1430" spans="3:5" x14ac:dyDescent="0.25">
      <c r="C1430" t="s">
        <v>2446</v>
      </c>
      <c r="D1430" t="s">
        <v>2447</v>
      </c>
      <c r="E1430" t="str">
        <f>HYPERLINK("https://worldwide.espacenet.com/publicationDetails/biblio?II=39&amp;ND=3&amp;adjacent=true&amp;locale=en_EP&amp;FT=D&amp;date=20150527&amp;CC=CN&amp;NR=204360397U&amp;KC=U")</f>
        <v>https://worldwide.espacenet.com/publicationDetails/biblio?II=39&amp;ND=3&amp;adjacent=true&amp;locale=en_EP&amp;FT=D&amp;date=20150527&amp;CC=CN&amp;NR=204360397U&amp;KC=U</v>
      </c>
    </row>
    <row r="1431" spans="3:5" x14ac:dyDescent="0.25">
      <c r="C1431" t="s">
        <v>2448</v>
      </c>
      <c r="D1431" t="s">
        <v>2449</v>
      </c>
      <c r="E1431" t="str">
        <f>HYPERLINK("https://worldwide.espacenet.com/publicationDetails/biblio?II=40&amp;ND=3&amp;adjacent=true&amp;locale=en_EP&amp;FT=D&amp;date=20150514&amp;CC=US&amp;NR=2015134247A1&amp;KC=A1")</f>
        <v>https://worldwide.espacenet.com/publicationDetails/biblio?II=40&amp;ND=3&amp;adjacent=true&amp;locale=en_EP&amp;FT=D&amp;date=20150514&amp;CC=US&amp;NR=2015134247A1&amp;KC=A1</v>
      </c>
    </row>
    <row r="1432" spans="3:5" x14ac:dyDescent="0.25">
      <c r="C1432" t="s">
        <v>2450</v>
      </c>
      <c r="D1432" t="s">
        <v>2451</v>
      </c>
      <c r="E1432" t="str">
        <f>HYPERLINK("https://worldwide.espacenet.com/publicationDetails/biblio?II=41&amp;ND=3&amp;adjacent=true&amp;locale=en_EP&amp;FT=D&amp;date=20150218&amp;CC=CN&amp;NR=204166870U&amp;KC=U")</f>
        <v>https://worldwide.espacenet.com/publicationDetails/biblio?II=41&amp;ND=3&amp;adjacent=true&amp;locale=en_EP&amp;FT=D&amp;date=20150218&amp;CC=CN&amp;NR=204166870U&amp;KC=U</v>
      </c>
    </row>
    <row r="1433" spans="3:5" x14ac:dyDescent="0.25">
      <c r="C1433" t="s">
        <v>2452</v>
      </c>
      <c r="D1433" t="s">
        <v>2453</v>
      </c>
      <c r="E1433" t="str">
        <f>HYPERLINK("https://worldwide.espacenet.com/publicationDetails/biblio?II=42&amp;ND=3&amp;adjacent=true&amp;locale=en_EP&amp;FT=D&amp;date=20150218&amp;CC=CN&amp;NR=204166869U&amp;KC=U")</f>
        <v>https://worldwide.espacenet.com/publicationDetails/biblio?II=42&amp;ND=3&amp;adjacent=true&amp;locale=en_EP&amp;FT=D&amp;date=20150218&amp;CC=CN&amp;NR=204166869U&amp;KC=U</v>
      </c>
    </row>
    <row r="1434" spans="3:5" x14ac:dyDescent="0.25">
      <c r="C1434" t="s">
        <v>1939</v>
      </c>
      <c r="D1434" t="s">
        <v>1940</v>
      </c>
      <c r="E1434" t="str">
        <f>HYPERLINK("https://worldwide.espacenet.com/publicationDetails/biblio?II=43&amp;ND=3&amp;adjacent=true&amp;locale=en_EP&amp;FT=D&amp;date=20141001&amp;CC=CN&amp;NR=203859884U&amp;KC=U")</f>
        <v>https://worldwide.espacenet.com/publicationDetails/biblio?II=43&amp;ND=3&amp;adjacent=true&amp;locale=en_EP&amp;FT=D&amp;date=20141001&amp;CC=CN&amp;NR=203859884U&amp;KC=U</v>
      </c>
    </row>
    <row r="1435" spans="3:5" x14ac:dyDescent="0.25">
      <c r="C1435" t="s">
        <v>1947</v>
      </c>
      <c r="D1435" t="s">
        <v>1948</v>
      </c>
      <c r="E1435" t="str">
        <f>HYPERLINK("https://worldwide.espacenet.com/publicationDetails/biblio?II=44&amp;ND=3&amp;adjacent=true&amp;locale=en_EP&amp;FT=D&amp;date=20140904&amp;CC=US&amp;NR=2014248911A1&amp;KC=A1")</f>
        <v>https://worldwide.espacenet.com/publicationDetails/biblio?II=44&amp;ND=3&amp;adjacent=true&amp;locale=en_EP&amp;FT=D&amp;date=20140904&amp;CC=US&amp;NR=2014248911A1&amp;KC=A1</v>
      </c>
    </row>
    <row r="1436" spans="3:5" x14ac:dyDescent="0.25">
      <c r="C1436" t="s">
        <v>2454</v>
      </c>
      <c r="D1436" t="s">
        <v>2455</v>
      </c>
      <c r="E1436" t="str">
        <f>HYPERLINK("https://worldwide.espacenet.com/publicationDetails/biblio?II=45&amp;ND=3&amp;adjacent=true&amp;locale=en_EP&amp;FT=D&amp;date=20140702&amp;CC=CN&amp;NR=103903536A&amp;KC=A")</f>
        <v>https://worldwide.espacenet.com/publicationDetails/biblio?II=45&amp;ND=3&amp;adjacent=true&amp;locale=en_EP&amp;FT=D&amp;date=20140702&amp;CC=CN&amp;NR=103903536A&amp;KC=A</v>
      </c>
    </row>
    <row r="1437" spans="3:5" x14ac:dyDescent="0.25">
      <c r="C1437" t="s">
        <v>2456</v>
      </c>
      <c r="D1437" t="s">
        <v>2457</v>
      </c>
      <c r="E1437" t="str">
        <f>HYPERLINK("https://worldwide.espacenet.com/publicationDetails/biblio?II=46&amp;ND=3&amp;adjacent=true&amp;locale=en_EP&amp;FT=D&amp;date=20140618&amp;CC=CN&amp;NR=203658686U&amp;KC=U")</f>
        <v>https://worldwide.espacenet.com/publicationDetails/biblio?II=46&amp;ND=3&amp;adjacent=true&amp;locale=en_EP&amp;FT=D&amp;date=20140618&amp;CC=CN&amp;NR=203658686U&amp;KC=U</v>
      </c>
    </row>
    <row r="1438" spans="3:5" x14ac:dyDescent="0.25">
      <c r="C1438" t="s">
        <v>2458</v>
      </c>
      <c r="D1438" t="s">
        <v>2459</v>
      </c>
      <c r="E1438" t="str">
        <f>HYPERLINK("https://worldwide.espacenet.com/publicationDetails/biblio?II=47&amp;ND=3&amp;adjacent=true&amp;locale=en_EP&amp;FT=D&amp;date=20140319&amp;CC=CN&amp;NR=103648192A&amp;KC=A")</f>
        <v>https://worldwide.espacenet.com/publicationDetails/biblio?II=47&amp;ND=3&amp;adjacent=true&amp;locale=en_EP&amp;FT=D&amp;date=20140319&amp;CC=CN&amp;NR=103648192A&amp;KC=A</v>
      </c>
    </row>
    <row r="1439" spans="3:5" x14ac:dyDescent="0.25">
      <c r="C1439" t="s">
        <v>2460</v>
      </c>
      <c r="D1439" t="s">
        <v>2461</v>
      </c>
      <c r="E1439" t="str">
        <f>HYPERLINK("https://worldwide.espacenet.com/publicationDetails/biblio?II=48&amp;ND=3&amp;adjacent=true&amp;locale=en_EP&amp;FT=D&amp;date=20140219&amp;CC=CN&amp;NR=203444335U&amp;KC=U")</f>
        <v>https://worldwide.espacenet.com/publicationDetails/biblio?II=48&amp;ND=3&amp;adjacent=true&amp;locale=en_EP&amp;FT=D&amp;date=20140219&amp;CC=CN&amp;NR=203444335U&amp;KC=U</v>
      </c>
    </row>
    <row r="1440" spans="3:5" x14ac:dyDescent="0.25">
      <c r="C1440" t="s">
        <v>2462</v>
      </c>
      <c r="D1440" t="s">
        <v>2463</v>
      </c>
      <c r="E1440" t="str">
        <f>HYPERLINK("https://worldwide.espacenet.com/publicationDetails/biblio?II=49&amp;ND=3&amp;adjacent=true&amp;locale=en_EP&amp;FT=D&amp;date=20140219&amp;CC=CN&amp;NR=203444334U&amp;KC=U")</f>
        <v>https://worldwide.espacenet.com/publicationDetails/biblio?II=49&amp;ND=3&amp;adjacent=true&amp;locale=en_EP&amp;FT=D&amp;date=20140219&amp;CC=CN&amp;NR=203444334U&amp;KC=U</v>
      </c>
    </row>
    <row r="1441" spans="3:5" x14ac:dyDescent="0.25">
      <c r="C1441" t="s">
        <v>2464</v>
      </c>
      <c r="D1441" t="s">
        <v>2465</v>
      </c>
      <c r="E1441" t="str">
        <f>HYPERLINK("https://worldwide.espacenet.com/publicationDetails/biblio?II=50&amp;ND=3&amp;adjacent=true&amp;locale=en_EP&amp;FT=D&amp;date=20140108&amp;CC=CN&amp;NR=103500385A&amp;KC=A")</f>
        <v>https://worldwide.espacenet.com/publicationDetails/biblio?II=50&amp;ND=3&amp;adjacent=true&amp;locale=en_EP&amp;FT=D&amp;date=20140108&amp;CC=CN&amp;NR=103500385A&amp;KC=A</v>
      </c>
    </row>
    <row r="1442" spans="3:5" x14ac:dyDescent="0.25">
      <c r="C1442" t="s">
        <v>2466</v>
      </c>
      <c r="D1442" t="s">
        <v>2467</v>
      </c>
      <c r="E1442" t="str">
        <f>HYPERLINK("https://worldwide.espacenet.com/publicationDetails/biblio?II=51&amp;ND=3&amp;adjacent=true&amp;locale=en_EP&amp;FT=D&amp;date=20131219&amp;CC=WO&amp;NR=2013185509A1&amp;KC=A1")</f>
        <v>https://worldwide.espacenet.com/publicationDetails/biblio?II=51&amp;ND=3&amp;adjacent=true&amp;locale=en_EP&amp;FT=D&amp;date=20131219&amp;CC=WO&amp;NR=2013185509A1&amp;KC=A1</v>
      </c>
    </row>
    <row r="1443" spans="3:5" x14ac:dyDescent="0.25">
      <c r="C1443" t="s">
        <v>2468</v>
      </c>
      <c r="D1443" t="s">
        <v>2469</v>
      </c>
      <c r="E1443" t="str">
        <f>HYPERLINK("https://worldwide.espacenet.com/publicationDetails/biblio?II=52&amp;ND=3&amp;adjacent=true&amp;locale=en_EP&amp;FT=D&amp;date=20131211&amp;CC=CN&amp;NR=203328031U&amp;KC=U")</f>
        <v>https://worldwide.espacenet.com/publicationDetails/biblio?II=52&amp;ND=3&amp;adjacent=true&amp;locale=en_EP&amp;FT=D&amp;date=20131211&amp;CC=CN&amp;NR=203328031U&amp;KC=U</v>
      </c>
    </row>
    <row r="1444" spans="3:5" x14ac:dyDescent="0.25">
      <c r="C1444" t="s">
        <v>2470</v>
      </c>
      <c r="D1444" t="s">
        <v>2471</v>
      </c>
      <c r="E1444" t="str">
        <f>HYPERLINK("https://worldwide.espacenet.com/publicationDetails/biblio?II=53&amp;ND=3&amp;adjacent=true&amp;locale=en_EP&amp;FT=D&amp;date=20131120&amp;CC=CN&amp;NR=203300181U&amp;KC=U")</f>
        <v>https://worldwide.espacenet.com/publicationDetails/biblio?II=53&amp;ND=3&amp;adjacent=true&amp;locale=en_EP&amp;FT=D&amp;date=20131120&amp;CC=CN&amp;NR=203300181U&amp;KC=U</v>
      </c>
    </row>
    <row r="1445" spans="3:5" x14ac:dyDescent="0.25">
      <c r="C1445" t="s">
        <v>2472</v>
      </c>
      <c r="D1445" t="s">
        <v>2473</v>
      </c>
      <c r="E1445" t="str">
        <f>HYPERLINK("https://worldwide.espacenet.com/publicationDetails/biblio?II=54&amp;ND=3&amp;adjacent=true&amp;locale=en_EP&amp;FT=D&amp;date=20131030&amp;CC=CN&amp;NR=203261320U&amp;KC=U")</f>
        <v>https://worldwide.espacenet.com/publicationDetails/biblio?II=54&amp;ND=3&amp;adjacent=true&amp;locale=en_EP&amp;FT=D&amp;date=20131030&amp;CC=CN&amp;NR=203261320U&amp;KC=U</v>
      </c>
    </row>
    <row r="1446" spans="3:5" x14ac:dyDescent="0.25">
      <c r="C1446" t="s">
        <v>2474</v>
      </c>
      <c r="D1446" t="s">
        <v>2475</v>
      </c>
      <c r="E1446" t="str">
        <f>HYPERLINK("https://worldwide.espacenet.com/publicationDetails/biblio?II=55&amp;ND=3&amp;adjacent=true&amp;locale=en_EP&amp;FT=D&amp;date=20131009&amp;CC=CN&amp;NR=103347123A&amp;KC=A")</f>
        <v>https://worldwide.espacenet.com/publicationDetails/biblio?II=55&amp;ND=3&amp;adjacent=true&amp;locale=en_EP&amp;FT=D&amp;date=20131009&amp;CC=CN&amp;NR=103347123A&amp;KC=A</v>
      </c>
    </row>
    <row r="1447" spans="3:5" x14ac:dyDescent="0.25">
      <c r="C1447" t="s">
        <v>2476</v>
      </c>
      <c r="D1447" t="s">
        <v>2477</v>
      </c>
      <c r="E1447" t="str">
        <f>HYPERLINK("https://worldwide.espacenet.com/publicationDetails/biblio?II=56&amp;ND=3&amp;adjacent=true&amp;locale=en_EP&amp;FT=D&amp;date=20131009&amp;CC=CN&amp;NR=103344970A&amp;KC=A")</f>
        <v>https://worldwide.espacenet.com/publicationDetails/biblio?II=56&amp;ND=3&amp;adjacent=true&amp;locale=en_EP&amp;FT=D&amp;date=20131009&amp;CC=CN&amp;NR=103344970A&amp;KC=A</v>
      </c>
    </row>
    <row r="1448" spans="3:5" x14ac:dyDescent="0.25">
      <c r="C1448" t="s">
        <v>2478</v>
      </c>
      <c r="D1448" t="s">
        <v>2479</v>
      </c>
      <c r="E1448" t="str">
        <f>HYPERLINK("https://worldwide.espacenet.com/publicationDetails/biblio?II=57&amp;ND=3&amp;adjacent=true&amp;locale=en_EP&amp;FT=D&amp;date=20130904&amp;CC=CN&amp;NR=203179461U&amp;KC=U")</f>
        <v>https://worldwide.espacenet.com/publicationDetails/biblio?II=57&amp;ND=3&amp;adjacent=true&amp;locale=en_EP&amp;FT=D&amp;date=20130904&amp;CC=CN&amp;NR=203179461U&amp;KC=U</v>
      </c>
    </row>
    <row r="1449" spans="3:5" x14ac:dyDescent="0.25">
      <c r="C1449" t="s">
        <v>2480</v>
      </c>
      <c r="D1449" t="s">
        <v>2481</v>
      </c>
      <c r="E1449" t="str">
        <f>HYPERLINK("https://worldwide.espacenet.com/publicationDetails/biblio?II=58&amp;ND=3&amp;adjacent=true&amp;locale=en_EP&amp;FT=D&amp;date=20130821&amp;CC=CN&amp;NR=203150071U&amp;KC=U")</f>
        <v>https://worldwide.espacenet.com/publicationDetails/biblio?II=58&amp;ND=3&amp;adjacent=true&amp;locale=en_EP&amp;FT=D&amp;date=20130821&amp;CC=CN&amp;NR=203150071U&amp;KC=U</v>
      </c>
    </row>
    <row r="1450" spans="3:5" x14ac:dyDescent="0.25">
      <c r="C1450" t="s">
        <v>2482</v>
      </c>
      <c r="D1450" t="s">
        <v>2483</v>
      </c>
      <c r="E1450" t="str">
        <f>HYPERLINK("https://worldwide.espacenet.com/publicationDetails/biblio?II=59&amp;ND=3&amp;adjacent=true&amp;locale=en_EP&amp;FT=D&amp;date=20130717&amp;CC=CN&amp;NR=203071629U&amp;KC=U")</f>
        <v>https://worldwide.espacenet.com/publicationDetails/biblio?II=59&amp;ND=3&amp;adjacent=true&amp;locale=en_EP&amp;FT=D&amp;date=20130717&amp;CC=CN&amp;NR=203071629U&amp;KC=U</v>
      </c>
    </row>
    <row r="1451" spans="3:5" x14ac:dyDescent="0.25">
      <c r="C1451" t="s">
        <v>2484</v>
      </c>
      <c r="D1451" t="s">
        <v>2485</v>
      </c>
      <c r="E1451" t="str">
        <f>HYPERLINK("https://worldwide.espacenet.com/publicationDetails/biblio?II=60&amp;ND=3&amp;adjacent=true&amp;locale=en_EP&amp;FT=D&amp;date=20130619&amp;CC=CN&amp;NR=103163885A&amp;KC=A")</f>
        <v>https://worldwide.espacenet.com/publicationDetails/biblio?II=60&amp;ND=3&amp;adjacent=true&amp;locale=en_EP&amp;FT=D&amp;date=20130619&amp;CC=CN&amp;NR=103163885A&amp;KC=A</v>
      </c>
    </row>
    <row r="1452" spans="3:5" x14ac:dyDescent="0.25">
      <c r="C1452" t="s">
        <v>2486</v>
      </c>
      <c r="D1452" t="s">
        <v>2487</v>
      </c>
      <c r="E1452" t="str">
        <f>HYPERLINK("https://worldwide.espacenet.com/publicationDetails/biblio?II=61&amp;ND=3&amp;adjacent=true&amp;locale=en_EP&amp;FT=D&amp;date=20130529&amp;CC=CN&amp;NR=202957014U&amp;KC=U")</f>
        <v>https://worldwide.espacenet.com/publicationDetails/biblio?II=61&amp;ND=3&amp;adjacent=true&amp;locale=en_EP&amp;FT=D&amp;date=20130529&amp;CC=CN&amp;NR=202957014U&amp;KC=U</v>
      </c>
    </row>
    <row r="1453" spans="3:5" x14ac:dyDescent="0.25">
      <c r="C1453" t="s">
        <v>2488</v>
      </c>
      <c r="D1453" t="s">
        <v>2489</v>
      </c>
      <c r="E1453" t="str">
        <f>HYPERLINK("https://worldwide.espacenet.com/publicationDetails/biblio?II=62&amp;ND=3&amp;adjacent=true&amp;locale=en_EP&amp;FT=D&amp;date=20121216&amp;CC=TW&amp;NR=201250624A&amp;KC=A")</f>
        <v>https://worldwide.espacenet.com/publicationDetails/biblio?II=62&amp;ND=3&amp;adjacent=true&amp;locale=en_EP&amp;FT=D&amp;date=20121216&amp;CC=TW&amp;NR=201250624A&amp;KC=A</v>
      </c>
    </row>
    <row r="1454" spans="3:5" x14ac:dyDescent="0.25">
      <c r="C1454" t="s">
        <v>2490</v>
      </c>
      <c r="D1454" t="s">
        <v>2491</v>
      </c>
      <c r="E1454" t="str">
        <f>HYPERLINK("https://worldwide.espacenet.com/publicationDetails/biblio?II=63&amp;ND=3&amp;adjacent=true&amp;locale=en_EP&amp;FT=D&amp;date=20130424&amp;CC=CN&amp;NR=202907025U&amp;KC=U")</f>
        <v>https://worldwide.espacenet.com/publicationDetails/biblio?II=63&amp;ND=3&amp;adjacent=true&amp;locale=en_EP&amp;FT=D&amp;date=20130424&amp;CC=CN&amp;NR=202907025U&amp;KC=U</v>
      </c>
    </row>
    <row r="1455" spans="3:5" x14ac:dyDescent="0.25">
      <c r="C1455" t="s">
        <v>2492</v>
      </c>
      <c r="D1455" t="s">
        <v>2493</v>
      </c>
      <c r="E1455" t="str">
        <f>HYPERLINK("https://worldwide.espacenet.com/publicationDetails/biblio?II=64&amp;ND=3&amp;adjacent=true&amp;locale=en_EP&amp;FT=D&amp;date=20130320&amp;CC=CN&amp;NR=202816320U&amp;KC=U")</f>
        <v>https://worldwide.espacenet.com/publicationDetails/biblio?II=64&amp;ND=3&amp;adjacent=true&amp;locale=en_EP&amp;FT=D&amp;date=20130320&amp;CC=CN&amp;NR=202816320U&amp;KC=U</v>
      </c>
    </row>
    <row r="1456" spans="3:5" x14ac:dyDescent="0.25">
      <c r="C1456" t="s">
        <v>2494</v>
      </c>
      <c r="D1456" t="s">
        <v>2495</v>
      </c>
      <c r="E1456" t="str">
        <f>HYPERLINK("https://worldwide.espacenet.com/publicationDetails/biblio?II=65&amp;ND=3&amp;adjacent=true&amp;locale=en_EP&amp;FT=D&amp;date=20130313&amp;CC=CN&amp;NR=102968941A&amp;KC=A")</f>
        <v>https://worldwide.espacenet.com/publicationDetails/biblio?II=65&amp;ND=3&amp;adjacent=true&amp;locale=en_EP&amp;FT=D&amp;date=20130313&amp;CC=CN&amp;NR=102968941A&amp;KC=A</v>
      </c>
    </row>
    <row r="1457" spans="3:5" x14ac:dyDescent="0.25">
      <c r="C1457" t="s">
        <v>2097</v>
      </c>
      <c r="D1457" t="s">
        <v>2098</v>
      </c>
      <c r="E1457" t="str">
        <f>HYPERLINK("https://worldwide.espacenet.com/publicationDetails/biblio?II=66&amp;ND=3&amp;adjacent=true&amp;locale=en_EP&amp;FT=D&amp;date=20130213&amp;CC=CN&amp;NR=102930805A&amp;KC=A")</f>
        <v>https://worldwide.espacenet.com/publicationDetails/biblio?II=66&amp;ND=3&amp;adjacent=true&amp;locale=en_EP&amp;FT=D&amp;date=20130213&amp;CC=CN&amp;NR=102930805A&amp;KC=A</v>
      </c>
    </row>
    <row r="1458" spans="3:5" x14ac:dyDescent="0.25">
      <c r="C1458" t="s">
        <v>2496</v>
      </c>
      <c r="D1458" t="s">
        <v>2497</v>
      </c>
      <c r="E1458" t="str">
        <f>HYPERLINK("https://worldwide.espacenet.com/publicationDetails/biblio?II=67&amp;ND=3&amp;adjacent=true&amp;locale=en_EP&amp;FT=D&amp;date=20130213&amp;CC=CN&amp;NR=102930801A&amp;KC=A")</f>
        <v>https://worldwide.espacenet.com/publicationDetails/biblio?II=67&amp;ND=3&amp;adjacent=true&amp;locale=en_EP&amp;FT=D&amp;date=20130213&amp;CC=CN&amp;NR=102930801A&amp;KC=A</v>
      </c>
    </row>
    <row r="1459" spans="3:5" x14ac:dyDescent="0.25">
      <c r="C1459" t="s">
        <v>2498</v>
      </c>
      <c r="D1459" t="s">
        <v>2499</v>
      </c>
      <c r="E1459" t="str">
        <f>HYPERLINK("https://worldwide.espacenet.com/publicationDetails/biblio?II=68&amp;ND=3&amp;adjacent=true&amp;locale=en_EP&amp;FT=D&amp;date=20130206&amp;CC=CN&amp;NR=102916757A&amp;KC=A")</f>
        <v>https://worldwide.espacenet.com/publicationDetails/biblio?II=68&amp;ND=3&amp;adjacent=true&amp;locale=en_EP&amp;FT=D&amp;date=20130206&amp;CC=CN&amp;NR=102916757A&amp;KC=A</v>
      </c>
    </row>
    <row r="1460" spans="3:5" x14ac:dyDescent="0.25">
      <c r="C1460" t="s">
        <v>2500</v>
      </c>
      <c r="D1460" t="s">
        <v>2501</v>
      </c>
      <c r="E1460" t="str">
        <f>HYPERLINK("https://worldwide.espacenet.com/publicationDetails/biblio?II=69&amp;ND=3&amp;adjacent=true&amp;locale=en_EP&amp;FT=D&amp;date=20121219&amp;CC=CN&amp;NR=202615752U&amp;KC=U")</f>
        <v>https://worldwide.espacenet.com/publicationDetails/biblio?II=69&amp;ND=3&amp;adjacent=true&amp;locale=en_EP&amp;FT=D&amp;date=20121219&amp;CC=CN&amp;NR=202615752U&amp;KC=U</v>
      </c>
    </row>
    <row r="1461" spans="3:5" x14ac:dyDescent="0.25">
      <c r="C1461" t="s">
        <v>2502</v>
      </c>
      <c r="D1461" t="s">
        <v>2503</v>
      </c>
      <c r="E1461" t="str">
        <f>HYPERLINK("https://worldwide.espacenet.com/publicationDetails/biblio?II=70&amp;ND=3&amp;adjacent=true&amp;locale=en_EP&amp;FT=D&amp;date=20121121&amp;CC=CN&amp;NR=202549236U&amp;KC=U")</f>
        <v>https://worldwide.espacenet.com/publicationDetails/biblio?II=70&amp;ND=3&amp;adjacent=true&amp;locale=en_EP&amp;FT=D&amp;date=20121121&amp;CC=CN&amp;NR=202549236U&amp;KC=U</v>
      </c>
    </row>
    <row r="1462" spans="3:5" x14ac:dyDescent="0.25">
      <c r="C1462" t="s">
        <v>2504</v>
      </c>
      <c r="D1462" t="s">
        <v>2505</v>
      </c>
      <c r="E1462" t="str">
        <f>HYPERLINK("https://worldwide.espacenet.com/publicationDetails/biblio?II=71&amp;ND=3&amp;adjacent=true&amp;locale=en_EP&amp;FT=D&amp;date=20121114&amp;CC=CN&amp;NR=102779464A&amp;KC=A")</f>
        <v>https://worldwide.espacenet.com/publicationDetails/biblio?II=71&amp;ND=3&amp;adjacent=true&amp;locale=en_EP&amp;FT=D&amp;date=20121114&amp;CC=CN&amp;NR=102779464A&amp;KC=A</v>
      </c>
    </row>
    <row r="1463" spans="3:5" x14ac:dyDescent="0.25">
      <c r="C1463" t="s">
        <v>2506</v>
      </c>
      <c r="D1463" t="s">
        <v>2507</v>
      </c>
      <c r="E1463" t="str">
        <f>HYPERLINK("https://worldwide.espacenet.com/publicationDetails/biblio?II=72&amp;ND=3&amp;adjacent=true&amp;locale=en_EP&amp;FT=D&amp;date=20120912&amp;CC=CN&amp;NR=202433914U&amp;KC=U")</f>
        <v>https://worldwide.espacenet.com/publicationDetails/biblio?II=72&amp;ND=3&amp;adjacent=true&amp;locale=en_EP&amp;FT=D&amp;date=20120912&amp;CC=CN&amp;NR=202433914U&amp;KC=U</v>
      </c>
    </row>
    <row r="1464" spans="3:5" x14ac:dyDescent="0.25">
      <c r="C1464" t="s">
        <v>2508</v>
      </c>
      <c r="D1464" t="s">
        <v>2509</v>
      </c>
      <c r="E1464" t="str">
        <f>HYPERLINK("https://worldwide.espacenet.com/publicationDetails/biblio?II=73&amp;ND=3&amp;adjacent=true&amp;locale=en_EP&amp;FT=D&amp;date=20120905&amp;CC=CN&amp;NR=102654963A&amp;KC=A")</f>
        <v>https://worldwide.espacenet.com/publicationDetails/biblio?II=73&amp;ND=3&amp;adjacent=true&amp;locale=en_EP&amp;FT=D&amp;date=20120905&amp;CC=CN&amp;NR=102654963A&amp;KC=A</v>
      </c>
    </row>
    <row r="1465" spans="3:5" x14ac:dyDescent="0.25">
      <c r="C1465" t="s">
        <v>2510</v>
      </c>
      <c r="D1465" t="s">
        <v>2511</v>
      </c>
      <c r="E1465" t="str">
        <f>HYPERLINK("https://worldwide.espacenet.com/publicationDetails/biblio?II=74&amp;ND=3&amp;adjacent=true&amp;locale=en_EP&amp;FT=D&amp;date=20120830&amp;CC=US&amp;NR=2012218412A1&amp;KC=A1")</f>
        <v>https://worldwide.espacenet.com/publicationDetails/biblio?II=74&amp;ND=3&amp;adjacent=true&amp;locale=en_EP&amp;FT=D&amp;date=20120830&amp;CC=US&amp;NR=2012218412A1&amp;KC=A1</v>
      </c>
    </row>
    <row r="1466" spans="3:5" x14ac:dyDescent="0.25">
      <c r="C1466" t="s">
        <v>2512</v>
      </c>
      <c r="D1466" t="s">
        <v>2513</v>
      </c>
      <c r="E1466" t="str">
        <f>HYPERLINK("https://worldwide.espacenet.com/publicationDetails/biblio?II=75&amp;ND=3&amp;adjacent=true&amp;locale=en_EP&amp;FT=D&amp;date=20120711&amp;CC=CN&amp;NR=102567600A&amp;KC=A")</f>
        <v>https://worldwide.espacenet.com/publicationDetails/biblio?II=75&amp;ND=3&amp;adjacent=true&amp;locale=en_EP&amp;FT=D&amp;date=20120711&amp;CC=CN&amp;NR=102567600A&amp;KC=A</v>
      </c>
    </row>
    <row r="1467" spans="3:5" x14ac:dyDescent="0.25">
      <c r="C1467" t="s">
        <v>2135</v>
      </c>
      <c r="D1467" t="s">
        <v>2136</v>
      </c>
      <c r="E1467" t="str">
        <f>HYPERLINK("https://worldwide.espacenet.com/publicationDetails/biblio?II=76&amp;ND=3&amp;adjacent=true&amp;locale=en_EP&amp;FT=D&amp;date=20120627&amp;CC=CN&amp;NR=102522085A&amp;KC=A")</f>
        <v>https://worldwide.espacenet.com/publicationDetails/biblio?II=76&amp;ND=3&amp;adjacent=true&amp;locale=en_EP&amp;FT=D&amp;date=20120627&amp;CC=CN&amp;NR=102522085A&amp;KC=A</v>
      </c>
    </row>
    <row r="1468" spans="3:5" x14ac:dyDescent="0.25">
      <c r="C1468" t="s">
        <v>2514</v>
      </c>
      <c r="D1468" t="s">
        <v>2515</v>
      </c>
      <c r="E1468" t="str">
        <f>HYPERLINK("https://worldwide.espacenet.com/publicationDetails/biblio?II=77&amp;ND=3&amp;adjacent=true&amp;locale=en_EP&amp;FT=D&amp;date=20120620&amp;CC=CN&amp;NR=102509528A&amp;KC=A")</f>
        <v>https://worldwide.espacenet.com/publicationDetails/biblio?II=77&amp;ND=3&amp;adjacent=true&amp;locale=en_EP&amp;FT=D&amp;date=20120620&amp;CC=CN&amp;NR=102509528A&amp;KC=A</v>
      </c>
    </row>
    <row r="1469" spans="3:5" x14ac:dyDescent="0.25">
      <c r="C1469" t="s">
        <v>2516</v>
      </c>
      <c r="D1469" t="s">
        <v>2517</v>
      </c>
      <c r="E1469" t="str">
        <f>HYPERLINK("https://worldwide.espacenet.com/publicationDetails/biblio?II=78&amp;ND=3&amp;adjacent=true&amp;locale=en_EP&amp;FT=D&amp;date=20120613&amp;CC=CN&amp;NR=202275407U&amp;KC=U")</f>
        <v>https://worldwide.espacenet.com/publicationDetails/biblio?II=78&amp;ND=3&amp;adjacent=true&amp;locale=en_EP&amp;FT=D&amp;date=20120613&amp;CC=CN&amp;NR=202275407U&amp;KC=U</v>
      </c>
    </row>
    <row r="1470" spans="3:5" x14ac:dyDescent="0.25">
      <c r="C1470" t="s">
        <v>2155</v>
      </c>
      <c r="D1470" t="s">
        <v>2156</v>
      </c>
      <c r="E1470" t="str">
        <f>HYPERLINK("https://worldwide.espacenet.com/publicationDetails/biblio?II=79&amp;ND=3&amp;adjacent=true&amp;locale=en_EP&amp;FT=D&amp;date=20120321&amp;CC=CN&amp;NR=102385662A&amp;KC=A")</f>
        <v>https://worldwide.espacenet.com/publicationDetails/biblio?II=79&amp;ND=3&amp;adjacent=true&amp;locale=en_EP&amp;FT=D&amp;date=20120321&amp;CC=CN&amp;NR=102385662A&amp;KC=A</v>
      </c>
    </row>
    <row r="1471" spans="3:5" x14ac:dyDescent="0.25">
      <c r="C1471" t="s">
        <v>1479</v>
      </c>
      <c r="D1471" t="s">
        <v>2172</v>
      </c>
      <c r="E1471" t="str">
        <f>HYPERLINK("https://worldwide.espacenet.com/publicationDetails/biblio?II=80&amp;ND=3&amp;adjacent=true&amp;locale=en_EP&amp;FT=D&amp;date=20111221&amp;CC=CN&amp;NR=202085225U&amp;KC=U")</f>
        <v>https://worldwide.espacenet.com/publicationDetails/biblio?II=80&amp;ND=3&amp;adjacent=true&amp;locale=en_EP&amp;FT=D&amp;date=20111221&amp;CC=CN&amp;NR=202085225U&amp;KC=U</v>
      </c>
    </row>
    <row r="1472" spans="3:5" x14ac:dyDescent="0.25">
      <c r="C1472" t="s">
        <v>2518</v>
      </c>
      <c r="D1472" t="s">
        <v>2519</v>
      </c>
      <c r="E1472" t="str">
        <f>HYPERLINK("https://worldwide.espacenet.com/publicationDetails/biblio?II=81&amp;ND=3&amp;adjacent=true&amp;locale=en_EP&amp;FT=D&amp;date=20111221&amp;CC=CN&amp;NR=202084270U&amp;KC=U")</f>
        <v>https://worldwide.espacenet.com/publicationDetails/biblio?II=81&amp;ND=3&amp;adjacent=true&amp;locale=en_EP&amp;FT=D&amp;date=20111221&amp;CC=CN&amp;NR=202084270U&amp;KC=U</v>
      </c>
    </row>
    <row r="1473" spans="3:5" x14ac:dyDescent="0.25">
      <c r="C1473" t="s">
        <v>2512</v>
      </c>
      <c r="D1473" t="s">
        <v>2520</v>
      </c>
      <c r="E1473" t="str">
        <f>HYPERLINK("https://worldwide.espacenet.com/publicationDetails/biblio?II=82&amp;ND=3&amp;adjacent=true&amp;locale=en_EP&amp;FT=D&amp;date=20111130&amp;CC=CN&amp;NR=202058142U&amp;KC=U")</f>
        <v>https://worldwide.espacenet.com/publicationDetails/biblio?II=82&amp;ND=3&amp;adjacent=true&amp;locale=en_EP&amp;FT=D&amp;date=20111130&amp;CC=CN&amp;NR=202058142U&amp;KC=U</v>
      </c>
    </row>
    <row r="1474" spans="3:5" x14ac:dyDescent="0.25">
      <c r="C1474" t="s">
        <v>2521</v>
      </c>
      <c r="D1474" t="s">
        <v>2522</v>
      </c>
      <c r="E1474" t="str">
        <f>HYPERLINK("https://worldwide.espacenet.com/publicationDetails/biblio?II=83&amp;ND=3&amp;adjacent=true&amp;locale=en_EP&amp;FT=D&amp;date=20100516&amp;CC=TW&amp;NR=201019279A&amp;KC=A")</f>
        <v>https://worldwide.espacenet.com/publicationDetails/biblio?II=83&amp;ND=3&amp;adjacent=true&amp;locale=en_EP&amp;FT=D&amp;date=20100516&amp;CC=TW&amp;NR=201019279A&amp;KC=A</v>
      </c>
    </row>
    <row r="1475" spans="3:5" x14ac:dyDescent="0.25">
      <c r="C1475" t="s">
        <v>2414</v>
      </c>
      <c r="D1475" t="s">
        <v>2523</v>
      </c>
      <c r="E1475" t="str">
        <f>HYPERLINK("https://worldwide.espacenet.com/publicationDetails/biblio?II=84&amp;ND=3&amp;adjacent=true&amp;locale=en_EP&amp;FT=D&amp;date=20090116&amp;CC=TW&amp;NR=200903012A&amp;KC=A")</f>
        <v>https://worldwide.espacenet.com/publicationDetails/biblio?II=84&amp;ND=3&amp;adjacent=true&amp;locale=en_EP&amp;FT=D&amp;date=20090116&amp;CC=TW&amp;NR=200903012A&amp;KC=A</v>
      </c>
    </row>
    <row r="1476" spans="3:5" x14ac:dyDescent="0.25">
      <c r="C1476" t="s">
        <v>2524</v>
      </c>
      <c r="D1476" t="s">
        <v>2525</v>
      </c>
      <c r="E1476" t="str">
        <f>HYPERLINK("https://worldwide.espacenet.com/publicationDetails/biblio?II=85&amp;ND=3&amp;adjacent=true&amp;locale=en_EP&amp;FT=D&amp;date=20110706&amp;CC=CN&amp;NR=102118708A&amp;KC=A")</f>
        <v>https://worldwide.espacenet.com/publicationDetails/biblio?II=85&amp;ND=3&amp;adjacent=true&amp;locale=en_EP&amp;FT=D&amp;date=20110706&amp;CC=CN&amp;NR=102118708A&amp;KC=A</v>
      </c>
    </row>
    <row r="1477" spans="3:5" x14ac:dyDescent="0.25">
      <c r="C1477" t="s">
        <v>2526</v>
      </c>
      <c r="D1477" t="s">
        <v>2527</v>
      </c>
      <c r="E1477" t="str">
        <f>HYPERLINK("https://worldwide.espacenet.com/publicationDetails/biblio?II=86&amp;ND=3&amp;adjacent=true&amp;locale=en_EP&amp;FT=D&amp;date=20110706&amp;CC=CN&amp;NR=102117585A&amp;KC=A")</f>
        <v>https://worldwide.espacenet.com/publicationDetails/biblio?II=86&amp;ND=3&amp;adjacent=true&amp;locale=en_EP&amp;FT=D&amp;date=20110706&amp;CC=CN&amp;NR=102117585A&amp;KC=A</v>
      </c>
    </row>
    <row r="1478" spans="3:5" x14ac:dyDescent="0.25">
      <c r="C1478" t="s">
        <v>2528</v>
      </c>
      <c r="D1478" t="s">
        <v>2529</v>
      </c>
      <c r="E1478" t="str">
        <f>HYPERLINK("https://worldwide.espacenet.com/publicationDetails/biblio?II=87&amp;ND=3&amp;adjacent=true&amp;locale=en_EP&amp;FT=D&amp;date=20110525&amp;CC=CN&amp;NR=201846478U&amp;KC=U")</f>
        <v>https://worldwide.espacenet.com/publicationDetails/biblio?II=87&amp;ND=3&amp;adjacent=true&amp;locale=en_EP&amp;FT=D&amp;date=20110525&amp;CC=CN&amp;NR=201846478U&amp;KC=U</v>
      </c>
    </row>
    <row r="1479" spans="3:5" x14ac:dyDescent="0.25">
      <c r="C1479" t="s">
        <v>2530</v>
      </c>
      <c r="D1479" t="s">
        <v>2531</v>
      </c>
      <c r="E1479" t="str">
        <f>HYPERLINK("https://worldwide.espacenet.com/publicationDetails/biblio?II=88&amp;ND=3&amp;adjacent=true&amp;locale=en_EP&amp;FT=D&amp;date=20110525&amp;CC=CN&amp;NR=201845529U&amp;KC=U")</f>
        <v>https://worldwide.espacenet.com/publicationDetails/biblio?II=88&amp;ND=3&amp;adjacent=true&amp;locale=en_EP&amp;FT=D&amp;date=20110525&amp;CC=CN&amp;NR=201845529U&amp;KC=U</v>
      </c>
    </row>
    <row r="1480" spans="3:5" x14ac:dyDescent="0.25">
      <c r="C1480" t="s">
        <v>2532</v>
      </c>
      <c r="D1480" t="s">
        <v>2533</v>
      </c>
      <c r="E1480" t="str">
        <f>HYPERLINK("https://worldwide.espacenet.com/publicationDetails/biblio?II=89&amp;ND=3&amp;adjacent=true&amp;locale=en_EP&amp;FT=D&amp;date=20110525&amp;CC=CN&amp;NR=201845528U&amp;KC=U")</f>
        <v>https://worldwide.espacenet.com/publicationDetails/biblio?II=89&amp;ND=3&amp;adjacent=true&amp;locale=en_EP&amp;FT=D&amp;date=20110525&amp;CC=CN&amp;NR=201845528U&amp;KC=U</v>
      </c>
    </row>
    <row r="1481" spans="3:5" x14ac:dyDescent="0.25">
      <c r="C1481" t="s">
        <v>2534</v>
      </c>
      <c r="D1481" t="s">
        <v>2535</v>
      </c>
      <c r="E1481" t="str">
        <f>HYPERLINK("https://worldwide.espacenet.com/publicationDetails/biblio?II=90&amp;ND=3&amp;adjacent=true&amp;locale=en_EP&amp;FT=D&amp;date=20110511&amp;CC=CN&amp;NR=201829165U&amp;KC=U")</f>
        <v>https://worldwide.espacenet.com/publicationDetails/biblio?II=90&amp;ND=3&amp;adjacent=true&amp;locale=en_EP&amp;FT=D&amp;date=20110511&amp;CC=CN&amp;NR=201829165U&amp;KC=U</v>
      </c>
    </row>
    <row r="1482" spans="3:5" x14ac:dyDescent="0.25">
      <c r="C1482" t="s">
        <v>2208</v>
      </c>
      <c r="D1482" t="s">
        <v>2209</v>
      </c>
      <c r="E1482" t="str">
        <f>HYPERLINK("https://worldwide.espacenet.com/publicationDetails/biblio?II=91&amp;ND=3&amp;adjacent=true&amp;locale=en_EP&amp;FT=D&amp;date=20110511&amp;CC=CN&amp;NR=102055501A&amp;KC=A")</f>
        <v>https://worldwide.espacenet.com/publicationDetails/biblio?II=91&amp;ND=3&amp;adjacent=true&amp;locale=en_EP&amp;FT=D&amp;date=20110511&amp;CC=CN&amp;NR=102055501A&amp;KC=A</v>
      </c>
    </row>
    <row r="1483" spans="3:5" x14ac:dyDescent="0.25">
      <c r="C1483" t="s">
        <v>2212</v>
      </c>
      <c r="D1483" t="s">
        <v>2213</v>
      </c>
      <c r="E1483" t="str">
        <f>HYPERLINK("https://worldwide.espacenet.com/publicationDetails/biblio?II=92&amp;ND=3&amp;adjacent=true&amp;locale=en_EP&amp;FT=D&amp;date=20110427&amp;CC=CN&amp;NR=201813535U&amp;KC=U")</f>
        <v>https://worldwide.espacenet.com/publicationDetails/biblio?II=92&amp;ND=3&amp;adjacent=true&amp;locale=en_EP&amp;FT=D&amp;date=20110427&amp;CC=CN&amp;NR=201813535U&amp;KC=U</v>
      </c>
    </row>
    <row r="1484" spans="3:5" x14ac:dyDescent="0.25">
      <c r="C1484" t="s">
        <v>2536</v>
      </c>
      <c r="D1484" t="s">
        <v>2537</v>
      </c>
      <c r="E1484" t="str">
        <f>HYPERLINK("https://worldwide.espacenet.com/publicationDetails/biblio?II=93&amp;ND=3&amp;adjacent=true&amp;locale=en_EP&amp;FT=D&amp;date=20110216&amp;CC=CN&amp;NR=101976405A&amp;KC=A")</f>
        <v>https://worldwide.espacenet.com/publicationDetails/biblio?II=93&amp;ND=3&amp;adjacent=true&amp;locale=en_EP&amp;FT=D&amp;date=20110216&amp;CC=CN&amp;NR=101976405A&amp;KC=A</v>
      </c>
    </row>
    <row r="1485" spans="3:5" x14ac:dyDescent="0.25">
      <c r="C1485" t="s">
        <v>2538</v>
      </c>
      <c r="D1485" t="s">
        <v>2539</v>
      </c>
      <c r="E1485" t="str">
        <f>HYPERLINK("https://worldwide.espacenet.com/publicationDetails/biblio?II=94&amp;ND=3&amp;adjacent=true&amp;locale=en_EP&amp;FT=D&amp;date=20110112&amp;CC=CN&amp;NR=201707735U&amp;KC=U")</f>
        <v>https://worldwide.espacenet.com/publicationDetails/biblio?II=94&amp;ND=3&amp;adjacent=true&amp;locale=en_EP&amp;FT=D&amp;date=20110112&amp;CC=CN&amp;NR=201707735U&amp;KC=U</v>
      </c>
    </row>
    <row r="1486" spans="3:5" x14ac:dyDescent="0.25">
      <c r="C1486" t="s">
        <v>2232</v>
      </c>
      <c r="D1486" t="s">
        <v>2233</v>
      </c>
      <c r="E1486" t="str">
        <f>HYPERLINK("https://worldwide.espacenet.com/publicationDetails/biblio?II=95&amp;ND=3&amp;adjacent=true&amp;locale=en_EP&amp;FT=D&amp;date=20101103&amp;CC=CN&amp;NR=201622346U&amp;KC=U")</f>
        <v>https://worldwide.espacenet.com/publicationDetails/biblio?II=95&amp;ND=3&amp;adjacent=true&amp;locale=en_EP&amp;FT=D&amp;date=20101103&amp;CC=CN&amp;NR=201622346U&amp;KC=U</v>
      </c>
    </row>
    <row r="1487" spans="3:5" x14ac:dyDescent="0.25">
      <c r="C1487" t="s">
        <v>2540</v>
      </c>
      <c r="D1487" t="s">
        <v>2541</v>
      </c>
      <c r="E1487" t="str">
        <f>HYPERLINK("https://worldwide.espacenet.com/publicationDetails/biblio?II=96&amp;ND=3&amp;adjacent=true&amp;locale=en_EP&amp;FT=D&amp;date=20100602&amp;CC=CN&amp;NR=201499166U&amp;KC=U")</f>
        <v>https://worldwide.espacenet.com/publicationDetails/biblio?II=96&amp;ND=3&amp;adjacent=true&amp;locale=en_EP&amp;FT=D&amp;date=20100602&amp;CC=CN&amp;NR=201499166U&amp;KC=U</v>
      </c>
    </row>
    <row r="1488" spans="3:5" x14ac:dyDescent="0.25">
      <c r="C1488" t="s">
        <v>2244</v>
      </c>
      <c r="D1488" t="s">
        <v>2245</v>
      </c>
      <c r="E1488" t="str">
        <f>HYPERLINK("https://worldwide.espacenet.com/publicationDetails/biblio?II=97&amp;ND=3&amp;adjacent=true&amp;locale=en_EP&amp;FT=D&amp;date=20100512&amp;CC=CN&amp;NR=201465512U&amp;KC=U")</f>
        <v>https://worldwide.espacenet.com/publicationDetails/biblio?II=97&amp;ND=3&amp;adjacent=true&amp;locale=en_EP&amp;FT=D&amp;date=20100512&amp;CC=CN&amp;NR=201465512U&amp;KC=U</v>
      </c>
    </row>
    <row r="1489" spans="3:5" x14ac:dyDescent="0.25">
      <c r="C1489" t="s">
        <v>2542</v>
      </c>
      <c r="D1489" t="s">
        <v>2543</v>
      </c>
      <c r="E1489" t="str">
        <f>HYPERLINK("https://worldwide.espacenet.com/publicationDetails/biblio?II=98&amp;ND=3&amp;adjacent=true&amp;locale=en_EP&amp;FT=D&amp;date=20100224&amp;CC=CN&amp;NR=101656545A&amp;KC=A")</f>
        <v>https://worldwide.espacenet.com/publicationDetails/biblio?II=98&amp;ND=3&amp;adjacent=true&amp;locale=en_EP&amp;FT=D&amp;date=20100224&amp;CC=CN&amp;NR=101656545A&amp;KC=A</v>
      </c>
    </row>
    <row r="1490" spans="3:5" x14ac:dyDescent="0.25">
      <c r="C1490" t="s">
        <v>2544</v>
      </c>
      <c r="D1490" t="s">
        <v>2545</v>
      </c>
      <c r="E1490" t="str">
        <f>HYPERLINK("https://worldwide.espacenet.com/publicationDetails/biblio?II=99&amp;ND=3&amp;adjacent=true&amp;locale=en_EP&amp;FT=D&amp;date=20100106&amp;CC=CN&amp;NR=101620814A&amp;KC=A")</f>
        <v>https://worldwide.espacenet.com/publicationDetails/biblio?II=99&amp;ND=3&amp;adjacent=true&amp;locale=en_EP&amp;FT=D&amp;date=20100106&amp;CC=CN&amp;NR=101620814A&amp;KC=A</v>
      </c>
    </row>
    <row r="1491" spans="3:5" x14ac:dyDescent="0.25">
      <c r="C1491" t="s">
        <v>2546</v>
      </c>
      <c r="D1491" t="s">
        <v>2547</v>
      </c>
      <c r="E1491" t="str">
        <f>HYPERLINK("https://worldwide.espacenet.com/publicationDetails/biblio?II=100&amp;ND=3&amp;adjacent=true&amp;locale=en_EP&amp;FT=D&amp;date=20100106&amp;CC=CN&amp;NR=101619982A&amp;KC=A")</f>
        <v>https://worldwide.espacenet.com/publicationDetails/biblio?II=100&amp;ND=3&amp;adjacent=true&amp;locale=en_EP&amp;FT=D&amp;date=20100106&amp;CC=CN&amp;NR=101619982A&amp;KC=A</v>
      </c>
    </row>
    <row r="1492" spans="3:5" x14ac:dyDescent="0.25">
      <c r="C1492" t="s">
        <v>2548</v>
      </c>
      <c r="D1492" t="s">
        <v>2549</v>
      </c>
      <c r="E1492" t="str">
        <f>HYPERLINK("https://worldwide.espacenet.com/publicationDetails/biblio?II=101&amp;ND=3&amp;adjacent=true&amp;locale=en_EP&amp;FT=D&amp;date=20091111&amp;CC=CN&amp;NR=201345212Y&amp;KC=Y")</f>
        <v>https://worldwide.espacenet.com/publicationDetails/biblio?II=101&amp;ND=3&amp;adjacent=true&amp;locale=en_EP&amp;FT=D&amp;date=20091111&amp;CC=CN&amp;NR=201345212Y&amp;KC=Y</v>
      </c>
    </row>
    <row r="1493" spans="3:5" x14ac:dyDescent="0.25">
      <c r="C1493" t="s">
        <v>2550</v>
      </c>
      <c r="D1493" t="s">
        <v>2551</v>
      </c>
      <c r="E1493" t="str">
        <f>HYPERLINK("https://worldwide.espacenet.com/publicationDetails/biblio?II=102&amp;ND=3&amp;adjacent=true&amp;locale=en_EP&amp;FT=D&amp;date=20090715&amp;CC=CN&amp;NR=201274149Y&amp;KC=Y")</f>
        <v>https://worldwide.espacenet.com/publicationDetails/biblio?II=102&amp;ND=3&amp;adjacent=true&amp;locale=en_EP&amp;FT=D&amp;date=20090715&amp;CC=CN&amp;NR=201274149Y&amp;KC=Y</v>
      </c>
    </row>
    <row r="1494" spans="3:5" x14ac:dyDescent="0.25">
      <c r="C1494" t="s">
        <v>2552</v>
      </c>
      <c r="D1494" t="s">
        <v>2553</v>
      </c>
      <c r="E1494" t="str">
        <f>HYPERLINK("https://worldwide.espacenet.com/publicationDetails/biblio?II=103&amp;ND=3&amp;adjacent=true&amp;locale=en_EP&amp;FT=D&amp;date=20090617&amp;CC=CN&amp;NR=201259771Y&amp;KC=Y")</f>
        <v>https://worldwide.espacenet.com/publicationDetails/biblio?II=103&amp;ND=3&amp;adjacent=true&amp;locale=en_EP&amp;FT=D&amp;date=20090617&amp;CC=CN&amp;NR=201259771Y&amp;KC=Y</v>
      </c>
    </row>
    <row r="1495" spans="3:5" x14ac:dyDescent="0.25">
      <c r="C1495" t="s">
        <v>2554</v>
      </c>
      <c r="D1495" t="s">
        <v>2555</v>
      </c>
      <c r="E1495" t="str">
        <f>HYPERLINK("https://worldwide.espacenet.com/publicationDetails/biblio?II=104&amp;ND=3&amp;adjacent=true&amp;locale=en_EP&amp;FT=D&amp;date=20090318&amp;CC=KR&amp;NR=20090028180A&amp;KC=A")</f>
        <v>https://worldwide.espacenet.com/publicationDetails/biblio?II=104&amp;ND=3&amp;adjacent=true&amp;locale=en_EP&amp;FT=D&amp;date=20090318&amp;CC=KR&amp;NR=20090028180A&amp;KC=A</v>
      </c>
    </row>
    <row r="1496" spans="3:5" x14ac:dyDescent="0.25">
      <c r="C1496" t="s">
        <v>2556</v>
      </c>
      <c r="D1496" t="s">
        <v>2557</v>
      </c>
      <c r="E1496" t="str">
        <f>HYPERLINK("https://worldwide.espacenet.com/publicationDetails/biblio?II=105&amp;ND=3&amp;adjacent=true&amp;locale=en_EP&amp;FT=D&amp;date=20090513&amp;CC=CN&amp;NR=101430767A&amp;KC=A")</f>
        <v>https://worldwide.espacenet.com/publicationDetails/biblio?II=105&amp;ND=3&amp;adjacent=true&amp;locale=en_EP&amp;FT=D&amp;date=20090513&amp;CC=CN&amp;NR=101430767A&amp;KC=A</v>
      </c>
    </row>
    <row r="1497" spans="3:5" x14ac:dyDescent="0.25">
      <c r="C1497" t="s">
        <v>2558</v>
      </c>
      <c r="D1497" t="s">
        <v>2559</v>
      </c>
      <c r="E1497" t="str">
        <f>HYPERLINK("https://worldwide.espacenet.com/publicationDetails/biblio?II=106&amp;ND=3&amp;adjacent=true&amp;locale=en_EP&amp;FT=D&amp;date=20090513&amp;CC=CN&amp;NR=101430766A&amp;KC=A")</f>
        <v>https://worldwide.espacenet.com/publicationDetails/biblio?II=106&amp;ND=3&amp;adjacent=true&amp;locale=en_EP&amp;FT=D&amp;date=20090513&amp;CC=CN&amp;NR=101430766A&amp;KC=A</v>
      </c>
    </row>
    <row r="1498" spans="3:5" x14ac:dyDescent="0.25">
      <c r="C1498" t="s">
        <v>2560</v>
      </c>
      <c r="D1498" t="s">
        <v>2561</v>
      </c>
      <c r="E1498" t="str">
        <f>HYPERLINK("https://worldwide.espacenet.com/publicationDetails/biblio?II=107&amp;ND=3&amp;adjacent=true&amp;locale=en_EP&amp;FT=D&amp;date=20090112&amp;CC=KR&amp;NR=20090003524A&amp;KC=A")</f>
        <v>https://worldwide.espacenet.com/publicationDetails/biblio?II=107&amp;ND=3&amp;adjacent=true&amp;locale=en_EP&amp;FT=D&amp;date=20090112&amp;CC=KR&amp;NR=20090003524A&amp;KC=A</v>
      </c>
    </row>
    <row r="1499" spans="3:5" x14ac:dyDescent="0.25">
      <c r="C1499" t="s">
        <v>2562</v>
      </c>
      <c r="D1499" t="s">
        <v>2563</v>
      </c>
      <c r="E1499" t="str">
        <f>HYPERLINK("https://worldwide.espacenet.com/publicationDetails/biblio?II=108&amp;ND=3&amp;adjacent=true&amp;locale=en_EP&amp;FT=D&amp;date=20090318&amp;CC=CN&amp;NR=101388166A&amp;KC=A")</f>
        <v>https://worldwide.espacenet.com/publicationDetails/biblio?II=108&amp;ND=3&amp;adjacent=true&amp;locale=en_EP&amp;FT=D&amp;date=20090318&amp;CC=CN&amp;NR=101388166A&amp;KC=A</v>
      </c>
    </row>
    <row r="1500" spans="3:5" x14ac:dyDescent="0.25">
      <c r="C1500" t="s">
        <v>2564</v>
      </c>
      <c r="D1500" t="s">
        <v>2565</v>
      </c>
      <c r="E1500" t="str">
        <f>HYPERLINK("https://worldwide.espacenet.com/publicationDetails/biblio?II=109&amp;ND=3&amp;adjacent=true&amp;locale=en_EP&amp;FT=D&amp;date=20080924&amp;CC=CN&amp;NR=201122418Y&amp;KC=Y")</f>
        <v>https://worldwide.espacenet.com/publicationDetails/biblio?II=109&amp;ND=3&amp;adjacent=true&amp;locale=en_EP&amp;FT=D&amp;date=20080924&amp;CC=CN&amp;NR=201122418Y&amp;KC=Y</v>
      </c>
    </row>
    <row r="1501" spans="3:5" x14ac:dyDescent="0.25">
      <c r="C1501" t="s">
        <v>2280</v>
      </c>
      <c r="D1501" t="s">
        <v>2281</v>
      </c>
      <c r="E1501" t="str">
        <f>HYPERLINK("https://worldwide.espacenet.com/publicationDetails/biblio?II=110&amp;ND=3&amp;adjacent=true&amp;locale=en_EP&amp;FT=D&amp;date=20080827&amp;CC=CN&amp;NR=101252722A&amp;KC=A")</f>
        <v>https://worldwide.espacenet.com/publicationDetails/biblio?II=110&amp;ND=3&amp;adjacent=true&amp;locale=en_EP&amp;FT=D&amp;date=20080827&amp;CC=CN&amp;NR=101252722A&amp;KC=A</v>
      </c>
    </row>
    <row r="1502" spans="3:5" x14ac:dyDescent="0.25">
      <c r="C1502" t="s">
        <v>2282</v>
      </c>
      <c r="D1502" t="s">
        <v>2283</v>
      </c>
      <c r="E1502" t="str">
        <f>HYPERLINK("https://worldwide.espacenet.com/publicationDetails/biblio?II=111&amp;ND=3&amp;adjacent=true&amp;locale=en_EP&amp;FT=D&amp;date=20080903&amp;CC=CN&amp;NR=101257672A&amp;KC=A")</f>
        <v>https://worldwide.espacenet.com/publicationDetails/biblio?II=111&amp;ND=3&amp;adjacent=true&amp;locale=en_EP&amp;FT=D&amp;date=20080903&amp;CC=CN&amp;NR=101257672A&amp;KC=A</v>
      </c>
    </row>
    <row r="1503" spans="3:5" x14ac:dyDescent="0.25">
      <c r="C1503" t="s">
        <v>2284</v>
      </c>
      <c r="D1503" t="s">
        <v>2285</v>
      </c>
      <c r="E1503" t="str">
        <f>HYPERLINK("https://worldwide.espacenet.com/publicationDetails/biblio?II=112&amp;ND=3&amp;adjacent=true&amp;locale=en_EP&amp;FT=D&amp;date=20020711&amp;CC=US&amp;NR=2002091793A1&amp;KC=A1")</f>
        <v>https://worldwide.espacenet.com/publicationDetails/biblio?II=112&amp;ND=3&amp;adjacent=true&amp;locale=en_EP&amp;FT=D&amp;date=20020711&amp;CC=US&amp;NR=2002091793A1&amp;KC=A1</v>
      </c>
    </row>
    <row r="1504" spans="3:5" x14ac:dyDescent="0.25">
      <c r="C1504" t="s">
        <v>2566</v>
      </c>
      <c r="D1504" t="s">
        <v>2567</v>
      </c>
      <c r="E1504" t="str">
        <f>HYPERLINK("https://worldwide.espacenet.com/publicationDetails/biblio?II=113&amp;ND=3&amp;adjacent=true&amp;locale=en_EP&amp;FT=D&amp;date=19790731&amp;CC=US&amp;NR=4163123A&amp;KC=A")</f>
        <v>https://worldwide.espacenet.com/publicationDetails/biblio?II=113&amp;ND=3&amp;adjacent=true&amp;locale=en_EP&amp;FT=D&amp;date=19790731&amp;CC=US&amp;NR=4163123A&amp;KC=A</v>
      </c>
    </row>
    <row r="1505" spans="1:5" x14ac:dyDescent="0.25">
      <c r="C1505" t="s">
        <v>2568</v>
      </c>
      <c r="D1505" t="s">
        <v>2569</v>
      </c>
      <c r="E1505" t="str">
        <f>HYPERLINK("https://worldwide.espacenet.com/publicationDetails/biblio?II=114&amp;ND=3&amp;adjacent=true&amp;locale=en_EP&amp;FT=D&amp;date=20030109&amp;CC=US&amp;NR=2003009281A1&amp;KC=A1")</f>
        <v>https://worldwide.espacenet.com/publicationDetails/biblio?II=114&amp;ND=3&amp;adjacent=true&amp;locale=en_EP&amp;FT=D&amp;date=20030109&amp;CC=US&amp;NR=2003009281A1&amp;KC=A1</v>
      </c>
    </row>
    <row r="1506" spans="1:5" x14ac:dyDescent="0.25">
      <c r="C1506" t="s">
        <v>2570</v>
      </c>
      <c r="D1506" t="s">
        <v>2571</v>
      </c>
      <c r="E1506" t="str">
        <f>HYPERLINK("https://worldwide.espacenet.com/publicationDetails/biblio?II=115&amp;ND=3&amp;adjacent=true&amp;locale=en_EP&amp;FT=D&amp;date=20020718&amp;CC=US&amp;NR=2002093435A1&amp;KC=A1")</f>
        <v>https://worldwide.espacenet.com/publicationDetails/biblio?II=115&amp;ND=3&amp;adjacent=true&amp;locale=en_EP&amp;FT=D&amp;date=20020718&amp;CC=US&amp;NR=2002093435A1&amp;KC=A1</v>
      </c>
    </row>
    <row r="1507" spans="1:5" x14ac:dyDescent="0.25">
      <c r="C1507" t="s">
        <v>2572</v>
      </c>
      <c r="D1507" t="s">
        <v>2573</v>
      </c>
      <c r="E1507" t="str">
        <f>HYPERLINK("https://worldwide.espacenet.com/publicationDetails/biblio?II=116&amp;ND=3&amp;adjacent=true&amp;locale=en_EP&amp;FT=D&amp;date=20050505&amp;CC=US&amp;NR=2005096843A1&amp;KC=A1")</f>
        <v>https://worldwide.espacenet.com/publicationDetails/biblio?II=116&amp;ND=3&amp;adjacent=true&amp;locale=en_EP&amp;FT=D&amp;date=20050505&amp;CC=US&amp;NR=2005096843A1&amp;KC=A1</v>
      </c>
    </row>
    <row r="1508" spans="1:5" x14ac:dyDescent="0.25">
      <c r="C1508" t="s">
        <v>2574</v>
      </c>
      <c r="D1508" t="s">
        <v>2575</v>
      </c>
      <c r="E1508" t="str">
        <f>HYPERLINK("https://worldwide.espacenet.com/publicationDetails/biblio?II=117&amp;ND=3&amp;adjacent=true&amp;locale=en_EP&amp;FT=D&amp;date=19980616&amp;CC=US&amp;NR=5767795A&amp;KC=A")</f>
        <v>https://worldwide.espacenet.com/publicationDetails/biblio?II=117&amp;ND=3&amp;adjacent=true&amp;locale=en_EP&amp;FT=D&amp;date=19980616&amp;CC=US&amp;NR=5767795A&amp;KC=A</v>
      </c>
    </row>
    <row r="1509" spans="1:5" x14ac:dyDescent="0.25">
      <c r="C1509" t="s">
        <v>2566</v>
      </c>
      <c r="D1509" t="s">
        <v>2576</v>
      </c>
      <c r="E1509" t="str">
        <f>HYPERLINK("https://worldwide.espacenet.com/publicationDetails/biblio?II=118&amp;ND=3&amp;adjacent=true&amp;locale=en_EP&amp;FT=D&amp;date=20070726&amp;CC=US&amp;NR=2007174042A1&amp;KC=A1")</f>
        <v>https://worldwide.espacenet.com/publicationDetails/biblio?II=118&amp;ND=3&amp;adjacent=true&amp;locale=en_EP&amp;FT=D&amp;date=20070726&amp;CC=US&amp;NR=2007174042A1&amp;KC=A1</v>
      </c>
    </row>
    <row r="1510" spans="1:5" x14ac:dyDescent="0.25">
      <c r="C1510" t="s">
        <v>2577</v>
      </c>
      <c r="D1510" t="s">
        <v>2578</v>
      </c>
      <c r="E1510" t="str">
        <f>HYPERLINK("https://worldwide.espacenet.com/publicationDetails/biblio?II=119&amp;ND=3&amp;adjacent=true&amp;locale=en_EP&amp;FT=D&amp;date=20040422&amp;CC=US&amp;NR=2004078813A1&amp;KC=A1")</f>
        <v>https://worldwide.espacenet.com/publicationDetails/biblio?II=119&amp;ND=3&amp;adjacent=true&amp;locale=en_EP&amp;FT=D&amp;date=20040422&amp;CC=US&amp;NR=2004078813A1&amp;KC=A1</v>
      </c>
    </row>
    <row r="1511" spans="1:5" x14ac:dyDescent="0.25">
      <c r="C1511" t="s">
        <v>2579</v>
      </c>
      <c r="D1511" t="s">
        <v>2580</v>
      </c>
      <c r="E1511" t="str">
        <f>HYPERLINK("https://worldwide.espacenet.com/publicationDetails/biblio?II=120&amp;ND=3&amp;adjacent=true&amp;locale=en_EP&amp;FT=D&amp;date=19760120&amp;CC=US&amp;NR=3934202A&amp;KC=A")</f>
        <v>https://worldwide.espacenet.com/publicationDetails/biblio?II=120&amp;ND=3&amp;adjacent=true&amp;locale=en_EP&amp;FT=D&amp;date=19760120&amp;CC=US&amp;NR=3934202A&amp;KC=A</v>
      </c>
    </row>
    <row r="1512" spans="1:5" x14ac:dyDescent="0.25">
      <c r="C1512" t="s">
        <v>2581</v>
      </c>
      <c r="D1512" t="s">
        <v>2582</v>
      </c>
      <c r="E1512" t="str">
        <f>HYPERLINK("https://worldwide.espacenet.com/publicationDetails/biblio?II=121&amp;ND=3&amp;adjacent=true&amp;locale=en_EP&amp;FT=D&amp;date=20021031&amp;CC=PL&amp;NR=343135A1&amp;KC=A1")</f>
        <v>https://worldwide.espacenet.com/publicationDetails/biblio?II=121&amp;ND=3&amp;adjacent=true&amp;locale=en_EP&amp;FT=D&amp;date=20021031&amp;CC=PL&amp;NR=343135A1&amp;KC=A1</v>
      </c>
    </row>
    <row r="1513" spans="1:5" x14ac:dyDescent="0.25">
      <c r="A1513" t="s">
        <v>2583</v>
      </c>
      <c r="B1513">
        <v>611</v>
      </c>
    </row>
    <row r="1514" spans="1:5" x14ac:dyDescent="0.25">
      <c r="C1514" t="s">
        <v>1431</v>
      </c>
      <c r="D1514" t="s">
        <v>1432</v>
      </c>
      <c r="E1514" t="str">
        <f>HYPERLINK("https://worldwide.espacenet.com/publicationDetails/biblio?II=0&amp;ND=3&amp;adjacent=true&amp;locale=en_EP&amp;FT=D&amp;date=20181018&amp;CC=US&amp;NR=2018300826A1&amp;KC=A1")</f>
        <v>https://worldwide.espacenet.com/publicationDetails/biblio?II=0&amp;ND=3&amp;adjacent=true&amp;locale=en_EP&amp;FT=D&amp;date=20181018&amp;CC=US&amp;NR=2018300826A1&amp;KC=A1</v>
      </c>
    </row>
    <row r="1515" spans="1:5" x14ac:dyDescent="0.25">
      <c r="C1515" t="s">
        <v>2584</v>
      </c>
      <c r="D1515" t="s">
        <v>2585</v>
      </c>
      <c r="E1515" t="str">
        <f>HYPERLINK("https://worldwide.espacenet.com/publicationDetails/biblio?II=1&amp;ND=3&amp;adjacent=true&amp;locale=en_EP&amp;FT=D&amp;date=20181011&amp;CC=US&amp;NR=2018294409A1&amp;KC=A1")</f>
        <v>https://worldwide.espacenet.com/publicationDetails/biblio?II=1&amp;ND=3&amp;adjacent=true&amp;locale=en_EP&amp;FT=D&amp;date=20181011&amp;CC=US&amp;NR=2018294409A1&amp;KC=A1</v>
      </c>
    </row>
    <row r="1516" spans="1:5" x14ac:dyDescent="0.25">
      <c r="C1516" t="s">
        <v>2586</v>
      </c>
      <c r="D1516" t="s">
        <v>2587</v>
      </c>
      <c r="E1516" t="str">
        <f>HYPERLINK("https://worldwide.espacenet.com/publicationDetails/biblio?II=2&amp;ND=3&amp;adjacent=true&amp;locale=en_EP&amp;FT=D&amp;date=20180619&amp;CC=CN&amp;NR=108182646A&amp;KC=A")</f>
        <v>https://worldwide.espacenet.com/publicationDetails/biblio?II=2&amp;ND=3&amp;adjacent=true&amp;locale=en_EP&amp;FT=D&amp;date=20180619&amp;CC=CN&amp;NR=108182646A&amp;KC=A</v>
      </c>
    </row>
    <row r="1517" spans="1:5" x14ac:dyDescent="0.25">
      <c r="C1517" t="s">
        <v>2392</v>
      </c>
      <c r="D1517" t="s">
        <v>2393</v>
      </c>
      <c r="E1517" t="str">
        <f>HYPERLINK("https://worldwide.espacenet.com/publicationDetails/biblio?II=3&amp;ND=3&amp;adjacent=true&amp;locale=en_EP&amp;FT=D&amp;date=20180619&amp;CC=CN&amp;NR=207517817U&amp;KC=U")</f>
        <v>https://worldwide.espacenet.com/publicationDetails/biblio?II=3&amp;ND=3&amp;adjacent=true&amp;locale=en_EP&amp;FT=D&amp;date=20180619&amp;CC=CN&amp;NR=207517817U&amp;KC=U</v>
      </c>
    </row>
    <row r="1518" spans="1:5" x14ac:dyDescent="0.25">
      <c r="C1518" t="s">
        <v>2588</v>
      </c>
      <c r="D1518" t="s">
        <v>2589</v>
      </c>
      <c r="E1518" t="str">
        <f>HYPERLINK("https://worldwide.espacenet.com/publicationDetails/biblio?II=4&amp;ND=3&amp;adjacent=true&amp;locale=en_EP&amp;FT=D&amp;date=20180504&amp;CC=CN&amp;NR=207311732U&amp;KC=U")</f>
        <v>https://worldwide.espacenet.com/publicationDetails/biblio?II=4&amp;ND=3&amp;adjacent=true&amp;locale=en_EP&amp;FT=D&amp;date=20180504&amp;CC=CN&amp;NR=207311732U&amp;KC=U</v>
      </c>
    </row>
    <row r="1519" spans="1:5" x14ac:dyDescent="0.25">
      <c r="C1519" t="s">
        <v>2394</v>
      </c>
      <c r="D1519" t="s">
        <v>2395</v>
      </c>
      <c r="E1519" t="str">
        <f>HYPERLINK("https://worldwide.espacenet.com/publicationDetails/biblio?II=5&amp;ND=3&amp;adjacent=true&amp;locale=en_EP&amp;FT=D&amp;date=20180608&amp;CC=CN&amp;NR=108133539A&amp;KC=A")</f>
        <v>https://worldwide.espacenet.com/publicationDetails/biblio?II=5&amp;ND=3&amp;adjacent=true&amp;locale=en_EP&amp;FT=D&amp;date=20180608&amp;CC=CN&amp;NR=108133539A&amp;KC=A</v>
      </c>
    </row>
    <row r="1520" spans="1:5" x14ac:dyDescent="0.25">
      <c r="C1520" t="s">
        <v>2590</v>
      </c>
      <c r="D1520" t="s">
        <v>2591</v>
      </c>
      <c r="E1520" t="str">
        <f>HYPERLINK("https://worldwide.espacenet.com/publicationDetails/biblio?II=6&amp;ND=3&amp;adjacent=true&amp;locale=en_EP&amp;FT=D&amp;date=20180515&amp;CC=CN&amp;NR=207358542U&amp;KC=U")</f>
        <v>https://worldwide.espacenet.com/publicationDetails/biblio?II=6&amp;ND=3&amp;adjacent=true&amp;locale=en_EP&amp;FT=D&amp;date=20180515&amp;CC=CN&amp;NR=207358542U&amp;KC=U</v>
      </c>
    </row>
    <row r="1521" spans="3:5" x14ac:dyDescent="0.25">
      <c r="C1521" t="s">
        <v>2592</v>
      </c>
      <c r="D1521" t="s">
        <v>2593</v>
      </c>
      <c r="E1521" t="str">
        <f>HYPERLINK("https://worldwide.espacenet.com/publicationDetails/biblio?II=7&amp;ND=3&amp;adjacent=true&amp;locale=en_EP&amp;FT=D&amp;date=20180529&amp;CC=CN&amp;NR=207424877U&amp;KC=U")</f>
        <v>https://worldwide.espacenet.com/publicationDetails/biblio?II=7&amp;ND=3&amp;adjacent=true&amp;locale=en_EP&amp;FT=D&amp;date=20180529&amp;CC=CN&amp;NR=207424877U&amp;KC=U</v>
      </c>
    </row>
    <row r="1522" spans="3:5" x14ac:dyDescent="0.25">
      <c r="C1522" t="s">
        <v>2594</v>
      </c>
      <c r="D1522" t="s">
        <v>2595</v>
      </c>
      <c r="E1522" t="str">
        <f>HYPERLINK("https://worldwide.espacenet.com/publicationDetails/biblio?II=8&amp;ND=3&amp;adjacent=true&amp;locale=en_EP&amp;FT=D&amp;date=20180605&amp;CC=CN&amp;NR=108115687A&amp;KC=A")</f>
        <v>https://worldwide.espacenet.com/publicationDetails/biblio?II=8&amp;ND=3&amp;adjacent=true&amp;locale=en_EP&amp;FT=D&amp;date=20180605&amp;CC=CN&amp;NR=108115687A&amp;KC=A</v>
      </c>
    </row>
    <row r="1523" spans="3:5" x14ac:dyDescent="0.25">
      <c r="C1523" t="s">
        <v>2596</v>
      </c>
      <c r="D1523" t="s">
        <v>2597</v>
      </c>
      <c r="E1523" t="str">
        <f>HYPERLINK("https://worldwide.espacenet.com/publicationDetails/biblio?II=9&amp;ND=3&amp;adjacent=true&amp;locale=en_EP&amp;FT=D&amp;date=20180601&amp;CC=CN&amp;NR=108107807A&amp;KC=A")</f>
        <v>https://worldwide.espacenet.com/publicationDetails/biblio?II=9&amp;ND=3&amp;adjacent=true&amp;locale=en_EP&amp;FT=D&amp;date=20180601&amp;CC=CN&amp;NR=108107807A&amp;KC=A</v>
      </c>
    </row>
    <row r="1524" spans="3:5" x14ac:dyDescent="0.25">
      <c r="C1524" t="s">
        <v>2598</v>
      </c>
      <c r="D1524" t="s">
        <v>2599</v>
      </c>
      <c r="E1524" t="str">
        <f>HYPERLINK("https://worldwide.espacenet.com/publicationDetails/biblio?II=10&amp;ND=3&amp;adjacent=true&amp;locale=en_EP&amp;FT=D&amp;date=20180508&amp;CC=CN&amp;NR=108009275A&amp;KC=A")</f>
        <v>https://worldwide.espacenet.com/publicationDetails/biblio?II=10&amp;ND=3&amp;adjacent=true&amp;locale=en_EP&amp;FT=D&amp;date=20180508&amp;CC=CN&amp;NR=108009275A&amp;KC=A</v>
      </c>
    </row>
    <row r="1525" spans="3:5" x14ac:dyDescent="0.25">
      <c r="C1525" t="s">
        <v>2600</v>
      </c>
      <c r="D1525" t="s">
        <v>2601</v>
      </c>
      <c r="E1525" t="str">
        <f>HYPERLINK("https://worldwide.espacenet.com/publicationDetails/biblio?II=11&amp;ND=3&amp;adjacent=true&amp;locale=en_EP&amp;FT=D&amp;date=20180413&amp;CC=CN&amp;NR=107900024A&amp;KC=A")</f>
        <v>https://worldwide.espacenet.com/publicationDetails/biblio?II=11&amp;ND=3&amp;adjacent=true&amp;locale=en_EP&amp;FT=D&amp;date=20180413&amp;CC=CN&amp;NR=107900024A&amp;KC=A</v>
      </c>
    </row>
    <row r="1526" spans="3:5" x14ac:dyDescent="0.25">
      <c r="C1526" t="s">
        <v>2602</v>
      </c>
      <c r="D1526" t="s">
        <v>2603</v>
      </c>
      <c r="E1526" t="str">
        <f>HYPERLINK("https://worldwide.espacenet.com/publicationDetails/biblio?II=12&amp;ND=3&amp;adjacent=true&amp;locale=en_EP&amp;FT=D&amp;date=20180413&amp;CC=CN&amp;NR=207225502U&amp;KC=U")</f>
        <v>https://worldwide.espacenet.com/publicationDetails/biblio?II=12&amp;ND=3&amp;adjacent=true&amp;locale=en_EP&amp;FT=D&amp;date=20180413&amp;CC=CN&amp;NR=207225502U&amp;KC=U</v>
      </c>
    </row>
    <row r="1527" spans="3:5" x14ac:dyDescent="0.25">
      <c r="C1527" t="s">
        <v>2396</v>
      </c>
      <c r="D1527" t="s">
        <v>2397</v>
      </c>
      <c r="E1527" t="str">
        <f>HYPERLINK("https://worldwide.espacenet.com/publicationDetails/biblio?II=13&amp;ND=3&amp;adjacent=true&amp;locale=en_EP&amp;FT=D&amp;date=20180406&amp;CC=CN&amp;NR=107886877A&amp;KC=A")</f>
        <v>https://worldwide.espacenet.com/publicationDetails/biblio?II=13&amp;ND=3&amp;adjacent=true&amp;locale=en_EP&amp;FT=D&amp;date=20180406&amp;CC=CN&amp;NR=107886877A&amp;KC=A</v>
      </c>
    </row>
    <row r="1528" spans="3:5" x14ac:dyDescent="0.25">
      <c r="C1528" t="s">
        <v>2604</v>
      </c>
      <c r="D1528" t="s">
        <v>2605</v>
      </c>
      <c r="E1528" t="str">
        <f>HYPERLINK("https://worldwide.espacenet.com/publicationDetails/biblio?II=14&amp;ND=3&amp;adjacent=true&amp;locale=en_EP&amp;FT=D&amp;date=20180403&amp;CC=CN&amp;NR=207184700U&amp;KC=U")</f>
        <v>https://worldwide.espacenet.com/publicationDetails/biblio?II=14&amp;ND=3&amp;adjacent=true&amp;locale=en_EP&amp;FT=D&amp;date=20180403&amp;CC=CN&amp;NR=207184700U&amp;KC=U</v>
      </c>
    </row>
    <row r="1529" spans="3:5" x14ac:dyDescent="0.25">
      <c r="C1529" t="s">
        <v>2606</v>
      </c>
      <c r="D1529" t="s">
        <v>2607</v>
      </c>
      <c r="E1529" t="str">
        <f>HYPERLINK("https://worldwide.espacenet.com/publicationDetails/biblio?II=15&amp;ND=3&amp;adjacent=true&amp;locale=en_EP&amp;FT=D&amp;date=20180123&amp;CC=CN&amp;NR=206920899U&amp;KC=U")</f>
        <v>https://worldwide.espacenet.com/publicationDetails/biblio?II=15&amp;ND=3&amp;adjacent=true&amp;locale=en_EP&amp;FT=D&amp;date=20180123&amp;CC=CN&amp;NR=206920899U&amp;KC=U</v>
      </c>
    </row>
    <row r="1530" spans="3:5" x14ac:dyDescent="0.25">
      <c r="C1530" t="s">
        <v>2608</v>
      </c>
      <c r="D1530" t="s">
        <v>2609</v>
      </c>
      <c r="E1530" t="str">
        <f>HYPERLINK("https://worldwide.espacenet.com/publicationDetails/biblio?II=16&amp;ND=3&amp;adjacent=true&amp;locale=en_EP&amp;FT=D&amp;date=20180215&amp;CC=US&amp;NR=2018047519A1&amp;KC=A1")</f>
        <v>https://worldwide.espacenet.com/publicationDetails/biblio?II=16&amp;ND=3&amp;adjacent=true&amp;locale=en_EP&amp;FT=D&amp;date=20180215&amp;CC=US&amp;NR=2018047519A1&amp;KC=A1</v>
      </c>
    </row>
    <row r="1531" spans="3:5" x14ac:dyDescent="0.25">
      <c r="C1531" t="s">
        <v>2610</v>
      </c>
      <c r="D1531" t="s">
        <v>2611</v>
      </c>
      <c r="E1531" t="str">
        <f>HYPERLINK("https://worldwide.espacenet.com/publicationDetails/biblio?II=17&amp;ND=3&amp;adjacent=true&amp;locale=en_EP&amp;FT=D&amp;date=20180202&amp;CC=CN&amp;NR=107657347A&amp;KC=A")</f>
        <v>https://worldwide.espacenet.com/publicationDetails/biblio?II=17&amp;ND=3&amp;adjacent=true&amp;locale=en_EP&amp;FT=D&amp;date=20180202&amp;CC=CN&amp;NR=107657347A&amp;KC=A</v>
      </c>
    </row>
    <row r="1532" spans="3:5" x14ac:dyDescent="0.25">
      <c r="C1532" t="s">
        <v>2612</v>
      </c>
      <c r="D1532" t="s">
        <v>2613</v>
      </c>
      <c r="E1532" t="str">
        <f>HYPERLINK("https://worldwide.espacenet.com/publicationDetails/biblio?II=18&amp;ND=3&amp;adjacent=true&amp;locale=en_EP&amp;FT=D&amp;date=20180116&amp;CC=CN&amp;NR=107588801A&amp;KC=A")</f>
        <v>https://worldwide.espacenet.com/publicationDetails/biblio?II=18&amp;ND=3&amp;adjacent=true&amp;locale=en_EP&amp;FT=D&amp;date=20180116&amp;CC=CN&amp;NR=107588801A&amp;KC=A</v>
      </c>
    </row>
    <row r="1533" spans="3:5" x14ac:dyDescent="0.25">
      <c r="C1533" t="s">
        <v>2614</v>
      </c>
      <c r="D1533" t="s">
        <v>2615</v>
      </c>
      <c r="E1533" t="str">
        <f>HYPERLINK("https://worldwide.espacenet.com/publicationDetails/biblio?II=19&amp;ND=3&amp;adjacent=true&amp;locale=en_EP&amp;FT=D&amp;date=20180109&amp;CC=CN&amp;NR=107564222A&amp;KC=A")</f>
        <v>https://worldwide.espacenet.com/publicationDetails/biblio?II=19&amp;ND=3&amp;adjacent=true&amp;locale=en_EP&amp;FT=D&amp;date=20180109&amp;CC=CN&amp;NR=107564222A&amp;KC=A</v>
      </c>
    </row>
    <row r="1534" spans="3:5" x14ac:dyDescent="0.25">
      <c r="C1534" t="s">
        <v>2398</v>
      </c>
      <c r="D1534" t="s">
        <v>2399</v>
      </c>
      <c r="E1534" t="str">
        <f>HYPERLINK("https://worldwide.espacenet.com/publicationDetails/biblio?II=20&amp;ND=3&amp;adjacent=true&amp;locale=en_EP&amp;FT=D&amp;date=20171127&amp;CC=KR&amp;NR=20170129472A&amp;KC=A")</f>
        <v>https://worldwide.espacenet.com/publicationDetails/biblio?II=20&amp;ND=3&amp;adjacent=true&amp;locale=en_EP&amp;FT=D&amp;date=20171127&amp;CC=KR&amp;NR=20170129472A&amp;KC=A</v>
      </c>
    </row>
    <row r="1535" spans="3:5" x14ac:dyDescent="0.25">
      <c r="C1535" t="s">
        <v>2400</v>
      </c>
      <c r="D1535" t="s">
        <v>2401</v>
      </c>
      <c r="E1535" t="str">
        <f>HYPERLINK("https://worldwide.espacenet.com/publicationDetails/biblio?II=21&amp;ND=3&amp;adjacent=true&amp;locale=en_EP&amp;FT=D&amp;date=20171219&amp;CC=CN&amp;NR=107492328A&amp;KC=A")</f>
        <v>https://worldwide.espacenet.com/publicationDetails/biblio?II=21&amp;ND=3&amp;adjacent=true&amp;locale=en_EP&amp;FT=D&amp;date=20171219&amp;CC=CN&amp;NR=107492328A&amp;KC=A</v>
      </c>
    </row>
    <row r="1536" spans="3:5" x14ac:dyDescent="0.25">
      <c r="C1536" t="s">
        <v>2616</v>
      </c>
      <c r="D1536" t="s">
        <v>2617</v>
      </c>
      <c r="E1536" t="str">
        <f>HYPERLINK("https://worldwide.espacenet.com/publicationDetails/biblio?II=22&amp;ND=3&amp;adjacent=true&amp;locale=en_EP&amp;FT=D&amp;date=20171219&amp;CC=CN&amp;NR=206773821U&amp;KC=U")</f>
        <v>https://worldwide.espacenet.com/publicationDetails/biblio?II=22&amp;ND=3&amp;adjacent=true&amp;locale=en_EP&amp;FT=D&amp;date=20171219&amp;CC=CN&amp;NR=206773821U&amp;KC=U</v>
      </c>
    </row>
    <row r="1537" spans="3:5" x14ac:dyDescent="0.25">
      <c r="C1537" t="s">
        <v>1525</v>
      </c>
      <c r="D1537" t="s">
        <v>1526</v>
      </c>
      <c r="E1537" t="str">
        <f>HYPERLINK("https://worldwide.espacenet.com/publicationDetails/biblio?II=23&amp;ND=3&amp;adjacent=true&amp;locale=en_EP&amp;FT=D&amp;date=20171205&amp;CC=CN&amp;NR=107437393A&amp;KC=A")</f>
        <v>https://worldwide.espacenet.com/publicationDetails/biblio?II=23&amp;ND=3&amp;adjacent=true&amp;locale=en_EP&amp;FT=D&amp;date=20171205&amp;CC=CN&amp;NR=107437393A&amp;KC=A</v>
      </c>
    </row>
    <row r="1538" spans="3:5" x14ac:dyDescent="0.25">
      <c r="C1538" t="s">
        <v>2402</v>
      </c>
      <c r="D1538" t="s">
        <v>2403</v>
      </c>
      <c r="E1538" t="str">
        <f>HYPERLINK("https://worldwide.espacenet.com/publicationDetails/biblio?II=24&amp;ND=3&amp;adjacent=true&amp;locale=en_EP&amp;FT=D&amp;date=20171130&amp;CC=US&amp;NR=2017343365A1&amp;KC=A1")</f>
        <v>https://worldwide.espacenet.com/publicationDetails/biblio?II=24&amp;ND=3&amp;adjacent=true&amp;locale=en_EP&amp;FT=D&amp;date=20171130&amp;CC=US&amp;NR=2017343365A1&amp;KC=A1</v>
      </c>
    </row>
    <row r="1539" spans="3:5" x14ac:dyDescent="0.25">
      <c r="C1539" t="s">
        <v>2618</v>
      </c>
      <c r="D1539" t="s">
        <v>2619</v>
      </c>
      <c r="E1539" t="str">
        <f>HYPERLINK("https://worldwide.espacenet.com/publicationDetails/biblio?II=25&amp;ND=3&amp;adjacent=true&amp;locale=en_EP&amp;FT=D&amp;date=20180511&amp;CC=WO&amp;NR=2018085789A1&amp;KC=A1")</f>
        <v>https://worldwide.espacenet.com/publicationDetails/biblio?II=25&amp;ND=3&amp;adjacent=true&amp;locale=en_EP&amp;FT=D&amp;date=20180511&amp;CC=WO&amp;NR=2018085789A1&amp;KC=A1</v>
      </c>
    </row>
    <row r="1540" spans="3:5" x14ac:dyDescent="0.25">
      <c r="C1540" t="s">
        <v>2620</v>
      </c>
      <c r="D1540" t="s">
        <v>2621</v>
      </c>
      <c r="E1540" t="str">
        <f>HYPERLINK("https://worldwide.espacenet.com/publicationDetails/biblio?II=26&amp;ND=3&amp;adjacent=true&amp;locale=en_EP&amp;FT=D&amp;date=20171117&amp;CC=CN&amp;NR=107358471A&amp;KC=A")</f>
        <v>https://worldwide.espacenet.com/publicationDetails/biblio?II=26&amp;ND=3&amp;adjacent=true&amp;locale=en_EP&amp;FT=D&amp;date=20171117&amp;CC=CN&amp;NR=107358471A&amp;KC=A</v>
      </c>
    </row>
    <row r="1541" spans="3:5" x14ac:dyDescent="0.25">
      <c r="C1541" t="s">
        <v>2622</v>
      </c>
      <c r="D1541" t="s">
        <v>2623</v>
      </c>
      <c r="E1541" t="str">
        <f>HYPERLINK("https://worldwide.espacenet.com/publicationDetails/biblio?II=27&amp;ND=3&amp;adjacent=true&amp;locale=en_EP&amp;FT=D&amp;date=20170816&amp;CC=TW&amp;NR=201728873A&amp;KC=A")</f>
        <v>https://worldwide.espacenet.com/publicationDetails/biblio?II=27&amp;ND=3&amp;adjacent=true&amp;locale=en_EP&amp;FT=D&amp;date=20170816&amp;CC=TW&amp;NR=201728873A&amp;KC=A</v>
      </c>
    </row>
    <row r="1542" spans="3:5" x14ac:dyDescent="0.25">
      <c r="C1542" t="s">
        <v>2624</v>
      </c>
      <c r="D1542" t="s">
        <v>2625</v>
      </c>
      <c r="E1542" t="str">
        <f>HYPERLINK("https://worldwide.espacenet.com/publicationDetails/biblio?II=28&amp;ND=3&amp;adjacent=true&amp;locale=en_EP&amp;FT=D&amp;date=20171103&amp;CC=CN&amp;NR=206606200U&amp;KC=U")</f>
        <v>https://worldwide.espacenet.com/publicationDetails/biblio?II=28&amp;ND=3&amp;adjacent=true&amp;locale=en_EP&amp;FT=D&amp;date=20171103&amp;CC=CN&amp;NR=206606200U&amp;KC=U</v>
      </c>
    </row>
    <row r="1543" spans="3:5" x14ac:dyDescent="0.25">
      <c r="C1543" t="s">
        <v>2404</v>
      </c>
      <c r="D1543" t="s">
        <v>2405</v>
      </c>
      <c r="E1543" t="str">
        <f>HYPERLINK("https://worldwide.espacenet.com/publicationDetails/biblio?II=29&amp;ND=3&amp;adjacent=true&amp;locale=en_EP&amp;FT=D&amp;date=20171103&amp;CC=CN&amp;NR=206609426U&amp;KC=U")</f>
        <v>https://worldwide.espacenet.com/publicationDetails/biblio?II=29&amp;ND=3&amp;adjacent=true&amp;locale=en_EP&amp;FT=D&amp;date=20171103&amp;CC=CN&amp;NR=206609426U&amp;KC=U</v>
      </c>
    </row>
    <row r="1544" spans="3:5" x14ac:dyDescent="0.25">
      <c r="C1544" t="s">
        <v>2406</v>
      </c>
      <c r="D1544" t="s">
        <v>2407</v>
      </c>
      <c r="E1544" t="str">
        <f>HYPERLINK("https://worldwide.espacenet.com/publicationDetails/biblio?II=30&amp;ND=3&amp;adjacent=true&amp;locale=en_EP&amp;FT=D&amp;date=20171103&amp;CC=CN&amp;NR=206609427U&amp;KC=U")</f>
        <v>https://worldwide.espacenet.com/publicationDetails/biblio?II=30&amp;ND=3&amp;adjacent=true&amp;locale=en_EP&amp;FT=D&amp;date=20171103&amp;CC=CN&amp;NR=206609427U&amp;KC=U</v>
      </c>
    </row>
    <row r="1545" spans="3:5" x14ac:dyDescent="0.25">
      <c r="C1545" t="s">
        <v>2626</v>
      </c>
      <c r="D1545" t="s">
        <v>2627</v>
      </c>
      <c r="E1545" t="str">
        <f>HYPERLINK("https://worldwide.espacenet.com/publicationDetails/biblio?II=31&amp;ND=3&amp;adjacent=true&amp;locale=en_EP&amp;FT=D&amp;date=20170926&amp;CC=CN&amp;NR=107206741A&amp;KC=A")</f>
        <v>https://worldwide.espacenet.com/publicationDetails/biblio?II=31&amp;ND=3&amp;adjacent=true&amp;locale=en_EP&amp;FT=D&amp;date=20170926&amp;CC=CN&amp;NR=107206741A&amp;KC=A</v>
      </c>
    </row>
    <row r="1546" spans="3:5" x14ac:dyDescent="0.25">
      <c r="C1546" t="s">
        <v>2408</v>
      </c>
      <c r="D1546" t="s">
        <v>2409</v>
      </c>
      <c r="E1546" t="str">
        <f>HYPERLINK("https://worldwide.espacenet.com/publicationDetails/biblio?II=32&amp;ND=3&amp;adjacent=true&amp;locale=en_EP&amp;FT=D&amp;date=20170922&amp;CC=CN&amp;NR=206515887U&amp;KC=U")</f>
        <v>https://worldwide.espacenet.com/publicationDetails/biblio?II=32&amp;ND=3&amp;adjacent=true&amp;locale=en_EP&amp;FT=D&amp;date=20170922&amp;CC=CN&amp;NR=206515887U&amp;KC=U</v>
      </c>
    </row>
    <row r="1547" spans="3:5" x14ac:dyDescent="0.25">
      <c r="C1547" t="s">
        <v>2628</v>
      </c>
      <c r="D1547" t="s">
        <v>2629</v>
      </c>
      <c r="E1547" t="str">
        <f>HYPERLINK("https://worldwide.espacenet.com/publicationDetails/biblio?II=33&amp;ND=3&amp;adjacent=true&amp;locale=en_EP&amp;FT=D&amp;date=20170915&amp;CC=CN&amp;NR=107169120A&amp;KC=A")</f>
        <v>https://worldwide.espacenet.com/publicationDetails/biblio?II=33&amp;ND=3&amp;adjacent=true&amp;locale=en_EP&amp;FT=D&amp;date=20170915&amp;CC=CN&amp;NR=107169120A&amp;KC=A</v>
      </c>
    </row>
    <row r="1548" spans="3:5" x14ac:dyDescent="0.25">
      <c r="C1548" t="s">
        <v>2630</v>
      </c>
      <c r="D1548" t="s">
        <v>2631</v>
      </c>
      <c r="E1548" t="str">
        <f>HYPERLINK("https://worldwide.espacenet.com/publicationDetails/biblio?II=34&amp;ND=3&amp;adjacent=true&amp;locale=en_EP&amp;FT=D&amp;date=20170908&amp;CC=CN&amp;NR=107146168A&amp;KC=A")</f>
        <v>https://worldwide.espacenet.com/publicationDetails/biblio?II=34&amp;ND=3&amp;adjacent=true&amp;locale=en_EP&amp;FT=D&amp;date=20170908&amp;CC=CN&amp;NR=107146168A&amp;KC=A</v>
      </c>
    </row>
    <row r="1549" spans="3:5" x14ac:dyDescent="0.25">
      <c r="C1549" t="s">
        <v>2632</v>
      </c>
      <c r="D1549" t="s">
        <v>2633</v>
      </c>
      <c r="E1549" t="str">
        <f>HYPERLINK("https://worldwide.espacenet.com/publicationDetails/biblio?II=35&amp;ND=3&amp;adjacent=true&amp;locale=en_EP&amp;FT=D&amp;date=20170818&amp;CC=CN&amp;NR=107067050A&amp;KC=A")</f>
        <v>https://worldwide.espacenet.com/publicationDetails/biblio?II=35&amp;ND=3&amp;adjacent=true&amp;locale=en_EP&amp;FT=D&amp;date=20170818&amp;CC=CN&amp;NR=107067050A&amp;KC=A</v>
      </c>
    </row>
    <row r="1550" spans="3:5" x14ac:dyDescent="0.25">
      <c r="C1550" t="s">
        <v>2634</v>
      </c>
      <c r="D1550" t="s">
        <v>2635</v>
      </c>
      <c r="E1550" t="str">
        <f>HYPERLINK("https://worldwide.espacenet.com/publicationDetails/biblio?II=36&amp;ND=3&amp;adjacent=true&amp;locale=en_EP&amp;FT=D&amp;date=20170818&amp;CC=CN&amp;NR=107071999A&amp;KC=A")</f>
        <v>https://worldwide.espacenet.com/publicationDetails/biblio?II=36&amp;ND=3&amp;adjacent=true&amp;locale=en_EP&amp;FT=D&amp;date=20170818&amp;CC=CN&amp;NR=107071999A&amp;KC=A</v>
      </c>
    </row>
    <row r="1551" spans="3:5" x14ac:dyDescent="0.25">
      <c r="C1551" t="s">
        <v>2410</v>
      </c>
      <c r="D1551" t="s">
        <v>2411</v>
      </c>
      <c r="E1551" t="str">
        <f>HYPERLINK("https://worldwide.espacenet.com/publicationDetails/biblio?II=37&amp;ND=3&amp;adjacent=true&amp;locale=en_EP&amp;FT=D&amp;date=20170818&amp;CC=CN&amp;NR=107071625A&amp;KC=A")</f>
        <v>https://worldwide.espacenet.com/publicationDetails/biblio?II=37&amp;ND=3&amp;adjacent=true&amp;locale=en_EP&amp;FT=D&amp;date=20170818&amp;CC=CN&amp;NR=107071625A&amp;KC=A</v>
      </c>
    </row>
    <row r="1552" spans="3:5" x14ac:dyDescent="0.25">
      <c r="C1552" t="s">
        <v>2636</v>
      </c>
      <c r="D1552" t="s">
        <v>2637</v>
      </c>
      <c r="E1552" t="str">
        <f>HYPERLINK("https://worldwide.espacenet.com/publicationDetails/biblio?II=38&amp;ND=3&amp;adjacent=true&amp;locale=en_EP&amp;FT=D&amp;date=20170815&amp;CC=CN&amp;NR=206411797U&amp;KC=U")</f>
        <v>https://worldwide.espacenet.com/publicationDetails/biblio?II=38&amp;ND=3&amp;adjacent=true&amp;locale=en_EP&amp;FT=D&amp;date=20170815&amp;CC=CN&amp;NR=206411797U&amp;KC=U</v>
      </c>
    </row>
    <row r="1553" spans="3:5" x14ac:dyDescent="0.25">
      <c r="C1553" t="s">
        <v>1372</v>
      </c>
      <c r="D1553" t="s">
        <v>1373</v>
      </c>
      <c r="E1553" t="str">
        <f>HYPERLINK("https://worldwide.espacenet.com/publicationDetails/biblio?II=39&amp;ND=3&amp;adjacent=true&amp;locale=en_EP&amp;FT=D&amp;date=20170711&amp;CC=CN&amp;NR=106941654A&amp;KC=A")</f>
        <v>https://worldwide.espacenet.com/publicationDetails/biblio?II=39&amp;ND=3&amp;adjacent=true&amp;locale=en_EP&amp;FT=D&amp;date=20170711&amp;CC=CN&amp;NR=106941654A&amp;KC=A</v>
      </c>
    </row>
    <row r="1554" spans="3:5" x14ac:dyDescent="0.25">
      <c r="C1554" t="s">
        <v>2638</v>
      </c>
      <c r="D1554" t="s">
        <v>2639</v>
      </c>
      <c r="E1554" t="str">
        <f>HYPERLINK("https://worldwide.espacenet.com/publicationDetails/biblio?II=40&amp;ND=3&amp;adjacent=true&amp;locale=en_EP&amp;FT=D&amp;date=20170711&amp;CC=CN&amp;NR=106941255A&amp;KC=A")</f>
        <v>https://worldwide.espacenet.com/publicationDetails/biblio?II=40&amp;ND=3&amp;adjacent=true&amp;locale=en_EP&amp;FT=D&amp;date=20170711&amp;CC=CN&amp;NR=106941255A&amp;KC=A</v>
      </c>
    </row>
    <row r="1555" spans="3:5" x14ac:dyDescent="0.25">
      <c r="C1555" t="s">
        <v>2640</v>
      </c>
      <c r="D1555" t="s">
        <v>2641</v>
      </c>
      <c r="E1555" t="str">
        <f>HYPERLINK("https://worldwide.espacenet.com/publicationDetails/biblio?II=41&amp;ND=3&amp;adjacent=true&amp;locale=en_EP&amp;FT=D&amp;date=20170728&amp;CC=CN&amp;NR=106991149A&amp;KC=A")</f>
        <v>https://worldwide.espacenet.com/publicationDetails/biblio?II=41&amp;ND=3&amp;adjacent=true&amp;locale=en_EP&amp;FT=D&amp;date=20170728&amp;CC=CN&amp;NR=106991149A&amp;KC=A</v>
      </c>
    </row>
    <row r="1556" spans="3:5" x14ac:dyDescent="0.25">
      <c r="C1556" t="s">
        <v>2642</v>
      </c>
      <c r="D1556" t="s">
        <v>2643</v>
      </c>
      <c r="E1556" t="str">
        <f>HYPERLINK("https://worldwide.espacenet.com/publicationDetails/biblio?II=42&amp;ND=3&amp;adjacent=true&amp;locale=en_EP&amp;FT=D&amp;date=20170704&amp;CC=CN&amp;NR=206302490U&amp;KC=U")</f>
        <v>https://worldwide.espacenet.com/publicationDetails/biblio?II=42&amp;ND=3&amp;adjacent=true&amp;locale=en_EP&amp;FT=D&amp;date=20170704&amp;CC=CN&amp;NR=206302490U&amp;KC=U</v>
      </c>
    </row>
    <row r="1557" spans="3:5" x14ac:dyDescent="0.25">
      <c r="C1557" t="s">
        <v>2644</v>
      </c>
      <c r="D1557" t="s">
        <v>2645</v>
      </c>
      <c r="E1557" t="str">
        <f>HYPERLINK("https://worldwide.espacenet.com/publicationDetails/biblio?II=43&amp;ND=3&amp;adjacent=true&amp;locale=en_EP&amp;FT=D&amp;date=20170620&amp;CC=CN&amp;NR=106875627A&amp;KC=A")</f>
        <v>https://worldwide.espacenet.com/publicationDetails/biblio?II=43&amp;ND=3&amp;adjacent=true&amp;locale=en_EP&amp;FT=D&amp;date=20170620&amp;CC=CN&amp;NR=106875627A&amp;KC=A</v>
      </c>
    </row>
    <row r="1558" spans="3:5" x14ac:dyDescent="0.25">
      <c r="C1558" t="s">
        <v>2412</v>
      </c>
      <c r="D1558" t="s">
        <v>2413</v>
      </c>
      <c r="E1558" t="str">
        <f>HYPERLINK("https://worldwide.espacenet.com/publicationDetails/biblio?II=44&amp;ND=3&amp;adjacent=true&amp;locale=en_EP&amp;FT=D&amp;date=20170613&amp;CC=CN&amp;NR=106846966A&amp;KC=A")</f>
        <v>https://worldwide.espacenet.com/publicationDetails/biblio?II=44&amp;ND=3&amp;adjacent=true&amp;locale=en_EP&amp;FT=D&amp;date=20170613&amp;CC=CN&amp;NR=106846966A&amp;KC=A</v>
      </c>
    </row>
    <row r="1559" spans="3:5" x14ac:dyDescent="0.25">
      <c r="C1559" t="s">
        <v>1604</v>
      </c>
      <c r="D1559" t="s">
        <v>1605</v>
      </c>
      <c r="E1559" t="str">
        <f>HYPERLINK("https://worldwide.espacenet.com/publicationDetails/biblio?II=45&amp;ND=3&amp;adjacent=true&amp;locale=en_EP&amp;FT=D&amp;date=20170609&amp;CC=CN&amp;NR=106817416A&amp;KC=A")</f>
        <v>https://worldwide.espacenet.com/publicationDetails/biblio?II=45&amp;ND=3&amp;adjacent=true&amp;locale=en_EP&amp;FT=D&amp;date=20170609&amp;CC=CN&amp;NR=106817416A&amp;KC=A</v>
      </c>
    </row>
    <row r="1560" spans="3:5" x14ac:dyDescent="0.25">
      <c r="C1560" t="s">
        <v>2646</v>
      </c>
      <c r="D1560" t="s">
        <v>2647</v>
      </c>
      <c r="E1560" t="str">
        <f>HYPERLINK("https://worldwide.espacenet.com/publicationDetails/biblio?II=46&amp;ND=3&amp;adjacent=true&amp;locale=en_EP&amp;FT=D&amp;date=20170627&amp;CC=CN&amp;NR=206283321U&amp;KC=U")</f>
        <v>https://worldwide.espacenet.com/publicationDetails/biblio?II=46&amp;ND=3&amp;adjacent=true&amp;locale=en_EP&amp;FT=D&amp;date=20170627&amp;CC=CN&amp;NR=206283321U&amp;KC=U</v>
      </c>
    </row>
    <row r="1561" spans="3:5" x14ac:dyDescent="0.25">
      <c r="C1561" t="s">
        <v>2648</v>
      </c>
      <c r="D1561" t="s">
        <v>2649</v>
      </c>
      <c r="E1561" t="str">
        <f>HYPERLINK("https://worldwide.espacenet.com/publicationDetails/biblio?II=47&amp;ND=3&amp;adjacent=true&amp;locale=en_EP&amp;FT=D&amp;date=20170622&amp;CC=US&amp;NR=2017179518A1&amp;KC=A1")</f>
        <v>https://worldwide.espacenet.com/publicationDetails/biblio?II=47&amp;ND=3&amp;adjacent=true&amp;locale=en_EP&amp;FT=D&amp;date=20170622&amp;CC=US&amp;NR=2017179518A1&amp;KC=A1</v>
      </c>
    </row>
    <row r="1562" spans="3:5" x14ac:dyDescent="0.25">
      <c r="C1562" t="s">
        <v>2650</v>
      </c>
      <c r="D1562" t="s">
        <v>2651</v>
      </c>
      <c r="E1562" t="str">
        <f>HYPERLINK("https://worldwide.espacenet.com/publicationDetails/biblio?II=48&amp;ND=3&amp;adjacent=true&amp;locale=en_EP&amp;FT=D&amp;date=20170609&amp;CC=CN&amp;NR=206231287U&amp;KC=U")</f>
        <v>https://worldwide.espacenet.com/publicationDetails/biblio?II=48&amp;ND=3&amp;adjacent=true&amp;locale=en_EP&amp;FT=D&amp;date=20170609&amp;CC=CN&amp;NR=206231287U&amp;KC=U</v>
      </c>
    </row>
    <row r="1563" spans="3:5" x14ac:dyDescent="0.25">
      <c r="C1563" t="s">
        <v>2414</v>
      </c>
      <c r="D1563" t="s">
        <v>2415</v>
      </c>
      <c r="E1563" t="str">
        <f>HYPERLINK("https://worldwide.espacenet.com/publicationDetails/biblio?II=49&amp;ND=3&amp;adjacent=true&amp;locale=en_EP&amp;FT=D&amp;date=20170510&amp;CC=CN&amp;NR=106647550A&amp;KC=A")</f>
        <v>https://worldwide.espacenet.com/publicationDetails/biblio?II=49&amp;ND=3&amp;adjacent=true&amp;locale=en_EP&amp;FT=D&amp;date=20170510&amp;CC=CN&amp;NR=106647550A&amp;KC=A</v>
      </c>
    </row>
    <row r="1564" spans="3:5" x14ac:dyDescent="0.25">
      <c r="C1564" t="s">
        <v>2652</v>
      </c>
      <c r="D1564" t="s">
        <v>2653</v>
      </c>
      <c r="E1564" t="str">
        <f>HYPERLINK("https://worldwide.espacenet.com/publicationDetails/biblio?II=50&amp;ND=3&amp;adjacent=true&amp;locale=en_EP&amp;FT=D&amp;date=20170510&amp;CC=CN&amp;NR=106650961A&amp;KC=A")</f>
        <v>https://worldwide.espacenet.com/publicationDetails/biblio?II=50&amp;ND=3&amp;adjacent=true&amp;locale=en_EP&amp;FT=D&amp;date=20170510&amp;CC=CN&amp;NR=106650961A&amp;KC=A</v>
      </c>
    </row>
    <row r="1565" spans="3:5" x14ac:dyDescent="0.25">
      <c r="C1565" t="s">
        <v>2654</v>
      </c>
      <c r="D1565" t="s">
        <v>2655</v>
      </c>
      <c r="E1565" t="str">
        <f>HYPERLINK("https://worldwide.espacenet.com/publicationDetails/biblio?II=51&amp;ND=3&amp;adjacent=true&amp;locale=en_EP&amp;FT=D&amp;date=20170510&amp;CC=CN&amp;NR=106646117A&amp;KC=A")</f>
        <v>https://worldwide.espacenet.com/publicationDetails/biblio?II=51&amp;ND=3&amp;adjacent=true&amp;locale=en_EP&amp;FT=D&amp;date=20170510&amp;CC=CN&amp;NR=106646117A&amp;KC=A</v>
      </c>
    </row>
    <row r="1566" spans="3:5" x14ac:dyDescent="0.25">
      <c r="C1566" t="s">
        <v>2656</v>
      </c>
      <c r="D1566" t="s">
        <v>2657</v>
      </c>
      <c r="E1566" t="str">
        <f>HYPERLINK("https://worldwide.espacenet.com/publicationDetails/biblio?II=52&amp;ND=3&amp;adjacent=true&amp;locale=en_EP&amp;FT=D&amp;date=20170510&amp;CC=CN&amp;NR=106646113A&amp;KC=A")</f>
        <v>https://worldwide.espacenet.com/publicationDetails/biblio?II=52&amp;ND=3&amp;adjacent=true&amp;locale=en_EP&amp;FT=D&amp;date=20170510&amp;CC=CN&amp;NR=106646113A&amp;KC=A</v>
      </c>
    </row>
    <row r="1567" spans="3:5" x14ac:dyDescent="0.25">
      <c r="C1567" t="s">
        <v>2658</v>
      </c>
      <c r="D1567" t="s">
        <v>2659</v>
      </c>
      <c r="E1567" t="str">
        <f>HYPERLINK("https://worldwide.espacenet.com/publicationDetails/biblio?II=53&amp;ND=3&amp;adjacent=true&amp;locale=en_EP&amp;FT=D&amp;date=20170531&amp;CC=CN&amp;NR=206209891U&amp;KC=U")</f>
        <v>https://worldwide.espacenet.com/publicationDetails/biblio?II=53&amp;ND=3&amp;adjacent=true&amp;locale=en_EP&amp;FT=D&amp;date=20170531&amp;CC=CN&amp;NR=206209891U&amp;KC=U</v>
      </c>
    </row>
    <row r="1568" spans="3:5" x14ac:dyDescent="0.25">
      <c r="C1568" t="s">
        <v>2660</v>
      </c>
      <c r="D1568" t="s">
        <v>2661</v>
      </c>
      <c r="E1568" t="str">
        <f>HYPERLINK("https://worldwide.espacenet.com/publicationDetails/biblio?II=54&amp;ND=3&amp;adjacent=true&amp;locale=en_EP&amp;FT=D&amp;date=20170525&amp;CC=US&amp;NR=2017144678A1&amp;KC=A1")</f>
        <v>https://worldwide.espacenet.com/publicationDetails/biblio?II=54&amp;ND=3&amp;adjacent=true&amp;locale=en_EP&amp;FT=D&amp;date=20170525&amp;CC=US&amp;NR=2017144678A1&amp;KC=A1</v>
      </c>
    </row>
    <row r="1569" spans="3:5" x14ac:dyDescent="0.25">
      <c r="C1569" t="s">
        <v>2662</v>
      </c>
      <c r="D1569" t="s">
        <v>2663</v>
      </c>
      <c r="E1569" t="str">
        <f>HYPERLINK("https://worldwide.espacenet.com/publicationDetails/biblio?II=55&amp;ND=3&amp;adjacent=true&amp;locale=en_EP&amp;FT=D&amp;date=20170517&amp;CC=CN&amp;NR=206171785U&amp;KC=U")</f>
        <v>https://worldwide.espacenet.com/publicationDetails/biblio?II=55&amp;ND=3&amp;adjacent=true&amp;locale=en_EP&amp;FT=D&amp;date=20170517&amp;CC=CN&amp;NR=206171785U&amp;KC=U</v>
      </c>
    </row>
    <row r="1570" spans="3:5" x14ac:dyDescent="0.25">
      <c r="C1570" t="s">
        <v>2664</v>
      </c>
      <c r="D1570" t="s">
        <v>2665</v>
      </c>
      <c r="E1570" t="str">
        <f>HYPERLINK("https://worldwide.espacenet.com/publicationDetails/biblio?II=56&amp;ND=3&amp;adjacent=true&amp;locale=en_EP&amp;FT=D&amp;date=20170517&amp;CC=CN&amp;NR=206171126U&amp;KC=U")</f>
        <v>https://worldwide.espacenet.com/publicationDetails/biblio?II=56&amp;ND=3&amp;adjacent=true&amp;locale=en_EP&amp;FT=D&amp;date=20170517&amp;CC=CN&amp;NR=206171126U&amp;KC=U</v>
      </c>
    </row>
    <row r="1571" spans="3:5" x14ac:dyDescent="0.25">
      <c r="C1571" t="s">
        <v>2666</v>
      </c>
      <c r="D1571" t="s">
        <v>2667</v>
      </c>
      <c r="E1571" t="str">
        <f>HYPERLINK("https://worldwide.espacenet.com/publicationDetails/biblio?II=57&amp;ND=3&amp;adjacent=true&amp;locale=en_EP&amp;FT=D&amp;date=20170510&amp;CC=CN&amp;NR=206162668U&amp;KC=U")</f>
        <v>https://worldwide.espacenet.com/publicationDetails/biblio?II=57&amp;ND=3&amp;adjacent=true&amp;locale=en_EP&amp;FT=D&amp;date=20170510&amp;CC=CN&amp;NR=206162668U&amp;KC=U</v>
      </c>
    </row>
    <row r="1572" spans="3:5" x14ac:dyDescent="0.25">
      <c r="C1572" t="s">
        <v>2668</v>
      </c>
      <c r="D1572" t="s">
        <v>2669</v>
      </c>
      <c r="E1572" t="str">
        <f>HYPERLINK("https://worldwide.espacenet.com/publicationDetails/biblio?II=58&amp;ND=3&amp;adjacent=true&amp;locale=en_EP&amp;FT=D&amp;date=20170411&amp;CC=KR&amp;NR=20170039345A&amp;KC=A")</f>
        <v>https://worldwide.espacenet.com/publicationDetails/biblio?II=58&amp;ND=3&amp;adjacent=true&amp;locale=en_EP&amp;FT=D&amp;date=20170411&amp;CC=KR&amp;NR=20170039345A&amp;KC=A</v>
      </c>
    </row>
    <row r="1573" spans="3:5" x14ac:dyDescent="0.25">
      <c r="C1573" t="s">
        <v>1648</v>
      </c>
      <c r="D1573" t="s">
        <v>1649</v>
      </c>
      <c r="E1573" t="str">
        <f>HYPERLINK("https://worldwide.espacenet.com/publicationDetails/biblio?II=59&amp;ND=3&amp;adjacent=true&amp;locale=en_EP&amp;FT=D&amp;date=20170426&amp;CC=CN&amp;NR=206133652U&amp;KC=U")</f>
        <v>https://worldwide.espacenet.com/publicationDetails/biblio?II=59&amp;ND=3&amp;adjacent=true&amp;locale=en_EP&amp;FT=D&amp;date=20170426&amp;CC=CN&amp;NR=206133652U&amp;KC=U</v>
      </c>
    </row>
    <row r="1574" spans="3:5" x14ac:dyDescent="0.25">
      <c r="C1574" t="s">
        <v>2670</v>
      </c>
      <c r="D1574" t="s">
        <v>2671</v>
      </c>
      <c r="E1574" t="str">
        <f>HYPERLINK("https://worldwide.espacenet.com/publicationDetails/biblio?II=60&amp;ND=3&amp;adjacent=true&amp;locale=en_EP&amp;FT=D&amp;date=20170427&amp;CC=WO&amp;NR=2017067185A1&amp;KC=A1")</f>
        <v>https://worldwide.espacenet.com/publicationDetails/biblio?II=60&amp;ND=3&amp;adjacent=true&amp;locale=en_EP&amp;FT=D&amp;date=20170427&amp;CC=WO&amp;NR=2017067185A1&amp;KC=A1</v>
      </c>
    </row>
    <row r="1575" spans="3:5" x14ac:dyDescent="0.25">
      <c r="C1575" t="s">
        <v>2416</v>
      </c>
      <c r="D1575" t="s">
        <v>2417</v>
      </c>
      <c r="E1575" t="str">
        <f>HYPERLINK("https://worldwide.espacenet.com/publicationDetails/biblio?II=61&amp;ND=3&amp;adjacent=true&amp;locale=en_EP&amp;FT=D&amp;date=20170419&amp;CC=CN&amp;NR=206115982U&amp;KC=U")</f>
        <v>https://worldwide.espacenet.com/publicationDetails/biblio?II=61&amp;ND=3&amp;adjacent=true&amp;locale=en_EP&amp;FT=D&amp;date=20170419&amp;CC=CN&amp;NR=206115982U&amp;KC=U</v>
      </c>
    </row>
    <row r="1576" spans="3:5" x14ac:dyDescent="0.25">
      <c r="C1576" t="s">
        <v>2672</v>
      </c>
      <c r="D1576" t="s">
        <v>2673</v>
      </c>
      <c r="E1576" t="str">
        <f>HYPERLINK("https://worldwide.espacenet.com/publicationDetails/biblio?II=62&amp;ND=3&amp;adjacent=true&amp;locale=en_EP&amp;FT=D&amp;date=20170412&amp;CC=CN&amp;NR=206078294U&amp;KC=U")</f>
        <v>https://worldwide.espacenet.com/publicationDetails/biblio?II=62&amp;ND=3&amp;adjacent=true&amp;locale=en_EP&amp;FT=D&amp;date=20170412&amp;CC=CN&amp;NR=206078294U&amp;KC=U</v>
      </c>
    </row>
    <row r="1577" spans="3:5" x14ac:dyDescent="0.25">
      <c r="C1577" t="s">
        <v>2674</v>
      </c>
      <c r="D1577" t="s">
        <v>2675</v>
      </c>
      <c r="E1577" t="str">
        <f>HYPERLINK("https://worldwide.espacenet.com/publicationDetails/biblio?II=63&amp;ND=3&amp;adjacent=true&amp;locale=en_EP&amp;FT=D&amp;date=20170412&amp;CC=CN&amp;NR=206097146U&amp;KC=U")</f>
        <v>https://worldwide.espacenet.com/publicationDetails/biblio?II=63&amp;ND=3&amp;adjacent=true&amp;locale=en_EP&amp;FT=D&amp;date=20170412&amp;CC=CN&amp;NR=206097146U&amp;KC=U</v>
      </c>
    </row>
    <row r="1578" spans="3:5" x14ac:dyDescent="0.25">
      <c r="C1578" t="s">
        <v>2676</v>
      </c>
      <c r="D1578" t="s">
        <v>2677</v>
      </c>
      <c r="E1578" t="str">
        <f>HYPERLINK("https://worldwide.espacenet.com/publicationDetails/biblio?II=64&amp;ND=3&amp;adjacent=true&amp;locale=en_EP&amp;FT=D&amp;date=20170405&amp;CC=CN&amp;NR=106553727A&amp;KC=A")</f>
        <v>https://worldwide.espacenet.com/publicationDetails/biblio?II=64&amp;ND=3&amp;adjacent=true&amp;locale=en_EP&amp;FT=D&amp;date=20170405&amp;CC=CN&amp;NR=106553727A&amp;KC=A</v>
      </c>
    </row>
    <row r="1579" spans="3:5" x14ac:dyDescent="0.25">
      <c r="C1579" t="s">
        <v>2678</v>
      </c>
      <c r="D1579" t="s">
        <v>2679</v>
      </c>
      <c r="E1579" t="str">
        <f>HYPERLINK("https://worldwide.espacenet.com/publicationDetails/biblio?II=65&amp;ND=3&amp;adjacent=true&amp;locale=en_EP&amp;FT=D&amp;date=20170329&amp;CC=CN&amp;NR=106548649A&amp;KC=A")</f>
        <v>https://worldwide.espacenet.com/publicationDetails/biblio?II=65&amp;ND=3&amp;adjacent=true&amp;locale=en_EP&amp;FT=D&amp;date=20170329&amp;CC=CN&amp;NR=106548649A&amp;KC=A</v>
      </c>
    </row>
    <row r="1580" spans="3:5" x14ac:dyDescent="0.25">
      <c r="C1580" t="s">
        <v>2680</v>
      </c>
      <c r="D1580" t="s">
        <v>2681</v>
      </c>
      <c r="E1580" t="str">
        <f>HYPERLINK("https://worldwide.espacenet.com/publicationDetails/biblio?II=66&amp;ND=3&amp;adjacent=true&amp;locale=en_EP&amp;FT=D&amp;date=20170315&amp;CC=CN&amp;NR=106504364A&amp;KC=A")</f>
        <v>https://worldwide.espacenet.com/publicationDetails/biblio?II=66&amp;ND=3&amp;adjacent=true&amp;locale=en_EP&amp;FT=D&amp;date=20170315&amp;CC=CN&amp;NR=106504364A&amp;KC=A</v>
      </c>
    </row>
    <row r="1581" spans="3:5" x14ac:dyDescent="0.25">
      <c r="C1581" t="s">
        <v>2682</v>
      </c>
      <c r="D1581" t="s">
        <v>2683</v>
      </c>
      <c r="E1581" t="str">
        <f>HYPERLINK("https://worldwide.espacenet.com/publicationDetails/biblio?II=67&amp;ND=3&amp;adjacent=true&amp;locale=en_EP&amp;FT=D&amp;date=20170322&amp;CC=CN&amp;NR=106530149A&amp;KC=A")</f>
        <v>https://worldwide.espacenet.com/publicationDetails/biblio?II=67&amp;ND=3&amp;adjacent=true&amp;locale=en_EP&amp;FT=D&amp;date=20170322&amp;CC=CN&amp;NR=106530149A&amp;KC=A</v>
      </c>
    </row>
    <row r="1582" spans="3:5" x14ac:dyDescent="0.25">
      <c r="C1582" t="s">
        <v>2684</v>
      </c>
      <c r="D1582" t="s">
        <v>2685</v>
      </c>
      <c r="E1582" t="str">
        <f>HYPERLINK("https://worldwide.espacenet.com/publicationDetails/biblio?II=68&amp;ND=3&amp;adjacent=true&amp;locale=en_EP&amp;FT=D&amp;date=20170308&amp;CC=CN&amp;NR=106485577A&amp;KC=A")</f>
        <v>https://worldwide.espacenet.com/publicationDetails/biblio?II=68&amp;ND=3&amp;adjacent=true&amp;locale=en_EP&amp;FT=D&amp;date=20170308&amp;CC=CN&amp;NR=106485577A&amp;KC=A</v>
      </c>
    </row>
    <row r="1583" spans="3:5" x14ac:dyDescent="0.25">
      <c r="C1583" t="s">
        <v>2686</v>
      </c>
      <c r="D1583" t="s">
        <v>2687</v>
      </c>
      <c r="E1583" t="str">
        <f>HYPERLINK("https://worldwide.espacenet.com/publicationDetails/biblio?II=69&amp;ND=3&amp;adjacent=true&amp;locale=en_EP&amp;FT=D&amp;date=20170315&amp;CC=CN&amp;NR=206012413U&amp;KC=U")</f>
        <v>https://worldwide.espacenet.com/publicationDetails/biblio?II=69&amp;ND=3&amp;adjacent=true&amp;locale=en_EP&amp;FT=D&amp;date=20170315&amp;CC=CN&amp;NR=206012413U&amp;KC=U</v>
      </c>
    </row>
    <row r="1584" spans="3:5" x14ac:dyDescent="0.25">
      <c r="C1584" t="s">
        <v>2418</v>
      </c>
      <c r="D1584" t="s">
        <v>2419</v>
      </c>
      <c r="E1584" t="str">
        <f>HYPERLINK("https://worldwide.espacenet.com/publicationDetails/biblio?II=70&amp;ND=3&amp;adjacent=true&amp;locale=en_EP&amp;FT=D&amp;date=20170308&amp;CC=CN&amp;NR=106486036A&amp;KC=A")</f>
        <v>https://worldwide.espacenet.com/publicationDetails/biblio?II=70&amp;ND=3&amp;adjacent=true&amp;locale=en_EP&amp;FT=D&amp;date=20170308&amp;CC=CN&amp;NR=106486036A&amp;KC=A</v>
      </c>
    </row>
    <row r="1585" spans="3:5" x14ac:dyDescent="0.25">
      <c r="C1585" t="s">
        <v>2688</v>
      </c>
      <c r="D1585" t="s">
        <v>2689</v>
      </c>
      <c r="E1585" t="str">
        <f>HYPERLINK("https://worldwide.espacenet.com/publicationDetails/biblio?II=71&amp;ND=3&amp;adjacent=true&amp;locale=en_EP&amp;FT=D&amp;date=20161107&amp;CC=MX&amp;NR=2016010718A&amp;KC=A")</f>
        <v>https://worldwide.espacenet.com/publicationDetails/biblio?II=71&amp;ND=3&amp;adjacent=true&amp;locale=en_EP&amp;FT=D&amp;date=20161107&amp;CC=MX&amp;NR=2016010718A&amp;KC=A</v>
      </c>
    </row>
    <row r="1586" spans="3:5" x14ac:dyDescent="0.25">
      <c r="C1586" t="s">
        <v>1668</v>
      </c>
      <c r="D1586" t="s">
        <v>1669</v>
      </c>
      <c r="E1586" t="str">
        <f>HYPERLINK("https://worldwide.espacenet.com/publicationDetails/biblio?II=72&amp;ND=3&amp;adjacent=true&amp;locale=en_EP&amp;FT=D&amp;date=20161221&amp;CC=CN&amp;NR=106250949A&amp;KC=A")</f>
        <v>https://worldwide.espacenet.com/publicationDetails/biblio?II=72&amp;ND=3&amp;adjacent=true&amp;locale=en_EP&amp;FT=D&amp;date=20161221&amp;CC=CN&amp;NR=106250949A&amp;KC=A</v>
      </c>
    </row>
    <row r="1587" spans="3:5" x14ac:dyDescent="0.25">
      <c r="C1587" t="s">
        <v>2690</v>
      </c>
      <c r="D1587" t="s">
        <v>2691</v>
      </c>
      <c r="E1587" t="str">
        <f>HYPERLINK("https://worldwide.espacenet.com/publicationDetails/biblio?II=73&amp;ND=3&amp;adjacent=true&amp;locale=en_EP&amp;FT=D&amp;date=20170215&amp;CC=CN&amp;NR=205959026U&amp;KC=U")</f>
        <v>https://worldwide.espacenet.com/publicationDetails/biblio?II=73&amp;ND=3&amp;adjacent=true&amp;locale=en_EP&amp;FT=D&amp;date=20170215&amp;CC=CN&amp;NR=205959026U&amp;KC=U</v>
      </c>
    </row>
    <row r="1588" spans="3:5" x14ac:dyDescent="0.25">
      <c r="C1588" t="s">
        <v>2692</v>
      </c>
      <c r="D1588" t="s">
        <v>2693</v>
      </c>
      <c r="E1588" t="str">
        <f>HYPERLINK("https://worldwide.espacenet.com/publicationDetails/biblio?II=74&amp;ND=3&amp;adjacent=true&amp;locale=en_EP&amp;FT=D&amp;date=20170201&amp;CC=CN&amp;NR=106364507A&amp;KC=A")</f>
        <v>https://worldwide.espacenet.com/publicationDetails/biblio?II=74&amp;ND=3&amp;adjacent=true&amp;locale=en_EP&amp;FT=D&amp;date=20170201&amp;CC=CN&amp;NR=106364507A&amp;KC=A</v>
      </c>
    </row>
    <row r="1589" spans="3:5" x14ac:dyDescent="0.25">
      <c r="C1589" t="s">
        <v>2694</v>
      </c>
      <c r="D1589" t="s">
        <v>2695</v>
      </c>
      <c r="E1589" t="str">
        <f>HYPERLINK("https://worldwide.espacenet.com/publicationDetails/biblio?II=75&amp;ND=3&amp;adjacent=true&amp;locale=en_EP&amp;FT=D&amp;date=20170125&amp;CC=CN&amp;NR=106347391A&amp;KC=A")</f>
        <v>https://worldwide.espacenet.com/publicationDetails/biblio?II=75&amp;ND=3&amp;adjacent=true&amp;locale=en_EP&amp;FT=D&amp;date=20170125&amp;CC=CN&amp;NR=106347391A&amp;KC=A</v>
      </c>
    </row>
    <row r="1590" spans="3:5" x14ac:dyDescent="0.25">
      <c r="C1590" t="s">
        <v>2420</v>
      </c>
      <c r="D1590" t="s">
        <v>2421</v>
      </c>
      <c r="E1590" t="str">
        <f>HYPERLINK("https://worldwide.espacenet.com/publicationDetails/biblio?II=76&amp;ND=3&amp;adjacent=true&amp;locale=en_EP&amp;FT=D&amp;date=20170301&amp;CC=TW&amp;NR=201709123A&amp;KC=A")</f>
        <v>https://worldwide.espacenet.com/publicationDetails/biblio?II=76&amp;ND=3&amp;adjacent=true&amp;locale=en_EP&amp;FT=D&amp;date=20170301&amp;CC=TW&amp;NR=201709123A&amp;KC=A</v>
      </c>
    </row>
    <row r="1591" spans="3:5" x14ac:dyDescent="0.25">
      <c r="C1591" t="s">
        <v>2696</v>
      </c>
      <c r="D1591" t="s">
        <v>2697</v>
      </c>
      <c r="E1591" t="str">
        <f>HYPERLINK("https://worldwide.espacenet.com/publicationDetails/biblio?II=77&amp;ND=3&amp;adjacent=true&amp;locale=en_EP&amp;FT=D&amp;date=20170118&amp;CC=CN&amp;NR=205890700U&amp;KC=U")</f>
        <v>https://worldwide.espacenet.com/publicationDetails/biblio?II=77&amp;ND=3&amp;adjacent=true&amp;locale=en_EP&amp;FT=D&amp;date=20170118&amp;CC=CN&amp;NR=205890700U&amp;KC=U</v>
      </c>
    </row>
    <row r="1592" spans="3:5" x14ac:dyDescent="0.25">
      <c r="C1592" t="s">
        <v>2698</v>
      </c>
      <c r="D1592" t="s">
        <v>2699</v>
      </c>
      <c r="E1592" t="str">
        <f>HYPERLINK("https://worldwide.espacenet.com/publicationDetails/biblio?II=78&amp;ND=3&amp;adjacent=true&amp;locale=en_EP&amp;FT=D&amp;date=20170118&amp;CC=CN&amp;NR=205890675U&amp;KC=U")</f>
        <v>https://worldwide.espacenet.com/publicationDetails/biblio?II=78&amp;ND=3&amp;adjacent=true&amp;locale=en_EP&amp;FT=D&amp;date=20170118&amp;CC=CN&amp;NR=205890675U&amp;KC=U</v>
      </c>
    </row>
    <row r="1593" spans="3:5" x14ac:dyDescent="0.25">
      <c r="C1593" t="s">
        <v>2700</v>
      </c>
      <c r="D1593" t="s">
        <v>2701</v>
      </c>
      <c r="E1593" t="str">
        <f>HYPERLINK("https://worldwide.espacenet.com/publicationDetails/biblio?II=79&amp;ND=3&amp;adjacent=true&amp;locale=en_EP&amp;FT=D&amp;date=20170104&amp;CC=CN&amp;NR=106274937A&amp;KC=A")</f>
        <v>https://worldwide.espacenet.com/publicationDetails/biblio?II=79&amp;ND=3&amp;adjacent=true&amp;locale=en_EP&amp;FT=D&amp;date=20170104&amp;CC=CN&amp;NR=106274937A&amp;KC=A</v>
      </c>
    </row>
    <row r="1594" spans="3:5" x14ac:dyDescent="0.25">
      <c r="C1594" t="s">
        <v>2702</v>
      </c>
      <c r="D1594" t="s">
        <v>2703</v>
      </c>
      <c r="E1594" t="str">
        <f>HYPERLINK("https://worldwide.espacenet.com/publicationDetails/biblio?II=80&amp;ND=3&amp;adjacent=true&amp;locale=en_EP&amp;FT=D&amp;date=20161221&amp;CC=CN&amp;NR=205827412U&amp;KC=U")</f>
        <v>https://worldwide.espacenet.com/publicationDetails/biblio?II=80&amp;ND=3&amp;adjacent=true&amp;locale=en_EP&amp;FT=D&amp;date=20161221&amp;CC=CN&amp;NR=205827412U&amp;KC=U</v>
      </c>
    </row>
    <row r="1595" spans="3:5" x14ac:dyDescent="0.25">
      <c r="C1595" t="s">
        <v>2704</v>
      </c>
      <c r="D1595" t="s">
        <v>2705</v>
      </c>
      <c r="E1595" t="str">
        <f>HYPERLINK("https://worldwide.espacenet.com/publicationDetails/biblio?II=81&amp;ND=3&amp;adjacent=true&amp;locale=en_EP&amp;FT=D&amp;date=20161221&amp;CC=CN&amp;NR=205827453U&amp;KC=U")</f>
        <v>https://worldwide.espacenet.com/publicationDetails/biblio?II=81&amp;ND=3&amp;adjacent=true&amp;locale=en_EP&amp;FT=D&amp;date=20161221&amp;CC=CN&amp;NR=205827453U&amp;KC=U</v>
      </c>
    </row>
    <row r="1596" spans="3:5" x14ac:dyDescent="0.25">
      <c r="C1596" t="s">
        <v>2706</v>
      </c>
      <c r="D1596" t="s">
        <v>2707</v>
      </c>
      <c r="E1596" t="str">
        <f>HYPERLINK("https://worldwide.espacenet.com/publicationDetails/biblio?II=82&amp;ND=3&amp;adjacent=true&amp;locale=en_EP&amp;FT=D&amp;date=20161221&amp;CC=CN&amp;NR=205818804U&amp;KC=U")</f>
        <v>https://worldwide.espacenet.com/publicationDetails/biblio?II=82&amp;ND=3&amp;adjacent=true&amp;locale=en_EP&amp;FT=D&amp;date=20161221&amp;CC=CN&amp;NR=205818804U&amp;KC=U</v>
      </c>
    </row>
    <row r="1597" spans="3:5" x14ac:dyDescent="0.25">
      <c r="C1597" t="s">
        <v>2708</v>
      </c>
      <c r="D1597" t="s">
        <v>2709</v>
      </c>
      <c r="E1597" t="str">
        <f>HYPERLINK("https://worldwide.espacenet.com/publicationDetails/biblio?II=83&amp;ND=3&amp;adjacent=true&amp;locale=en_EP&amp;FT=D&amp;date=20161108&amp;CC=KR&amp;NR=20160128669A&amp;KC=A")</f>
        <v>https://worldwide.espacenet.com/publicationDetails/biblio?II=83&amp;ND=3&amp;adjacent=true&amp;locale=en_EP&amp;FT=D&amp;date=20161108&amp;CC=KR&amp;NR=20160128669A&amp;KC=A</v>
      </c>
    </row>
    <row r="1598" spans="3:5" x14ac:dyDescent="0.25">
      <c r="C1598" t="s">
        <v>2710</v>
      </c>
      <c r="D1598" t="s">
        <v>2711</v>
      </c>
      <c r="E1598" t="str">
        <f>HYPERLINK("https://worldwide.espacenet.com/publicationDetails/biblio?II=84&amp;ND=3&amp;adjacent=true&amp;locale=en_EP&amp;FT=D&amp;date=20161215&amp;CC=US&amp;NR=2016363452A1&amp;KC=A1")</f>
        <v>https://worldwide.espacenet.com/publicationDetails/biblio?II=84&amp;ND=3&amp;adjacent=true&amp;locale=en_EP&amp;FT=D&amp;date=20161215&amp;CC=US&amp;NR=2016363452A1&amp;KC=A1</v>
      </c>
    </row>
    <row r="1599" spans="3:5" x14ac:dyDescent="0.25">
      <c r="C1599" t="s">
        <v>2712</v>
      </c>
      <c r="D1599" t="s">
        <v>2713</v>
      </c>
      <c r="E1599" t="str">
        <f>HYPERLINK("https://worldwide.espacenet.com/publicationDetails/biblio?II=85&amp;ND=3&amp;adjacent=true&amp;locale=en_EP&amp;FT=D&amp;date=20161116&amp;CC=CN&amp;NR=106124512A&amp;KC=A")</f>
        <v>https://worldwide.espacenet.com/publicationDetails/biblio?II=85&amp;ND=3&amp;adjacent=true&amp;locale=en_EP&amp;FT=D&amp;date=20161116&amp;CC=CN&amp;NR=106124512A&amp;KC=A</v>
      </c>
    </row>
    <row r="1600" spans="3:5" x14ac:dyDescent="0.25">
      <c r="C1600" t="s">
        <v>2422</v>
      </c>
      <c r="D1600" t="s">
        <v>2423</v>
      </c>
      <c r="E1600" t="str">
        <f>HYPERLINK("https://worldwide.espacenet.com/publicationDetails/biblio?II=86&amp;ND=3&amp;adjacent=true&amp;locale=en_EP&amp;FT=D&amp;date=20161207&amp;CC=CN&amp;NR=106204784A&amp;KC=A")</f>
        <v>https://worldwide.espacenet.com/publicationDetails/biblio?II=86&amp;ND=3&amp;adjacent=true&amp;locale=en_EP&amp;FT=D&amp;date=20161207&amp;CC=CN&amp;NR=106204784A&amp;KC=A</v>
      </c>
    </row>
    <row r="1601" spans="3:5" x14ac:dyDescent="0.25">
      <c r="C1601" t="s">
        <v>2714</v>
      </c>
      <c r="D1601" t="s">
        <v>2715</v>
      </c>
      <c r="E1601" t="str">
        <f>HYPERLINK("https://worldwide.espacenet.com/publicationDetails/biblio?II=87&amp;ND=3&amp;adjacent=true&amp;locale=en_EP&amp;FT=D&amp;date=20161201&amp;CC=JP&amp;NR=2016200525A&amp;KC=A")</f>
        <v>https://worldwide.espacenet.com/publicationDetails/biblio?II=87&amp;ND=3&amp;adjacent=true&amp;locale=en_EP&amp;FT=D&amp;date=20161201&amp;CC=JP&amp;NR=2016200525A&amp;KC=A</v>
      </c>
    </row>
    <row r="1602" spans="3:5" x14ac:dyDescent="0.25">
      <c r="C1602" t="s">
        <v>2716</v>
      </c>
      <c r="D1602" t="s">
        <v>2717</v>
      </c>
      <c r="E1602" t="str">
        <f>HYPERLINK("https://worldwide.espacenet.com/publicationDetails/biblio?II=88&amp;ND=3&amp;adjacent=true&amp;locale=en_EP&amp;FT=D&amp;date=20161130&amp;CC=CN&amp;NR=205751169U&amp;KC=U")</f>
        <v>https://worldwide.espacenet.com/publicationDetails/biblio?II=88&amp;ND=3&amp;adjacent=true&amp;locale=en_EP&amp;FT=D&amp;date=20161130&amp;CC=CN&amp;NR=205751169U&amp;KC=U</v>
      </c>
    </row>
    <row r="1603" spans="3:5" x14ac:dyDescent="0.25">
      <c r="C1603" t="s">
        <v>2424</v>
      </c>
      <c r="D1603" t="s">
        <v>2425</v>
      </c>
      <c r="E1603" t="str">
        <f>HYPERLINK("https://worldwide.espacenet.com/publicationDetails/biblio?II=89&amp;ND=3&amp;adjacent=true&amp;locale=en_EP&amp;FT=D&amp;date=20161012&amp;CC=CN&amp;NR=106027621A&amp;KC=A")</f>
        <v>https://worldwide.espacenet.com/publicationDetails/biblio?II=89&amp;ND=3&amp;adjacent=true&amp;locale=en_EP&amp;FT=D&amp;date=20161012&amp;CC=CN&amp;NR=106027621A&amp;KC=A</v>
      </c>
    </row>
    <row r="1604" spans="3:5" x14ac:dyDescent="0.25">
      <c r="C1604" t="s">
        <v>2718</v>
      </c>
      <c r="D1604" t="s">
        <v>2719</v>
      </c>
      <c r="E1604" t="str">
        <f>HYPERLINK("https://worldwide.espacenet.com/publicationDetails/biblio?II=90&amp;ND=3&amp;adjacent=true&amp;locale=en_EP&amp;FT=D&amp;date=20161012&amp;CC=CN&amp;NR=105996376A&amp;KC=A")</f>
        <v>https://worldwide.espacenet.com/publicationDetails/biblio?II=90&amp;ND=3&amp;adjacent=true&amp;locale=en_EP&amp;FT=D&amp;date=20161012&amp;CC=CN&amp;NR=105996376A&amp;KC=A</v>
      </c>
    </row>
    <row r="1605" spans="3:5" x14ac:dyDescent="0.25">
      <c r="C1605" t="s">
        <v>2720</v>
      </c>
      <c r="D1605" t="s">
        <v>2721</v>
      </c>
      <c r="E1605" t="str">
        <f>HYPERLINK("https://worldwide.espacenet.com/publicationDetails/biblio?II=91&amp;ND=3&amp;adjacent=true&amp;locale=en_EP&amp;FT=D&amp;date=20161012&amp;CC=CN&amp;NR=106002916A&amp;KC=A")</f>
        <v>https://worldwide.espacenet.com/publicationDetails/biblio?II=91&amp;ND=3&amp;adjacent=true&amp;locale=en_EP&amp;FT=D&amp;date=20161012&amp;CC=CN&amp;NR=106002916A&amp;KC=A</v>
      </c>
    </row>
    <row r="1606" spans="3:5" x14ac:dyDescent="0.25">
      <c r="C1606" t="s">
        <v>2722</v>
      </c>
      <c r="D1606" t="s">
        <v>2723</v>
      </c>
      <c r="E1606" t="str">
        <f>HYPERLINK("https://worldwide.espacenet.com/publicationDetails/biblio?II=92&amp;ND=3&amp;adjacent=true&amp;locale=en_EP&amp;FT=D&amp;date=20160928&amp;CC=CN&amp;NR=105979217A&amp;KC=A")</f>
        <v>https://worldwide.espacenet.com/publicationDetails/biblio?II=92&amp;ND=3&amp;adjacent=true&amp;locale=en_EP&amp;FT=D&amp;date=20160928&amp;CC=CN&amp;NR=105979217A&amp;KC=A</v>
      </c>
    </row>
    <row r="1607" spans="3:5" x14ac:dyDescent="0.25">
      <c r="C1607" t="s">
        <v>1716</v>
      </c>
      <c r="D1607" t="s">
        <v>1717</v>
      </c>
      <c r="E1607" t="str">
        <f>HYPERLINK("https://worldwide.espacenet.com/publicationDetails/biblio?II=93&amp;ND=3&amp;adjacent=true&amp;locale=en_EP&amp;FT=D&amp;date=20160921&amp;CC=CN&amp;NR=105956949A&amp;KC=A")</f>
        <v>https://worldwide.espacenet.com/publicationDetails/biblio?II=93&amp;ND=3&amp;adjacent=true&amp;locale=en_EP&amp;FT=D&amp;date=20160921&amp;CC=CN&amp;NR=105956949A&amp;KC=A</v>
      </c>
    </row>
    <row r="1608" spans="3:5" x14ac:dyDescent="0.25">
      <c r="C1608" t="s">
        <v>1718</v>
      </c>
      <c r="D1608" t="s">
        <v>1719</v>
      </c>
      <c r="E1608" t="str">
        <f>HYPERLINK("https://worldwide.espacenet.com/publicationDetails/biblio?II=94&amp;ND=3&amp;adjacent=true&amp;locale=en_EP&amp;FT=D&amp;date=20160921&amp;CC=CN&amp;NR=105956758A&amp;KC=A")</f>
        <v>https://worldwide.espacenet.com/publicationDetails/biblio?II=94&amp;ND=3&amp;adjacent=true&amp;locale=en_EP&amp;FT=D&amp;date=20160921&amp;CC=CN&amp;NR=105956758A&amp;KC=A</v>
      </c>
    </row>
    <row r="1609" spans="3:5" x14ac:dyDescent="0.25">
      <c r="C1609" t="s">
        <v>2724</v>
      </c>
      <c r="D1609" t="s">
        <v>2725</v>
      </c>
      <c r="E1609" t="str">
        <f>HYPERLINK("https://worldwide.espacenet.com/publicationDetails/biblio?II=95&amp;ND=3&amp;adjacent=true&amp;locale=en_EP&amp;FT=D&amp;date=20160915&amp;CC=WO&amp;NR=2016142827A1&amp;KC=A1")</f>
        <v>https://worldwide.espacenet.com/publicationDetails/biblio?II=95&amp;ND=3&amp;adjacent=true&amp;locale=en_EP&amp;FT=D&amp;date=20160915&amp;CC=WO&amp;NR=2016142827A1&amp;KC=A1</v>
      </c>
    </row>
    <row r="1610" spans="3:5" x14ac:dyDescent="0.25">
      <c r="C1610" t="s">
        <v>2726</v>
      </c>
      <c r="D1610" t="s">
        <v>2727</v>
      </c>
      <c r="E1610" t="str">
        <f>HYPERLINK("https://worldwide.espacenet.com/publicationDetails/biblio?II=96&amp;ND=3&amp;adjacent=true&amp;locale=en_EP&amp;FT=D&amp;date=20160908&amp;CC=US&amp;NR=2016260253A1&amp;KC=A1")</f>
        <v>https://worldwide.espacenet.com/publicationDetails/biblio?II=96&amp;ND=3&amp;adjacent=true&amp;locale=en_EP&amp;FT=D&amp;date=20160908&amp;CC=US&amp;NR=2016260253A1&amp;KC=A1</v>
      </c>
    </row>
    <row r="1611" spans="3:5" x14ac:dyDescent="0.25">
      <c r="C1611" t="s">
        <v>2728</v>
      </c>
      <c r="D1611" t="s">
        <v>2729</v>
      </c>
      <c r="E1611" t="str">
        <f>HYPERLINK("https://worldwide.espacenet.com/publicationDetails/biblio?II=97&amp;ND=3&amp;adjacent=true&amp;locale=en_EP&amp;FT=D&amp;date=20160831&amp;CC=CN&amp;NR=105910600A&amp;KC=A")</f>
        <v>https://worldwide.espacenet.com/publicationDetails/biblio?II=97&amp;ND=3&amp;adjacent=true&amp;locale=en_EP&amp;FT=D&amp;date=20160831&amp;CC=CN&amp;NR=105910600A&amp;KC=A</v>
      </c>
    </row>
    <row r="1612" spans="3:5" x14ac:dyDescent="0.25">
      <c r="C1612" t="s">
        <v>2730</v>
      </c>
      <c r="D1612" t="s">
        <v>2731</v>
      </c>
      <c r="E1612" t="str">
        <f>HYPERLINK("https://worldwide.espacenet.com/publicationDetails/biblio?II=98&amp;ND=3&amp;adjacent=true&amp;locale=en_EP&amp;FT=D&amp;date=20160824&amp;CC=CN&amp;NR=205507168U&amp;KC=U")</f>
        <v>https://worldwide.espacenet.com/publicationDetails/biblio?II=98&amp;ND=3&amp;adjacent=true&amp;locale=en_EP&amp;FT=D&amp;date=20160824&amp;CC=CN&amp;NR=205507168U&amp;KC=U</v>
      </c>
    </row>
    <row r="1613" spans="3:5" x14ac:dyDescent="0.25">
      <c r="C1613" t="s">
        <v>2732</v>
      </c>
      <c r="D1613" t="s">
        <v>2733</v>
      </c>
      <c r="E1613" t="str">
        <f>HYPERLINK("https://worldwide.espacenet.com/publicationDetails/biblio?II=99&amp;ND=3&amp;adjacent=true&amp;locale=en_EP&amp;FT=D&amp;date=20160817&amp;CC=CN&amp;NR=205486585U&amp;KC=U")</f>
        <v>https://worldwide.espacenet.com/publicationDetails/biblio?II=99&amp;ND=3&amp;adjacent=true&amp;locale=en_EP&amp;FT=D&amp;date=20160817&amp;CC=CN&amp;NR=205486585U&amp;KC=U</v>
      </c>
    </row>
    <row r="1614" spans="3:5" x14ac:dyDescent="0.25">
      <c r="C1614" t="s">
        <v>2734</v>
      </c>
      <c r="D1614" t="s">
        <v>2735</v>
      </c>
      <c r="E1614" t="str">
        <f>HYPERLINK("https://worldwide.espacenet.com/publicationDetails/biblio?II=100&amp;ND=3&amp;adjacent=true&amp;locale=en_EP&amp;FT=D&amp;date=20160608&amp;CC=CN&amp;NR=105644572A&amp;KC=A")</f>
        <v>https://worldwide.espacenet.com/publicationDetails/biblio?II=100&amp;ND=3&amp;adjacent=true&amp;locale=en_EP&amp;FT=D&amp;date=20160608&amp;CC=CN&amp;NR=105644572A&amp;KC=A</v>
      </c>
    </row>
    <row r="1615" spans="3:5" x14ac:dyDescent="0.25">
      <c r="C1615" t="s">
        <v>1742</v>
      </c>
      <c r="D1615" t="s">
        <v>1743</v>
      </c>
      <c r="E1615" t="str">
        <f>HYPERLINK("https://worldwide.espacenet.com/publicationDetails/biblio?II=101&amp;ND=3&amp;adjacent=true&amp;locale=en_EP&amp;FT=D&amp;date=20160608&amp;CC=CN&amp;NR=105657664A&amp;KC=A")</f>
        <v>https://worldwide.espacenet.com/publicationDetails/biblio?II=101&amp;ND=3&amp;adjacent=true&amp;locale=en_EP&amp;FT=D&amp;date=20160608&amp;CC=CN&amp;NR=105657664A&amp;KC=A</v>
      </c>
    </row>
    <row r="1616" spans="3:5" x14ac:dyDescent="0.25">
      <c r="C1616" t="s">
        <v>2736</v>
      </c>
      <c r="D1616" t="s">
        <v>2737</v>
      </c>
      <c r="E1616" t="str">
        <f>HYPERLINK("https://worldwide.espacenet.com/publicationDetails/biblio?II=102&amp;ND=3&amp;adjacent=true&amp;locale=en_EP&amp;FT=D&amp;date=20160727&amp;CC=CN&amp;NR=105807766A&amp;KC=A")</f>
        <v>https://worldwide.espacenet.com/publicationDetails/biblio?II=102&amp;ND=3&amp;adjacent=true&amp;locale=en_EP&amp;FT=D&amp;date=20160727&amp;CC=CN&amp;NR=105807766A&amp;KC=A</v>
      </c>
    </row>
    <row r="1617" spans="3:5" x14ac:dyDescent="0.25">
      <c r="C1617" t="s">
        <v>2738</v>
      </c>
      <c r="D1617" t="s">
        <v>2739</v>
      </c>
      <c r="E1617" t="str">
        <f>HYPERLINK("https://worldwide.espacenet.com/publicationDetails/biblio?II=103&amp;ND=3&amp;adjacent=true&amp;locale=en_EP&amp;FT=D&amp;date=20160608&amp;CC=CN&amp;NR=205293011U&amp;KC=U")</f>
        <v>https://worldwide.espacenet.com/publicationDetails/biblio?II=103&amp;ND=3&amp;adjacent=true&amp;locale=en_EP&amp;FT=D&amp;date=20160608&amp;CC=CN&amp;NR=205293011U&amp;KC=U</v>
      </c>
    </row>
    <row r="1618" spans="3:5" x14ac:dyDescent="0.25">
      <c r="C1618" t="s">
        <v>2740</v>
      </c>
      <c r="D1618" t="s">
        <v>2741</v>
      </c>
      <c r="E1618" t="str">
        <f>HYPERLINK("https://worldwide.espacenet.com/publicationDetails/biblio?II=104&amp;ND=3&amp;adjacent=true&amp;locale=en_EP&amp;FT=D&amp;date=20160727&amp;CC=CN&amp;NR=105809416A&amp;KC=A")</f>
        <v>https://worldwide.espacenet.com/publicationDetails/biblio?II=104&amp;ND=3&amp;adjacent=true&amp;locale=en_EP&amp;FT=D&amp;date=20160727&amp;CC=CN&amp;NR=105809416A&amp;KC=A</v>
      </c>
    </row>
    <row r="1619" spans="3:5" x14ac:dyDescent="0.25">
      <c r="C1619" t="s">
        <v>2732</v>
      </c>
      <c r="D1619" t="s">
        <v>2742</v>
      </c>
      <c r="E1619" t="str">
        <f>HYPERLINK("https://worldwide.espacenet.com/publicationDetails/biblio?II=105&amp;ND=3&amp;adjacent=true&amp;locale=en_EP&amp;FT=D&amp;date=20160727&amp;CC=CN&amp;NR=205405769U&amp;KC=U")</f>
        <v>https://worldwide.espacenet.com/publicationDetails/biblio?II=105&amp;ND=3&amp;adjacent=true&amp;locale=en_EP&amp;FT=D&amp;date=20160727&amp;CC=CN&amp;NR=205405769U&amp;KC=U</v>
      </c>
    </row>
    <row r="1620" spans="3:5" x14ac:dyDescent="0.25">
      <c r="C1620" t="s">
        <v>2743</v>
      </c>
      <c r="D1620" t="s">
        <v>2744</v>
      </c>
      <c r="E1620" t="str">
        <f>HYPERLINK("https://worldwide.espacenet.com/publicationDetails/biblio?II=106&amp;ND=3&amp;adjacent=true&amp;locale=en_EP&amp;FT=D&amp;date=20160727&amp;CC=CN&amp;NR=105810130A&amp;KC=A")</f>
        <v>https://worldwide.espacenet.com/publicationDetails/biblio?II=106&amp;ND=3&amp;adjacent=true&amp;locale=en_EP&amp;FT=D&amp;date=20160727&amp;CC=CN&amp;NR=105810130A&amp;KC=A</v>
      </c>
    </row>
    <row r="1621" spans="3:5" x14ac:dyDescent="0.25">
      <c r="C1621" t="s">
        <v>1752</v>
      </c>
      <c r="D1621" t="s">
        <v>1753</v>
      </c>
      <c r="E1621" t="str">
        <f>HYPERLINK("https://worldwide.espacenet.com/publicationDetails/biblio?II=107&amp;ND=3&amp;adjacent=true&amp;locale=en_EP&amp;FT=D&amp;date=20160901&amp;CC=TW&amp;NR=201631545A&amp;KC=A")</f>
        <v>https://worldwide.espacenet.com/publicationDetails/biblio?II=107&amp;ND=3&amp;adjacent=true&amp;locale=en_EP&amp;FT=D&amp;date=20160901&amp;CC=TW&amp;NR=201631545A&amp;KC=A</v>
      </c>
    </row>
    <row r="1622" spans="3:5" x14ac:dyDescent="0.25">
      <c r="C1622" t="s">
        <v>2426</v>
      </c>
      <c r="D1622" t="s">
        <v>2427</v>
      </c>
      <c r="E1622" t="str">
        <f>HYPERLINK("https://worldwide.espacenet.com/publicationDetails/biblio?II=108&amp;ND=3&amp;adjacent=true&amp;locale=en_EP&amp;FT=D&amp;date=20160706&amp;CC=CN&amp;NR=105743530A&amp;KC=A")</f>
        <v>https://worldwide.espacenet.com/publicationDetails/biblio?II=108&amp;ND=3&amp;adjacent=true&amp;locale=en_EP&amp;FT=D&amp;date=20160706&amp;CC=CN&amp;NR=105743530A&amp;KC=A</v>
      </c>
    </row>
    <row r="1623" spans="3:5" x14ac:dyDescent="0.25">
      <c r="C1623" t="s">
        <v>2745</v>
      </c>
      <c r="D1623" t="s">
        <v>2746</v>
      </c>
      <c r="E1623" t="str">
        <f>HYPERLINK("https://worldwide.espacenet.com/publicationDetails/biblio?II=109&amp;ND=3&amp;adjacent=true&amp;locale=en_EP&amp;FT=D&amp;date=20160622&amp;CC=CN&amp;NR=105701525A&amp;KC=A")</f>
        <v>https://worldwide.espacenet.com/publicationDetails/biblio?II=109&amp;ND=3&amp;adjacent=true&amp;locale=en_EP&amp;FT=D&amp;date=20160622&amp;CC=CN&amp;NR=105701525A&amp;KC=A</v>
      </c>
    </row>
    <row r="1624" spans="3:5" x14ac:dyDescent="0.25">
      <c r="C1624" t="s">
        <v>2428</v>
      </c>
      <c r="D1624" t="s">
        <v>2429</v>
      </c>
      <c r="E1624" t="str">
        <f>HYPERLINK("https://worldwide.espacenet.com/publicationDetails/biblio?II=110&amp;ND=3&amp;adjacent=true&amp;locale=en_EP&amp;FT=D&amp;date=20160622&amp;CC=CN&amp;NR=105703792A&amp;KC=A")</f>
        <v>https://worldwide.espacenet.com/publicationDetails/biblio?II=110&amp;ND=3&amp;adjacent=true&amp;locale=en_EP&amp;FT=D&amp;date=20160622&amp;CC=CN&amp;NR=105703792A&amp;KC=A</v>
      </c>
    </row>
    <row r="1625" spans="3:5" x14ac:dyDescent="0.25">
      <c r="C1625" t="s">
        <v>2747</v>
      </c>
      <c r="D1625" t="s">
        <v>2748</v>
      </c>
      <c r="E1625" t="str">
        <f>HYPERLINK("https://worldwide.espacenet.com/publicationDetails/biblio?II=111&amp;ND=3&amp;adjacent=true&amp;locale=en_EP&amp;FT=D&amp;date=20160622&amp;CC=CN&amp;NR=205322771U&amp;KC=U")</f>
        <v>https://worldwide.espacenet.com/publicationDetails/biblio?II=111&amp;ND=3&amp;adjacent=true&amp;locale=en_EP&amp;FT=D&amp;date=20160622&amp;CC=CN&amp;NR=205322771U&amp;KC=U</v>
      </c>
    </row>
    <row r="1626" spans="3:5" x14ac:dyDescent="0.25">
      <c r="C1626" t="s">
        <v>2749</v>
      </c>
      <c r="D1626" t="s">
        <v>2750</v>
      </c>
      <c r="E1626" t="str">
        <f>HYPERLINK("https://worldwide.espacenet.com/publicationDetails/biblio?II=112&amp;ND=3&amp;adjacent=true&amp;locale=en_EP&amp;FT=D&amp;date=20160629&amp;CC=CN&amp;NR=205339526U&amp;KC=U")</f>
        <v>https://worldwide.espacenet.com/publicationDetails/biblio?II=112&amp;ND=3&amp;adjacent=true&amp;locale=en_EP&amp;FT=D&amp;date=20160629&amp;CC=CN&amp;NR=205339526U&amp;KC=U</v>
      </c>
    </row>
    <row r="1627" spans="3:5" x14ac:dyDescent="0.25">
      <c r="C1627" t="s">
        <v>2751</v>
      </c>
      <c r="D1627" t="s">
        <v>2752</v>
      </c>
      <c r="E1627" t="str">
        <f>HYPERLINK("https://worldwide.espacenet.com/publicationDetails/biblio?II=113&amp;ND=3&amp;adjacent=true&amp;locale=en_EP&amp;FT=D&amp;date=20160601&amp;CC=CN&amp;NR=205277004U&amp;KC=U")</f>
        <v>https://worldwide.espacenet.com/publicationDetails/biblio?II=113&amp;ND=3&amp;adjacent=true&amp;locale=en_EP&amp;FT=D&amp;date=20160601&amp;CC=CN&amp;NR=205277004U&amp;KC=U</v>
      </c>
    </row>
    <row r="1628" spans="3:5" x14ac:dyDescent="0.25">
      <c r="C1628" t="s">
        <v>2753</v>
      </c>
      <c r="D1628" t="s">
        <v>2754</v>
      </c>
      <c r="E1628" t="str">
        <f>HYPERLINK("https://worldwide.espacenet.com/publicationDetails/biblio?II=114&amp;ND=3&amp;adjacent=true&amp;locale=en_EP&amp;FT=D&amp;date=20160511&amp;CC=KR&amp;NR=20160050889A&amp;KC=A")</f>
        <v>https://worldwide.espacenet.com/publicationDetails/biblio?II=114&amp;ND=3&amp;adjacent=true&amp;locale=en_EP&amp;FT=D&amp;date=20160511&amp;CC=KR&amp;NR=20160050889A&amp;KC=A</v>
      </c>
    </row>
    <row r="1629" spans="3:5" x14ac:dyDescent="0.25">
      <c r="C1629" t="s">
        <v>2755</v>
      </c>
      <c r="D1629" t="s">
        <v>2756</v>
      </c>
      <c r="E1629" t="str">
        <f>HYPERLINK("https://worldwide.espacenet.com/publicationDetails/biblio?II=115&amp;ND=3&amp;adjacent=true&amp;locale=en_EP&amp;FT=D&amp;date=20160511&amp;CC=CN&amp;NR=205228808U&amp;KC=U")</f>
        <v>https://worldwide.espacenet.com/publicationDetails/biblio?II=115&amp;ND=3&amp;adjacent=true&amp;locale=en_EP&amp;FT=D&amp;date=20160511&amp;CC=CN&amp;NR=205228808U&amp;KC=U</v>
      </c>
    </row>
    <row r="1630" spans="3:5" x14ac:dyDescent="0.25">
      <c r="C1630" t="s">
        <v>2757</v>
      </c>
      <c r="D1630" t="s">
        <v>2758</v>
      </c>
      <c r="E1630" t="str">
        <f>HYPERLINK("https://worldwide.espacenet.com/publicationDetails/biblio?II=116&amp;ND=3&amp;adjacent=true&amp;locale=en_EP&amp;FT=D&amp;date=20160511&amp;CC=CN&amp;NR=105575019A&amp;KC=A")</f>
        <v>https://worldwide.espacenet.com/publicationDetails/biblio?II=116&amp;ND=3&amp;adjacent=true&amp;locale=en_EP&amp;FT=D&amp;date=20160511&amp;CC=CN&amp;NR=105575019A&amp;KC=A</v>
      </c>
    </row>
    <row r="1631" spans="3:5" x14ac:dyDescent="0.25">
      <c r="C1631" t="s">
        <v>1772</v>
      </c>
      <c r="D1631" t="s">
        <v>1773</v>
      </c>
      <c r="E1631" t="str">
        <f>HYPERLINK("https://worldwide.espacenet.com/publicationDetails/biblio?II=117&amp;ND=3&amp;adjacent=true&amp;locale=en_EP&amp;FT=D&amp;date=20160511&amp;CC=CN&amp;NR=105574564A&amp;KC=A")</f>
        <v>https://worldwide.espacenet.com/publicationDetails/biblio?II=117&amp;ND=3&amp;adjacent=true&amp;locale=en_EP&amp;FT=D&amp;date=20160511&amp;CC=CN&amp;NR=105574564A&amp;KC=A</v>
      </c>
    </row>
    <row r="1632" spans="3:5" x14ac:dyDescent="0.25">
      <c r="C1632" t="s">
        <v>2430</v>
      </c>
      <c r="D1632" t="s">
        <v>2431</v>
      </c>
      <c r="E1632" t="str">
        <f>HYPERLINK("https://worldwide.espacenet.com/publicationDetails/biblio?II=118&amp;ND=3&amp;adjacent=true&amp;locale=en_EP&amp;FT=D&amp;date=20160511&amp;CC=CN&amp;NR=105574059A&amp;KC=A")</f>
        <v>https://worldwide.espacenet.com/publicationDetails/biblio?II=118&amp;ND=3&amp;adjacent=true&amp;locale=en_EP&amp;FT=D&amp;date=20160511&amp;CC=CN&amp;NR=105574059A&amp;KC=A</v>
      </c>
    </row>
    <row r="1633" spans="3:5" x14ac:dyDescent="0.25">
      <c r="C1633" t="s">
        <v>1777</v>
      </c>
      <c r="D1633" t="s">
        <v>1778</v>
      </c>
      <c r="E1633" t="str">
        <f>HYPERLINK("https://worldwide.espacenet.com/publicationDetails/biblio?II=119&amp;ND=3&amp;adjacent=true&amp;locale=en_EP&amp;FT=D&amp;date=20160504&amp;CC=CN&amp;NR=205210953U&amp;KC=U")</f>
        <v>https://worldwide.espacenet.com/publicationDetails/biblio?II=119&amp;ND=3&amp;adjacent=true&amp;locale=en_EP&amp;FT=D&amp;date=20160504&amp;CC=CN&amp;NR=205210953U&amp;KC=U</v>
      </c>
    </row>
    <row r="1634" spans="3:5" x14ac:dyDescent="0.25">
      <c r="C1634" t="s">
        <v>2759</v>
      </c>
      <c r="D1634" t="s">
        <v>2760</v>
      </c>
      <c r="E1634" t="str">
        <f>HYPERLINK("https://worldwide.espacenet.com/publicationDetails/biblio?II=120&amp;ND=3&amp;adjacent=true&amp;locale=en_EP&amp;FT=D&amp;date=20160504&amp;CC=CN&amp;NR=105550951A&amp;KC=A")</f>
        <v>https://worldwide.espacenet.com/publicationDetails/biblio?II=120&amp;ND=3&amp;adjacent=true&amp;locale=en_EP&amp;FT=D&amp;date=20160504&amp;CC=CN&amp;NR=105550951A&amp;KC=A</v>
      </c>
    </row>
    <row r="1635" spans="3:5" x14ac:dyDescent="0.25">
      <c r="C1635" t="s">
        <v>1779</v>
      </c>
      <c r="D1635" t="s">
        <v>1780</v>
      </c>
      <c r="E1635" t="str">
        <f>HYPERLINK("https://worldwide.espacenet.com/publicationDetails/biblio?II=121&amp;ND=3&amp;adjacent=true&amp;locale=en_EP&amp;FT=D&amp;date=20160504&amp;CC=CN&amp;NR=105550722A&amp;KC=A")</f>
        <v>https://worldwide.espacenet.com/publicationDetails/biblio?II=121&amp;ND=3&amp;adjacent=true&amp;locale=en_EP&amp;FT=D&amp;date=20160504&amp;CC=CN&amp;NR=105550722A&amp;KC=A</v>
      </c>
    </row>
    <row r="1636" spans="3:5" x14ac:dyDescent="0.25">
      <c r="C1636" t="s">
        <v>1783</v>
      </c>
      <c r="D1636" t="s">
        <v>1784</v>
      </c>
      <c r="E1636" t="str">
        <f>HYPERLINK("https://worldwide.espacenet.com/publicationDetails/biblio?II=122&amp;ND=3&amp;adjacent=true&amp;locale=en_EP&amp;FT=D&amp;date=20160420&amp;CC=CN&amp;NR=105516918A&amp;KC=A")</f>
        <v>https://worldwide.espacenet.com/publicationDetails/biblio?II=122&amp;ND=3&amp;adjacent=true&amp;locale=en_EP&amp;FT=D&amp;date=20160420&amp;CC=CN&amp;NR=105516918A&amp;KC=A</v>
      </c>
    </row>
    <row r="1637" spans="3:5" x14ac:dyDescent="0.25">
      <c r="C1637" t="s">
        <v>2761</v>
      </c>
      <c r="D1637" t="s">
        <v>2762</v>
      </c>
      <c r="E1637" t="str">
        <f>HYPERLINK("https://worldwide.espacenet.com/publicationDetails/biblio?II=123&amp;ND=3&amp;adjacent=true&amp;locale=en_EP&amp;FT=D&amp;date=20160406&amp;CC=CA&amp;NR=2907316A1&amp;KC=A1")</f>
        <v>https://worldwide.espacenet.com/publicationDetails/biblio?II=123&amp;ND=3&amp;adjacent=true&amp;locale=en_EP&amp;FT=D&amp;date=20160406&amp;CC=CA&amp;NR=2907316A1&amp;KC=A1</v>
      </c>
    </row>
    <row r="1638" spans="3:5" x14ac:dyDescent="0.25">
      <c r="C1638" t="s">
        <v>2763</v>
      </c>
      <c r="D1638" t="s">
        <v>2764</v>
      </c>
      <c r="E1638" t="str">
        <f>HYPERLINK("https://worldwide.espacenet.com/publicationDetails/biblio?II=124&amp;ND=3&amp;adjacent=true&amp;locale=en_EP&amp;FT=D&amp;date=20160323&amp;CC=CN&amp;NR=105430631A&amp;KC=A")</f>
        <v>https://worldwide.espacenet.com/publicationDetails/biblio?II=124&amp;ND=3&amp;adjacent=true&amp;locale=en_EP&amp;FT=D&amp;date=20160323&amp;CC=CN&amp;NR=105430631A&amp;KC=A</v>
      </c>
    </row>
    <row r="1639" spans="3:5" x14ac:dyDescent="0.25">
      <c r="C1639" t="s">
        <v>2432</v>
      </c>
      <c r="D1639" t="s">
        <v>2433</v>
      </c>
      <c r="E1639" t="str">
        <f>HYPERLINK("https://worldwide.espacenet.com/publicationDetails/biblio?II=125&amp;ND=3&amp;adjacent=true&amp;locale=en_EP&amp;FT=D&amp;date=20160309&amp;CC=CN&amp;NR=205080605U&amp;KC=U")</f>
        <v>https://worldwide.espacenet.com/publicationDetails/biblio?II=125&amp;ND=3&amp;adjacent=true&amp;locale=en_EP&amp;FT=D&amp;date=20160309&amp;CC=CN&amp;NR=205080605U&amp;KC=U</v>
      </c>
    </row>
    <row r="1640" spans="3:5" x14ac:dyDescent="0.25">
      <c r="C1640" t="s">
        <v>2765</v>
      </c>
      <c r="D1640" t="s">
        <v>2766</v>
      </c>
      <c r="E1640" t="str">
        <f>HYPERLINK("https://worldwide.espacenet.com/publicationDetails/biblio?II=126&amp;ND=3&amp;adjacent=true&amp;locale=en_EP&amp;FT=D&amp;date=20160218&amp;CC=US&amp;NR=2016046305A1&amp;KC=A1")</f>
        <v>https://worldwide.espacenet.com/publicationDetails/biblio?II=126&amp;ND=3&amp;adjacent=true&amp;locale=en_EP&amp;FT=D&amp;date=20160218&amp;CC=US&amp;NR=2016046305A1&amp;KC=A1</v>
      </c>
    </row>
    <row r="1641" spans="3:5" x14ac:dyDescent="0.25">
      <c r="C1641" t="s">
        <v>1374</v>
      </c>
      <c r="D1641" t="s">
        <v>1375</v>
      </c>
      <c r="E1641" t="str">
        <f>HYPERLINK("https://worldwide.espacenet.com/publicationDetails/biblio?II=127&amp;ND=3&amp;adjacent=true&amp;locale=en_EP&amp;FT=D&amp;date=20160217&amp;CC=CN&amp;NR=105336285A&amp;KC=A")</f>
        <v>https://worldwide.espacenet.com/publicationDetails/biblio?II=127&amp;ND=3&amp;adjacent=true&amp;locale=en_EP&amp;FT=D&amp;date=20160217&amp;CC=CN&amp;NR=105336285A&amp;KC=A</v>
      </c>
    </row>
    <row r="1642" spans="3:5" x14ac:dyDescent="0.25">
      <c r="C1642" t="s">
        <v>2767</v>
      </c>
      <c r="D1642" t="s">
        <v>2768</v>
      </c>
      <c r="E1642" t="str">
        <f>HYPERLINK("https://worldwide.espacenet.com/publicationDetails/biblio?II=128&amp;ND=3&amp;adjacent=true&amp;locale=en_EP&amp;FT=D&amp;date=20151230&amp;CC=CN&amp;NR=204927952U&amp;KC=U")</f>
        <v>https://worldwide.espacenet.com/publicationDetails/biblio?II=128&amp;ND=3&amp;adjacent=true&amp;locale=en_EP&amp;FT=D&amp;date=20151230&amp;CC=CN&amp;NR=204927952U&amp;KC=U</v>
      </c>
    </row>
    <row r="1643" spans="3:5" x14ac:dyDescent="0.25">
      <c r="C1643" t="s">
        <v>2769</v>
      </c>
      <c r="D1643" t="s">
        <v>2770</v>
      </c>
      <c r="E1643" t="str">
        <f>HYPERLINK("https://worldwide.espacenet.com/publicationDetails/biblio?II=129&amp;ND=3&amp;adjacent=true&amp;locale=en_EP&amp;FT=D&amp;date=20151125&amp;CC=CN&amp;NR=105096048A&amp;KC=A")</f>
        <v>https://worldwide.espacenet.com/publicationDetails/biblio?II=129&amp;ND=3&amp;adjacent=true&amp;locale=en_EP&amp;FT=D&amp;date=20151125&amp;CC=CN&amp;NR=105096048A&amp;KC=A</v>
      </c>
    </row>
    <row r="1644" spans="3:5" x14ac:dyDescent="0.25">
      <c r="C1644" t="s">
        <v>2771</v>
      </c>
      <c r="D1644" t="s">
        <v>2772</v>
      </c>
      <c r="E1644" t="str">
        <f>HYPERLINK("https://worldwide.espacenet.com/publicationDetails/biblio?II=130&amp;ND=3&amp;adjacent=true&amp;locale=en_EP&amp;FT=D&amp;date=20151125&amp;CC=CN&amp;NR=105095808A&amp;KC=A")</f>
        <v>https://worldwide.espacenet.com/publicationDetails/biblio?II=130&amp;ND=3&amp;adjacent=true&amp;locale=en_EP&amp;FT=D&amp;date=20151125&amp;CC=CN&amp;NR=105095808A&amp;KC=A</v>
      </c>
    </row>
    <row r="1645" spans="3:5" x14ac:dyDescent="0.25">
      <c r="C1645" t="s">
        <v>1811</v>
      </c>
      <c r="D1645" t="s">
        <v>1812</v>
      </c>
      <c r="E1645" t="str">
        <f>HYPERLINK("https://worldwide.espacenet.com/publicationDetails/biblio?II=131&amp;ND=3&amp;adjacent=true&amp;locale=en_EP&amp;FT=D&amp;date=20151118&amp;CC=CN&amp;NR=204790563U&amp;KC=U")</f>
        <v>https://worldwide.espacenet.com/publicationDetails/biblio?II=131&amp;ND=3&amp;adjacent=true&amp;locale=en_EP&amp;FT=D&amp;date=20151118&amp;CC=CN&amp;NR=204790563U&amp;KC=U</v>
      </c>
    </row>
    <row r="1646" spans="3:5" x14ac:dyDescent="0.25">
      <c r="C1646" t="s">
        <v>1815</v>
      </c>
      <c r="D1646" t="s">
        <v>1816</v>
      </c>
      <c r="E1646" t="str">
        <f>HYPERLINK("https://worldwide.espacenet.com/publicationDetails/biblio?II=132&amp;ND=3&amp;adjacent=true&amp;locale=en_EP&amp;FT=D&amp;date=20151111&amp;CC=CN&amp;NR=105050051A&amp;KC=A")</f>
        <v>https://worldwide.espacenet.com/publicationDetails/biblio?II=132&amp;ND=3&amp;adjacent=true&amp;locale=en_EP&amp;FT=D&amp;date=20151111&amp;CC=CN&amp;NR=105050051A&amp;KC=A</v>
      </c>
    </row>
    <row r="1647" spans="3:5" x14ac:dyDescent="0.25">
      <c r="C1647" t="s">
        <v>2434</v>
      </c>
      <c r="D1647" t="s">
        <v>2435</v>
      </c>
      <c r="E1647" t="str">
        <f>HYPERLINK("https://worldwide.espacenet.com/publicationDetails/biblio?II=133&amp;ND=3&amp;adjacent=true&amp;locale=en_EP&amp;FT=D&amp;date=20151111&amp;CC=CN&amp;NR=105046627A&amp;KC=A")</f>
        <v>https://worldwide.espacenet.com/publicationDetails/biblio?II=133&amp;ND=3&amp;adjacent=true&amp;locale=en_EP&amp;FT=D&amp;date=20151111&amp;CC=CN&amp;NR=105046627A&amp;KC=A</v>
      </c>
    </row>
    <row r="1648" spans="3:5" x14ac:dyDescent="0.25">
      <c r="C1648" t="s">
        <v>2773</v>
      </c>
      <c r="D1648" t="s">
        <v>2774</v>
      </c>
      <c r="E1648" t="str">
        <f>HYPERLINK("https://worldwide.espacenet.com/publicationDetails/biblio?II=134&amp;ND=3&amp;adjacent=true&amp;locale=en_EP&amp;FT=D&amp;date=20151111&amp;CC=CN&amp;NR=105042472A&amp;KC=A")</f>
        <v>https://worldwide.espacenet.com/publicationDetails/biblio?II=134&amp;ND=3&amp;adjacent=true&amp;locale=en_EP&amp;FT=D&amp;date=20151111&amp;CC=CN&amp;NR=105042472A&amp;KC=A</v>
      </c>
    </row>
    <row r="1649" spans="3:5" x14ac:dyDescent="0.25">
      <c r="C1649" t="s">
        <v>2436</v>
      </c>
      <c r="D1649" t="s">
        <v>2437</v>
      </c>
      <c r="E1649" t="str">
        <f>HYPERLINK("https://worldwide.espacenet.com/publicationDetails/biblio?II=135&amp;ND=3&amp;adjacent=true&amp;locale=en_EP&amp;FT=D&amp;date=20151104&amp;CC=CN&amp;NR=105025442A&amp;KC=A")</f>
        <v>https://worldwide.espacenet.com/publicationDetails/biblio?II=135&amp;ND=3&amp;adjacent=true&amp;locale=en_EP&amp;FT=D&amp;date=20151104&amp;CC=CN&amp;NR=105025442A&amp;KC=A</v>
      </c>
    </row>
    <row r="1650" spans="3:5" x14ac:dyDescent="0.25">
      <c r="C1650" t="s">
        <v>2775</v>
      </c>
      <c r="D1650" t="s">
        <v>2776</v>
      </c>
      <c r="E1650" t="str">
        <f>HYPERLINK("https://worldwide.espacenet.com/publicationDetails/biblio?II=136&amp;ND=3&amp;adjacent=true&amp;locale=en_EP&amp;FT=D&amp;date=20150619&amp;CC=IN&amp;NR=431DEN2015A&amp;KC=A")</f>
        <v>https://worldwide.espacenet.com/publicationDetails/biblio?II=136&amp;ND=3&amp;adjacent=true&amp;locale=en_EP&amp;FT=D&amp;date=20150619&amp;CC=IN&amp;NR=431DEN2015A&amp;KC=A</v>
      </c>
    </row>
    <row r="1651" spans="3:5" x14ac:dyDescent="0.25">
      <c r="C1651" t="s">
        <v>2438</v>
      </c>
      <c r="D1651" t="s">
        <v>2439</v>
      </c>
      <c r="E1651" t="str">
        <f>HYPERLINK("https://worldwide.espacenet.com/publicationDetails/biblio?II=137&amp;ND=3&amp;adjacent=true&amp;locale=en_EP&amp;FT=D&amp;date=20151007&amp;CC=CN&amp;NR=204695741U&amp;KC=U")</f>
        <v>https://worldwide.espacenet.com/publicationDetails/biblio?II=137&amp;ND=3&amp;adjacent=true&amp;locale=en_EP&amp;FT=D&amp;date=20151007&amp;CC=CN&amp;NR=204695741U&amp;KC=U</v>
      </c>
    </row>
    <row r="1652" spans="3:5" x14ac:dyDescent="0.25">
      <c r="C1652" t="s">
        <v>2440</v>
      </c>
      <c r="D1652" t="s">
        <v>2441</v>
      </c>
      <c r="E1652" t="str">
        <f>HYPERLINK("https://worldwide.espacenet.com/publicationDetails/biblio?II=138&amp;ND=3&amp;adjacent=true&amp;locale=en_EP&amp;FT=D&amp;date=20151007&amp;CC=CN&amp;NR=104966174A&amp;KC=A")</f>
        <v>https://worldwide.espacenet.com/publicationDetails/biblio?II=138&amp;ND=3&amp;adjacent=true&amp;locale=en_EP&amp;FT=D&amp;date=20151007&amp;CC=CN&amp;NR=104966174A&amp;KC=A</v>
      </c>
    </row>
    <row r="1653" spans="3:5" x14ac:dyDescent="0.25">
      <c r="C1653" t="s">
        <v>2777</v>
      </c>
      <c r="D1653" t="s">
        <v>2778</v>
      </c>
      <c r="E1653" t="str">
        <f>HYPERLINK("https://worldwide.espacenet.com/publicationDetails/biblio?II=139&amp;ND=3&amp;adjacent=true&amp;locale=en_EP&amp;FT=D&amp;date=20150930&amp;CC=CN&amp;NR=104954649A&amp;KC=A")</f>
        <v>https://worldwide.espacenet.com/publicationDetails/biblio?II=139&amp;ND=3&amp;adjacent=true&amp;locale=en_EP&amp;FT=D&amp;date=20150930&amp;CC=CN&amp;NR=104954649A&amp;KC=A</v>
      </c>
    </row>
    <row r="1654" spans="3:5" x14ac:dyDescent="0.25">
      <c r="C1654" t="s">
        <v>1841</v>
      </c>
      <c r="D1654" t="s">
        <v>1842</v>
      </c>
      <c r="E1654" t="str">
        <f>HYPERLINK("https://worldwide.espacenet.com/publicationDetails/biblio?II=140&amp;ND=3&amp;adjacent=true&amp;locale=en_EP&amp;FT=D&amp;date=20150930&amp;CC=CN&amp;NR=104952007A&amp;KC=A")</f>
        <v>https://worldwide.espacenet.com/publicationDetails/biblio?II=140&amp;ND=3&amp;adjacent=true&amp;locale=en_EP&amp;FT=D&amp;date=20150930&amp;CC=CN&amp;NR=104952007A&amp;KC=A</v>
      </c>
    </row>
    <row r="1655" spans="3:5" x14ac:dyDescent="0.25">
      <c r="C1655" t="s">
        <v>2779</v>
      </c>
      <c r="D1655" t="s">
        <v>2780</v>
      </c>
      <c r="E1655" t="str">
        <f>HYPERLINK("https://worldwide.espacenet.com/publicationDetails/biblio?II=141&amp;ND=3&amp;adjacent=true&amp;locale=en_EP&amp;FT=D&amp;date=20150923&amp;CC=CN&amp;NR=204669522U&amp;KC=U")</f>
        <v>https://worldwide.espacenet.com/publicationDetails/biblio?II=141&amp;ND=3&amp;adjacent=true&amp;locale=en_EP&amp;FT=D&amp;date=20150923&amp;CC=CN&amp;NR=204669522U&amp;KC=U</v>
      </c>
    </row>
    <row r="1656" spans="3:5" x14ac:dyDescent="0.25">
      <c r="C1656" t="s">
        <v>2781</v>
      </c>
      <c r="D1656" t="s">
        <v>2782</v>
      </c>
      <c r="E1656" t="str">
        <f>HYPERLINK("https://worldwide.espacenet.com/publicationDetails/biblio?II=142&amp;ND=3&amp;adjacent=true&amp;locale=en_EP&amp;FT=D&amp;date=20150923&amp;CC=CN&amp;NR=204669521U&amp;KC=U")</f>
        <v>https://worldwide.espacenet.com/publicationDetails/biblio?II=142&amp;ND=3&amp;adjacent=true&amp;locale=en_EP&amp;FT=D&amp;date=20150923&amp;CC=CN&amp;NR=204669521U&amp;KC=U</v>
      </c>
    </row>
    <row r="1657" spans="3:5" x14ac:dyDescent="0.25">
      <c r="C1657" t="s">
        <v>2783</v>
      </c>
      <c r="D1657" t="s">
        <v>2784</v>
      </c>
      <c r="E1657" t="str">
        <f>HYPERLINK("https://worldwide.espacenet.com/publicationDetails/biblio?II=143&amp;ND=3&amp;adjacent=true&amp;locale=en_EP&amp;FT=D&amp;date=20150923&amp;CC=CN&amp;NR=204667845U&amp;KC=U")</f>
        <v>https://worldwide.espacenet.com/publicationDetails/biblio?II=143&amp;ND=3&amp;adjacent=true&amp;locale=en_EP&amp;FT=D&amp;date=20150923&amp;CC=CN&amp;NR=204667845U&amp;KC=U</v>
      </c>
    </row>
    <row r="1658" spans="3:5" x14ac:dyDescent="0.25">
      <c r="C1658" t="s">
        <v>2785</v>
      </c>
      <c r="D1658" t="s">
        <v>2786</v>
      </c>
      <c r="E1658" t="str">
        <f>HYPERLINK("https://worldwide.espacenet.com/publicationDetails/biblio?II=144&amp;ND=3&amp;adjacent=true&amp;locale=en_EP&amp;FT=D&amp;date=20150916&amp;CC=CN&amp;NR=204642047U&amp;KC=U")</f>
        <v>https://worldwide.espacenet.com/publicationDetails/biblio?II=144&amp;ND=3&amp;adjacent=true&amp;locale=en_EP&amp;FT=D&amp;date=20150916&amp;CC=CN&amp;NR=204642047U&amp;KC=U</v>
      </c>
    </row>
    <row r="1659" spans="3:5" x14ac:dyDescent="0.25">
      <c r="C1659" t="s">
        <v>2787</v>
      </c>
      <c r="D1659" t="s">
        <v>2788</v>
      </c>
      <c r="E1659" t="str">
        <f>HYPERLINK("https://worldwide.espacenet.com/publicationDetails/biblio?II=145&amp;ND=3&amp;adjacent=true&amp;locale=en_EP&amp;FT=D&amp;date=20150902&amp;CC=CN&amp;NR=204613285U&amp;KC=U")</f>
        <v>https://worldwide.espacenet.com/publicationDetails/biblio?II=145&amp;ND=3&amp;adjacent=true&amp;locale=en_EP&amp;FT=D&amp;date=20150902&amp;CC=CN&amp;NR=204613285U&amp;KC=U</v>
      </c>
    </row>
    <row r="1660" spans="3:5" x14ac:dyDescent="0.25">
      <c r="C1660" t="s">
        <v>2789</v>
      </c>
      <c r="D1660" t="s">
        <v>2790</v>
      </c>
      <c r="E1660" t="str">
        <f>HYPERLINK("https://worldwide.espacenet.com/publicationDetails/biblio?II=146&amp;ND=3&amp;adjacent=true&amp;locale=en_EP&amp;FT=D&amp;date=20150902&amp;CC=CN&amp;NR=204613284U&amp;KC=U")</f>
        <v>https://worldwide.espacenet.com/publicationDetails/biblio?II=146&amp;ND=3&amp;adjacent=true&amp;locale=en_EP&amp;FT=D&amp;date=20150902&amp;CC=CN&amp;NR=204613284U&amp;KC=U</v>
      </c>
    </row>
    <row r="1661" spans="3:5" x14ac:dyDescent="0.25">
      <c r="C1661" t="s">
        <v>2791</v>
      </c>
      <c r="D1661" t="s">
        <v>2792</v>
      </c>
      <c r="E1661" t="str">
        <f>HYPERLINK("https://worldwide.espacenet.com/publicationDetails/biblio?II=147&amp;ND=3&amp;adjacent=true&amp;locale=en_EP&amp;FT=D&amp;date=20150826&amp;CC=CN&amp;NR=204595115U&amp;KC=U")</f>
        <v>https://worldwide.espacenet.com/publicationDetails/biblio?II=147&amp;ND=3&amp;adjacent=true&amp;locale=en_EP&amp;FT=D&amp;date=20150826&amp;CC=CN&amp;NR=204595115U&amp;KC=U</v>
      </c>
    </row>
    <row r="1662" spans="3:5" x14ac:dyDescent="0.25">
      <c r="C1662" t="s">
        <v>2793</v>
      </c>
      <c r="D1662" t="s">
        <v>2794</v>
      </c>
      <c r="E1662" t="str">
        <f>HYPERLINK("https://worldwide.espacenet.com/publicationDetails/biblio?II=148&amp;ND=3&amp;adjacent=true&amp;locale=en_EP&amp;FT=D&amp;date=20150819&amp;CC=CN&amp;NR=204578082U&amp;KC=U")</f>
        <v>https://worldwide.espacenet.com/publicationDetails/biblio?II=148&amp;ND=3&amp;adjacent=true&amp;locale=en_EP&amp;FT=D&amp;date=20150819&amp;CC=CN&amp;NR=204578082U&amp;KC=U</v>
      </c>
    </row>
    <row r="1663" spans="3:5" x14ac:dyDescent="0.25">
      <c r="C1663" t="s">
        <v>2795</v>
      </c>
      <c r="D1663" t="s">
        <v>2796</v>
      </c>
      <c r="E1663" t="str">
        <f>HYPERLINK("https://worldwide.espacenet.com/publicationDetails/biblio?II=149&amp;ND=3&amp;adjacent=true&amp;locale=en_EP&amp;FT=D&amp;date=20150805&amp;CC=CN&amp;NR=204539318U&amp;KC=U")</f>
        <v>https://worldwide.espacenet.com/publicationDetails/biblio?II=149&amp;ND=3&amp;adjacent=true&amp;locale=en_EP&amp;FT=D&amp;date=20150805&amp;CC=CN&amp;NR=204539318U&amp;KC=U</v>
      </c>
    </row>
    <row r="1664" spans="3:5" x14ac:dyDescent="0.25">
      <c r="C1664" t="s">
        <v>2797</v>
      </c>
      <c r="D1664" t="s">
        <v>2798</v>
      </c>
      <c r="E1664" t="str">
        <f>HYPERLINK("https://worldwide.espacenet.com/publicationDetails/biblio?II=150&amp;ND=3&amp;adjacent=true&amp;locale=en_EP&amp;FT=D&amp;date=20150805&amp;CC=CN&amp;NR=204522069U&amp;KC=U")</f>
        <v>https://worldwide.espacenet.com/publicationDetails/biblio?II=150&amp;ND=3&amp;adjacent=true&amp;locale=en_EP&amp;FT=D&amp;date=20150805&amp;CC=CN&amp;NR=204522069U&amp;KC=U</v>
      </c>
    </row>
    <row r="1665" spans="3:5" x14ac:dyDescent="0.25">
      <c r="C1665" t="s">
        <v>2799</v>
      </c>
      <c r="D1665" t="s">
        <v>2800</v>
      </c>
      <c r="E1665" t="str">
        <f>HYPERLINK("https://worldwide.espacenet.com/publicationDetails/biblio?II=151&amp;ND=3&amp;adjacent=true&amp;locale=en_EP&amp;FT=D&amp;date=20150729&amp;CC=CN&amp;NR=204506519U&amp;KC=U")</f>
        <v>https://worldwide.espacenet.com/publicationDetails/biblio?II=151&amp;ND=3&amp;adjacent=true&amp;locale=en_EP&amp;FT=D&amp;date=20150729&amp;CC=CN&amp;NR=204506519U&amp;KC=U</v>
      </c>
    </row>
    <row r="1666" spans="3:5" x14ac:dyDescent="0.25">
      <c r="C1666" t="s">
        <v>2801</v>
      </c>
      <c r="D1666" t="s">
        <v>2802</v>
      </c>
      <c r="E1666" t="str">
        <f>HYPERLINK("https://worldwide.espacenet.com/publicationDetails/biblio?II=152&amp;ND=3&amp;adjacent=true&amp;locale=en_EP&amp;FT=D&amp;date=20150701&amp;CC=CN&amp;NR=204440472U&amp;KC=U")</f>
        <v>https://worldwide.espacenet.com/publicationDetails/biblio?II=152&amp;ND=3&amp;adjacent=true&amp;locale=en_EP&amp;FT=D&amp;date=20150701&amp;CC=CN&amp;NR=204440472U&amp;KC=U</v>
      </c>
    </row>
    <row r="1667" spans="3:5" x14ac:dyDescent="0.25">
      <c r="C1667" t="s">
        <v>2803</v>
      </c>
      <c r="D1667" t="s">
        <v>2804</v>
      </c>
      <c r="E1667" t="str">
        <f>HYPERLINK("https://worldwide.espacenet.com/publicationDetails/biblio?II=153&amp;ND=3&amp;adjacent=true&amp;locale=en_EP&amp;FT=D&amp;date=20150701&amp;CC=CN&amp;NR=204437938U&amp;KC=U")</f>
        <v>https://worldwide.espacenet.com/publicationDetails/biblio?II=153&amp;ND=3&amp;adjacent=true&amp;locale=en_EP&amp;FT=D&amp;date=20150701&amp;CC=CN&amp;NR=204437938U&amp;KC=U</v>
      </c>
    </row>
    <row r="1668" spans="3:5" x14ac:dyDescent="0.25">
      <c r="C1668" t="s">
        <v>2805</v>
      </c>
      <c r="D1668" t="s">
        <v>2806</v>
      </c>
      <c r="E1668" t="str">
        <f>HYPERLINK("https://worldwide.espacenet.com/publicationDetails/biblio?II=154&amp;ND=3&amp;adjacent=true&amp;locale=en_EP&amp;FT=D&amp;date=20150624&amp;CC=CN&amp;NR=104735422A&amp;KC=A")</f>
        <v>https://worldwide.espacenet.com/publicationDetails/biblio?II=154&amp;ND=3&amp;adjacent=true&amp;locale=en_EP&amp;FT=D&amp;date=20150624&amp;CC=CN&amp;NR=104735422A&amp;KC=A</v>
      </c>
    </row>
    <row r="1669" spans="3:5" x14ac:dyDescent="0.25">
      <c r="C1669" t="s">
        <v>2442</v>
      </c>
      <c r="D1669" t="s">
        <v>2443</v>
      </c>
      <c r="E1669" t="str">
        <f>HYPERLINK("https://worldwide.espacenet.com/publicationDetails/biblio?II=155&amp;ND=3&amp;adjacent=true&amp;locale=en_EP&amp;FT=D&amp;date=20150624&amp;CC=CN&amp;NR=104732666A&amp;KC=A")</f>
        <v>https://worldwide.espacenet.com/publicationDetails/biblio?II=155&amp;ND=3&amp;adjacent=true&amp;locale=en_EP&amp;FT=D&amp;date=20150624&amp;CC=CN&amp;NR=104732666A&amp;KC=A</v>
      </c>
    </row>
    <row r="1670" spans="3:5" x14ac:dyDescent="0.25">
      <c r="C1670" t="s">
        <v>2807</v>
      </c>
      <c r="D1670" t="s">
        <v>2808</v>
      </c>
      <c r="E1670" t="str">
        <f>HYPERLINK("https://worldwide.espacenet.com/publicationDetails/biblio?II=156&amp;ND=3&amp;adjacent=true&amp;locale=en_EP&amp;FT=D&amp;date=20150617&amp;CC=CN&amp;NR=204405575U&amp;KC=U")</f>
        <v>https://worldwide.espacenet.com/publicationDetails/biblio?II=156&amp;ND=3&amp;adjacent=true&amp;locale=en_EP&amp;FT=D&amp;date=20150617&amp;CC=CN&amp;NR=204405575U&amp;KC=U</v>
      </c>
    </row>
    <row r="1671" spans="3:5" x14ac:dyDescent="0.25">
      <c r="C1671" t="s">
        <v>2444</v>
      </c>
      <c r="D1671" t="s">
        <v>2445</v>
      </c>
      <c r="E1671" t="str">
        <f>HYPERLINK("https://worldwide.espacenet.com/publicationDetails/biblio?II=157&amp;ND=3&amp;adjacent=true&amp;locale=en_EP&amp;FT=D&amp;date=20150603&amp;CC=CN&amp;NR=104680956A&amp;KC=A")</f>
        <v>https://worldwide.espacenet.com/publicationDetails/biblio?II=157&amp;ND=3&amp;adjacent=true&amp;locale=en_EP&amp;FT=D&amp;date=20150603&amp;CC=CN&amp;NR=104680956A&amp;KC=A</v>
      </c>
    </row>
    <row r="1672" spans="3:5" x14ac:dyDescent="0.25">
      <c r="C1672" t="s">
        <v>2809</v>
      </c>
      <c r="D1672" t="s">
        <v>2810</v>
      </c>
      <c r="E1672" t="str">
        <f>HYPERLINK("https://worldwide.espacenet.com/publicationDetails/biblio?II=158&amp;ND=3&amp;adjacent=true&amp;locale=en_EP&amp;FT=D&amp;date=20150603&amp;CC=CN&amp;NR=104670845A&amp;KC=A")</f>
        <v>https://worldwide.espacenet.com/publicationDetails/biblio?II=158&amp;ND=3&amp;adjacent=true&amp;locale=en_EP&amp;FT=D&amp;date=20150603&amp;CC=CN&amp;NR=104670845A&amp;KC=A</v>
      </c>
    </row>
    <row r="1673" spans="3:5" x14ac:dyDescent="0.25">
      <c r="C1673" t="s">
        <v>2446</v>
      </c>
      <c r="D1673" t="s">
        <v>2447</v>
      </c>
      <c r="E1673" t="str">
        <f>HYPERLINK("https://worldwide.espacenet.com/publicationDetails/biblio?II=159&amp;ND=3&amp;adjacent=true&amp;locale=en_EP&amp;FT=D&amp;date=20150527&amp;CC=CN&amp;NR=204360397U&amp;KC=U")</f>
        <v>https://worldwide.espacenet.com/publicationDetails/biblio?II=159&amp;ND=3&amp;adjacent=true&amp;locale=en_EP&amp;FT=D&amp;date=20150527&amp;CC=CN&amp;NR=204360397U&amp;KC=U</v>
      </c>
    </row>
    <row r="1674" spans="3:5" x14ac:dyDescent="0.25">
      <c r="C1674" t="s">
        <v>2811</v>
      </c>
      <c r="D1674" t="s">
        <v>2812</v>
      </c>
      <c r="E1674" t="str">
        <f>HYPERLINK("https://worldwide.espacenet.com/publicationDetails/biblio?II=160&amp;ND=3&amp;adjacent=true&amp;locale=en_EP&amp;FT=D&amp;date=20150527&amp;CC=CN&amp;NR=104655188A&amp;KC=A")</f>
        <v>https://worldwide.espacenet.com/publicationDetails/biblio?II=160&amp;ND=3&amp;adjacent=true&amp;locale=en_EP&amp;FT=D&amp;date=20150527&amp;CC=CN&amp;NR=104655188A&amp;KC=A</v>
      </c>
    </row>
    <row r="1675" spans="3:5" x14ac:dyDescent="0.25">
      <c r="C1675" t="s">
        <v>2813</v>
      </c>
      <c r="D1675" t="s">
        <v>2814</v>
      </c>
      <c r="E1675" t="str">
        <f>HYPERLINK("https://worldwide.espacenet.com/publicationDetails/biblio?II=161&amp;ND=3&amp;adjacent=true&amp;locale=en_EP&amp;FT=D&amp;date=20150520&amp;CC=CN&amp;NR=204347337U&amp;KC=U")</f>
        <v>https://worldwide.espacenet.com/publicationDetails/biblio?II=161&amp;ND=3&amp;adjacent=true&amp;locale=en_EP&amp;FT=D&amp;date=20150520&amp;CC=CN&amp;NR=204347337U&amp;KC=U</v>
      </c>
    </row>
    <row r="1676" spans="3:5" x14ac:dyDescent="0.25">
      <c r="C1676" t="s">
        <v>2815</v>
      </c>
      <c r="D1676" t="s">
        <v>2816</v>
      </c>
      <c r="E1676" t="str">
        <f>HYPERLINK("https://worldwide.espacenet.com/publicationDetails/biblio?II=162&amp;ND=3&amp;adjacent=true&amp;locale=en_EP&amp;FT=D&amp;date=20150401&amp;CC=TW&amp;NR=201513059A&amp;KC=A")</f>
        <v>https://worldwide.espacenet.com/publicationDetails/biblio?II=162&amp;ND=3&amp;adjacent=true&amp;locale=en_EP&amp;FT=D&amp;date=20150401&amp;CC=TW&amp;NR=201513059A&amp;KC=A</v>
      </c>
    </row>
    <row r="1677" spans="3:5" x14ac:dyDescent="0.25">
      <c r="C1677" t="s">
        <v>2817</v>
      </c>
      <c r="D1677" t="s">
        <v>2818</v>
      </c>
      <c r="E1677" t="str">
        <f>HYPERLINK("https://worldwide.espacenet.com/publicationDetails/biblio?II=163&amp;ND=3&amp;adjacent=true&amp;locale=en_EP&amp;FT=D&amp;date=20150506&amp;CC=CN&amp;NR=204315203U&amp;KC=U")</f>
        <v>https://worldwide.espacenet.com/publicationDetails/biblio?II=163&amp;ND=3&amp;adjacent=true&amp;locale=en_EP&amp;FT=D&amp;date=20150506&amp;CC=CN&amp;NR=204315203U&amp;KC=U</v>
      </c>
    </row>
    <row r="1678" spans="3:5" x14ac:dyDescent="0.25">
      <c r="C1678" t="s">
        <v>2819</v>
      </c>
      <c r="D1678" t="s">
        <v>2820</v>
      </c>
      <c r="E1678" t="str">
        <f>HYPERLINK("https://worldwide.espacenet.com/publicationDetails/biblio?II=164&amp;ND=3&amp;adjacent=true&amp;locale=en_EP&amp;FT=D&amp;date=20150506&amp;CC=CN&amp;NR=204314375U&amp;KC=U")</f>
        <v>https://worldwide.espacenet.com/publicationDetails/biblio?II=164&amp;ND=3&amp;adjacent=true&amp;locale=en_EP&amp;FT=D&amp;date=20150506&amp;CC=CN&amp;NR=204314375U&amp;KC=U</v>
      </c>
    </row>
    <row r="1679" spans="3:5" x14ac:dyDescent="0.25">
      <c r="C1679" t="s">
        <v>2821</v>
      </c>
      <c r="D1679" t="s">
        <v>2822</v>
      </c>
      <c r="E1679" t="str">
        <f>HYPERLINK("https://worldwide.espacenet.com/publicationDetails/biblio?II=165&amp;ND=3&amp;adjacent=true&amp;locale=en_EP&amp;FT=D&amp;date=20150506&amp;CC=CN&amp;NR=104600846A&amp;KC=A")</f>
        <v>https://worldwide.espacenet.com/publicationDetails/biblio?II=165&amp;ND=3&amp;adjacent=true&amp;locale=en_EP&amp;FT=D&amp;date=20150506&amp;CC=CN&amp;NR=104600846A&amp;KC=A</v>
      </c>
    </row>
    <row r="1680" spans="3:5" x14ac:dyDescent="0.25">
      <c r="C1680" t="s">
        <v>2448</v>
      </c>
      <c r="D1680" t="s">
        <v>2449</v>
      </c>
      <c r="E1680" t="str">
        <f>HYPERLINK("https://worldwide.espacenet.com/publicationDetails/biblio?II=166&amp;ND=3&amp;adjacent=true&amp;locale=en_EP&amp;FT=D&amp;date=20150514&amp;CC=US&amp;NR=2015134247A1&amp;KC=A1")</f>
        <v>https://worldwide.espacenet.com/publicationDetails/biblio?II=166&amp;ND=3&amp;adjacent=true&amp;locale=en_EP&amp;FT=D&amp;date=20150514&amp;CC=US&amp;NR=2015134247A1&amp;KC=A1</v>
      </c>
    </row>
    <row r="1681" spans="3:5" x14ac:dyDescent="0.25">
      <c r="C1681" t="s">
        <v>2823</v>
      </c>
      <c r="D1681" t="s">
        <v>2824</v>
      </c>
      <c r="E1681" t="str">
        <f>HYPERLINK("https://worldwide.espacenet.com/publicationDetails/biblio?II=167&amp;ND=3&amp;adjacent=true&amp;locale=en_EP&amp;FT=D&amp;date=20150310&amp;CC=KR&amp;NR=20150025119A&amp;KC=A")</f>
        <v>https://worldwide.espacenet.com/publicationDetails/biblio?II=167&amp;ND=3&amp;adjacent=true&amp;locale=en_EP&amp;FT=D&amp;date=20150310&amp;CC=KR&amp;NR=20150025119A&amp;KC=A</v>
      </c>
    </row>
    <row r="1682" spans="3:5" x14ac:dyDescent="0.25">
      <c r="C1682" t="s">
        <v>2825</v>
      </c>
      <c r="D1682" t="s">
        <v>2826</v>
      </c>
      <c r="E1682" t="str">
        <f>HYPERLINK("https://worldwide.espacenet.com/publicationDetails/biblio?II=168&amp;ND=3&amp;adjacent=true&amp;locale=en_EP&amp;FT=D&amp;date=20150318&amp;CC=CN&amp;NR=204215021U&amp;KC=U")</f>
        <v>https://worldwide.espacenet.com/publicationDetails/biblio?II=168&amp;ND=3&amp;adjacent=true&amp;locale=en_EP&amp;FT=D&amp;date=20150318&amp;CC=CN&amp;NR=204215021U&amp;KC=U</v>
      </c>
    </row>
    <row r="1683" spans="3:5" x14ac:dyDescent="0.25">
      <c r="C1683" t="s">
        <v>2827</v>
      </c>
      <c r="D1683" t="s">
        <v>2828</v>
      </c>
      <c r="E1683" t="str">
        <f>HYPERLINK("https://worldwide.espacenet.com/publicationDetails/biblio?II=169&amp;ND=3&amp;adjacent=true&amp;locale=en_EP&amp;FT=D&amp;date=20150408&amp;CC=CN&amp;NR=204258435U&amp;KC=U")</f>
        <v>https://worldwide.espacenet.com/publicationDetails/biblio?II=169&amp;ND=3&amp;adjacent=true&amp;locale=en_EP&amp;FT=D&amp;date=20150408&amp;CC=CN&amp;NR=204258435U&amp;KC=U</v>
      </c>
    </row>
    <row r="1684" spans="3:5" x14ac:dyDescent="0.25">
      <c r="C1684" t="s">
        <v>2829</v>
      </c>
      <c r="D1684" t="s">
        <v>2830</v>
      </c>
      <c r="E1684" t="str">
        <f>HYPERLINK("https://worldwide.espacenet.com/publicationDetails/biblio?II=170&amp;ND=3&amp;adjacent=true&amp;locale=en_EP&amp;FT=D&amp;date=20150311&amp;CC=CN&amp;NR=204204403U&amp;KC=U")</f>
        <v>https://worldwide.espacenet.com/publicationDetails/biblio?II=170&amp;ND=3&amp;adjacent=true&amp;locale=en_EP&amp;FT=D&amp;date=20150311&amp;CC=CN&amp;NR=204204403U&amp;KC=U</v>
      </c>
    </row>
    <row r="1685" spans="3:5" x14ac:dyDescent="0.25">
      <c r="C1685" t="s">
        <v>1903</v>
      </c>
      <c r="D1685" t="s">
        <v>1904</v>
      </c>
      <c r="E1685" t="str">
        <f>HYPERLINK("https://worldwide.espacenet.com/publicationDetails/biblio?II=171&amp;ND=3&amp;adjacent=true&amp;locale=en_EP&amp;FT=D&amp;date=20150311&amp;CC=CN&amp;NR=204203734U&amp;KC=U")</f>
        <v>https://worldwide.espacenet.com/publicationDetails/biblio?II=171&amp;ND=3&amp;adjacent=true&amp;locale=en_EP&amp;FT=D&amp;date=20150311&amp;CC=CN&amp;NR=204203734U&amp;KC=U</v>
      </c>
    </row>
    <row r="1686" spans="3:5" x14ac:dyDescent="0.25">
      <c r="C1686" t="s">
        <v>2450</v>
      </c>
      <c r="D1686" t="s">
        <v>2451</v>
      </c>
      <c r="E1686" t="str">
        <f>HYPERLINK("https://worldwide.espacenet.com/publicationDetails/biblio?II=172&amp;ND=3&amp;adjacent=true&amp;locale=en_EP&amp;FT=D&amp;date=20150218&amp;CC=CN&amp;NR=204166870U&amp;KC=U")</f>
        <v>https://worldwide.espacenet.com/publicationDetails/biblio?II=172&amp;ND=3&amp;adjacent=true&amp;locale=en_EP&amp;FT=D&amp;date=20150218&amp;CC=CN&amp;NR=204166870U&amp;KC=U</v>
      </c>
    </row>
    <row r="1687" spans="3:5" x14ac:dyDescent="0.25">
      <c r="C1687" t="s">
        <v>2452</v>
      </c>
      <c r="D1687" t="s">
        <v>2453</v>
      </c>
      <c r="E1687" t="str">
        <f>HYPERLINK("https://worldwide.espacenet.com/publicationDetails/biblio?II=173&amp;ND=3&amp;adjacent=true&amp;locale=en_EP&amp;FT=D&amp;date=20150218&amp;CC=CN&amp;NR=204166869U&amp;KC=U")</f>
        <v>https://worldwide.espacenet.com/publicationDetails/biblio?II=173&amp;ND=3&amp;adjacent=true&amp;locale=en_EP&amp;FT=D&amp;date=20150218&amp;CC=CN&amp;NR=204166869U&amp;KC=U</v>
      </c>
    </row>
    <row r="1688" spans="3:5" x14ac:dyDescent="0.25">
      <c r="C1688" t="s">
        <v>2831</v>
      </c>
      <c r="D1688" t="s">
        <v>2832</v>
      </c>
      <c r="E1688" t="str">
        <f>HYPERLINK("https://worldwide.espacenet.com/publicationDetails/biblio?II=174&amp;ND=3&amp;adjacent=true&amp;locale=en_EP&amp;FT=D&amp;date=20150121&amp;CC=CN&amp;NR=204117209U&amp;KC=U")</f>
        <v>https://worldwide.espacenet.com/publicationDetails/biblio?II=174&amp;ND=3&amp;adjacent=true&amp;locale=en_EP&amp;FT=D&amp;date=20150121&amp;CC=CN&amp;NR=204117209U&amp;KC=U</v>
      </c>
    </row>
    <row r="1689" spans="3:5" x14ac:dyDescent="0.25">
      <c r="C1689" t="s">
        <v>2833</v>
      </c>
      <c r="D1689" t="s">
        <v>2834</v>
      </c>
      <c r="E1689" t="str">
        <f>HYPERLINK("https://worldwide.espacenet.com/publicationDetails/biblio?II=175&amp;ND=3&amp;adjacent=true&amp;locale=en_EP&amp;FT=D&amp;date=20150114&amp;CC=CN&amp;NR=204103418U&amp;KC=U")</f>
        <v>https://worldwide.espacenet.com/publicationDetails/biblio?II=175&amp;ND=3&amp;adjacent=true&amp;locale=en_EP&amp;FT=D&amp;date=20150114&amp;CC=CN&amp;NR=204103418U&amp;KC=U</v>
      </c>
    </row>
    <row r="1690" spans="3:5" x14ac:dyDescent="0.25">
      <c r="C1690" t="s">
        <v>2835</v>
      </c>
      <c r="D1690" t="s">
        <v>2836</v>
      </c>
      <c r="E1690" t="str">
        <f>HYPERLINK("https://worldwide.espacenet.com/publicationDetails/biblio?II=176&amp;ND=3&amp;adjacent=true&amp;locale=en_EP&amp;FT=D&amp;date=20141224&amp;CC=CN&amp;NR=204032579U&amp;KC=U")</f>
        <v>https://worldwide.espacenet.com/publicationDetails/biblio?II=176&amp;ND=3&amp;adjacent=true&amp;locale=en_EP&amp;FT=D&amp;date=20141224&amp;CC=CN&amp;NR=204032579U&amp;KC=U</v>
      </c>
    </row>
    <row r="1691" spans="3:5" x14ac:dyDescent="0.25">
      <c r="C1691" t="s">
        <v>1921</v>
      </c>
      <c r="D1691" t="s">
        <v>1922</v>
      </c>
      <c r="E1691" t="str">
        <f>HYPERLINK("https://worldwide.espacenet.com/publicationDetails/biblio?II=177&amp;ND=3&amp;adjacent=true&amp;locale=en_EP&amp;FT=D&amp;date=20141231&amp;CC=CN&amp;NR=204068321U&amp;KC=U")</f>
        <v>https://worldwide.espacenet.com/publicationDetails/biblio?II=177&amp;ND=3&amp;adjacent=true&amp;locale=en_EP&amp;FT=D&amp;date=20141231&amp;CC=CN&amp;NR=204068321U&amp;KC=U</v>
      </c>
    </row>
    <row r="1692" spans="3:5" x14ac:dyDescent="0.25">
      <c r="C1692" t="s">
        <v>2837</v>
      </c>
      <c r="D1692" t="s">
        <v>2838</v>
      </c>
      <c r="E1692" t="str">
        <f>HYPERLINK("https://worldwide.espacenet.com/publicationDetails/biblio?II=178&amp;ND=3&amp;adjacent=true&amp;locale=en_EP&amp;FT=D&amp;date=20141210&amp;CC=CN&amp;NR=204010055U&amp;KC=U")</f>
        <v>https://worldwide.espacenet.com/publicationDetails/biblio?II=178&amp;ND=3&amp;adjacent=true&amp;locale=en_EP&amp;FT=D&amp;date=20141210&amp;CC=CN&amp;NR=204010055U&amp;KC=U</v>
      </c>
    </row>
    <row r="1693" spans="3:5" x14ac:dyDescent="0.25">
      <c r="C1693" t="s">
        <v>2837</v>
      </c>
      <c r="D1693" t="s">
        <v>2839</v>
      </c>
      <c r="E1693" t="str">
        <f>HYPERLINK("https://worldwide.espacenet.com/publicationDetails/biblio?II=179&amp;ND=3&amp;adjacent=true&amp;locale=en_EP&amp;FT=D&amp;date=20141210&amp;CC=CN&amp;NR=204010054U&amp;KC=U")</f>
        <v>https://worldwide.espacenet.com/publicationDetails/biblio?II=179&amp;ND=3&amp;adjacent=true&amp;locale=en_EP&amp;FT=D&amp;date=20141210&amp;CC=CN&amp;NR=204010054U&amp;KC=U</v>
      </c>
    </row>
    <row r="1694" spans="3:5" x14ac:dyDescent="0.25">
      <c r="C1694" t="s">
        <v>2840</v>
      </c>
      <c r="D1694" t="s">
        <v>2841</v>
      </c>
      <c r="E1694" t="str">
        <f>HYPERLINK("https://worldwide.espacenet.com/publicationDetails/biblio?II=180&amp;ND=3&amp;adjacent=true&amp;locale=en_EP&amp;FT=D&amp;date=20141210&amp;CC=CN&amp;NR=204010052U&amp;KC=U")</f>
        <v>https://worldwide.espacenet.com/publicationDetails/biblio?II=180&amp;ND=3&amp;adjacent=true&amp;locale=en_EP&amp;FT=D&amp;date=20141210&amp;CC=CN&amp;NR=204010052U&amp;KC=U</v>
      </c>
    </row>
    <row r="1695" spans="3:5" x14ac:dyDescent="0.25">
      <c r="C1695" t="s">
        <v>2842</v>
      </c>
      <c r="D1695" t="s">
        <v>2843</v>
      </c>
      <c r="E1695" t="str">
        <f>HYPERLINK("https://worldwide.espacenet.com/publicationDetails/biblio?II=181&amp;ND=3&amp;adjacent=true&amp;locale=en_EP&amp;FT=D&amp;date=20141203&amp;CC=CN&amp;NR=104172707A&amp;KC=A")</f>
        <v>https://worldwide.espacenet.com/publicationDetails/biblio?II=181&amp;ND=3&amp;adjacent=true&amp;locale=en_EP&amp;FT=D&amp;date=20141203&amp;CC=CN&amp;NR=104172707A&amp;KC=A</v>
      </c>
    </row>
    <row r="1696" spans="3:5" x14ac:dyDescent="0.25">
      <c r="C1696" t="s">
        <v>2844</v>
      </c>
      <c r="D1696" t="s">
        <v>2845</v>
      </c>
      <c r="E1696" t="str">
        <f>HYPERLINK("https://worldwide.espacenet.com/publicationDetails/biblio?II=182&amp;ND=3&amp;adjacent=true&amp;locale=en_EP&amp;FT=D&amp;date=20141119&amp;CC=CN&amp;NR=203951270U&amp;KC=U")</f>
        <v>https://worldwide.espacenet.com/publicationDetails/biblio?II=182&amp;ND=3&amp;adjacent=true&amp;locale=en_EP&amp;FT=D&amp;date=20141119&amp;CC=CN&amp;NR=203951270U&amp;KC=U</v>
      </c>
    </row>
    <row r="1697" spans="3:5" x14ac:dyDescent="0.25">
      <c r="C1697" t="s">
        <v>2846</v>
      </c>
      <c r="D1697" t="s">
        <v>2847</v>
      </c>
      <c r="E1697" t="str">
        <f>HYPERLINK("https://worldwide.espacenet.com/publicationDetails/biblio?II=183&amp;ND=3&amp;adjacent=true&amp;locale=en_EP&amp;FT=D&amp;date=20141119&amp;CC=CN&amp;NR=203949698U&amp;KC=U")</f>
        <v>https://worldwide.espacenet.com/publicationDetails/biblio?II=183&amp;ND=3&amp;adjacent=true&amp;locale=en_EP&amp;FT=D&amp;date=20141119&amp;CC=CN&amp;NR=203949698U&amp;KC=U</v>
      </c>
    </row>
    <row r="1698" spans="3:5" x14ac:dyDescent="0.25">
      <c r="C1698" t="s">
        <v>2848</v>
      </c>
      <c r="D1698" t="s">
        <v>2849</v>
      </c>
      <c r="E1698" t="str">
        <f>HYPERLINK("https://worldwide.espacenet.com/publicationDetails/biblio?II=184&amp;ND=3&amp;adjacent=true&amp;locale=en_EP&amp;FT=D&amp;date=20140701&amp;CC=TW&amp;NR=201426586A&amp;KC=A")</f>
        <v>https://worldwide.espacenet.com/publicationDetails/biblio?II=184&amp;ND=3&amp;adjacent=true&amp;locale=en_EP&amp;FT=D&amp;date=20140701&amp;CC=TW&amp;NR=201426586A&amp;KC=A</v>
      </c>
    </row>
    <row r="1699" spans="3:5" x14ac:dyDescent="0.25">
      <c r="C1699" t="s">
        <v>1939</v>
      </c>
      <c r="D1699" t="s">
        <v>1940</v>
      </c>
      <c r="E1699" t="str">
        <f>HYPERLINK("https://worldwide.espacenet.com/publicationDetails/biblio?II=185&amp;ND=3&amp;adjacent=true&amp;locale=en_EP&amp;FT=D&amp;date=20141001&amp;CC=CN&amp;NR=203859884U&amp;KC=U")</f>
        <v>https://worldwide.espacenet.com/publicationDetails/biblio?II=185&amp;ND=3&amp;adjacent=true&amp;locale=en_EP&amp;FT=D&amp;date=20141001&amp;CC=CN&amp;NR=203859884U&amp;KC=U</v>
      </c>
    </row>
    <row r="1700" spans="3:5" x14ac:dyDescent="0.25">
      <c r="C1700" t="s">
        <v>2850</v>
      </c>
      <c r="D1700" t="s">
        <v>2851</v>
      </c>
      <c r="E1700" t="str">
        <f>HYPERLINK("https://worldwide.espacenet.com/publicationDetails/biblio?II=186&amp;ND=3&amp;adjacent=true&amp;locale=en_EP&amp;FT=D&amp;date=20140903&amp;CC=CN&amp;NR=104022824A&amp;KC=A")</f>
        <v>https://worldwide.espacenet.com/publicationDetails/biblio?II=186&amp;ND=3&amp;adjacent=true&amp;locale=en_EP&amp;FT=D&amp;date=20140903&amp;CC=CN&amp;NR=104022824A&amp;KC=A</v>
      </c>
    </row>
    <row r="1701" spans="3:5" x14ac:dyDescent="0.25">
      <c r="C1701" t="s">
        <v>1947</v>
      </c>
      <c r="D1701" t="s">
        <v>1948</v>
      </c>
      <c r="E1701" t="str">
        <f>HYPERLINK("https://worldwide.espacenet.com/publicationDetails/biblio?II=187&amp;ND=3&amp;adjacent=true&amp;locale=en_EP&amp;FT=D&amp;date=20140904&amp;CC=US&amp;NR=2014248911A1&amp;KC=A1")</f>
        <v>https://worldwide.espacenet.com/publicationDetails/biblio?II=187&amp;ND=3&amp;adjacent=true&amp;locale=en_EP&amp;FT=D&amp;date=20140904&amp;CC=US&amp;NR=2014248911A1&amp;KC=A1</v>
      </c>
    </row>
    <row r="1702" spans="3:5" x14ac:dyDescent="0.25">
      <c r="C1702" t="s">
        <v>2852</v>
      </c>
      <c r="D1702" t="s">
        <v>2853</v>
      </c>
      <c r="E1702" t="str">
        <f>HYPERLINK("https://worldwide.espacenet.com/publicationDetails/biblio?II=188&amp;ND=3&amp;adjacent=true&amp;locale=en_EP&amp;FT=D&amp;date=20140904&amp;CC=US&amp;NR=2014247342A1&amp;KC=A1")</f>
        <v>https://worldwide.espacenet.com/publicationDetails/biblio?II=188&amp;ND=3&amp;adjacent=true&amp;locale=en_EP&amp;FT=D&amp;date=20140904&amp;CC=US&amp;NR=2014247342A1&amp;KC=A1</v>
      </c>
    </row>
    <row r="1703" spans="3:5" x14ac:dyDescent="0.25">
      <c r="C1703" t="s">
        <v>2854</v>
      </c>
      <c r="D1703" t="s">
        <v>2855</v>
      </c>
      <c r="E1703" t="str">
        <f>HYPERLINK("https://worldwide.espacenet.com/publicationDetails/biblio?II=189&amp;ND=3&amp;adjacent=true&amp;locale=en_EP&amp;FT=D&amp;date=20140814&amp;CC=US&amp;NR=2014229287A1&amp;KC=A1")</f>
        <v>https://worldwide.espacenet.com/publicationDetails/biblio?II=189&amp;ND=3&amp;adjacent=true&amp;locale=en_EP&amp;FT=D&amp;date=20140814&amp;CC=US&amp;NR=2014229287A1&amp;KC=A1</v>
      </c>
    </row>
    <row r="1704" spans="3:5" x14ac:dyDescent="0.25">
      <c r="C1704" t="s">
        <v>2856</v>
      </c>
      <c r="D1704" t="s">
        <v>2857</v>
      </c>
      <c r="E1704" t="str">
        <f>HYPERLINK("https://worldwide.espacenet.com/publicationDetails/biblio?II=190&amp;ND=3&amp;adjacent=true&amp;locale=en_EP&amp;FT=D&amp;date=20140731&amp;CC=SI&amp;NR=2005441T1&amp;KC=T1")</f>
        <v>https://worldwide.espacenet.com/publicationDetails/biblio?II=190&amp;ND=3&amp;adjacent=true&amp;locale=en_EP&amp;FT=D&amp;date=20140731&amp;CC=SI&amp;NR=2005441T1&amp;KC=T1</v>
      </c>
    </row>
    <row r="1705" spans="3:5" x14ac:dyDescent="0.25">
      <c r="C1705" t="s">
        <v>1961</v>
      </c>
      <c r="D1705" t="s">
        <v>1962</v>
      </c>
      <c r="E1705" t="str">
        <f>HYPERLINK("https://worldwide.espacenet.com/publicationDetails/biblio?II=191&amp;ND=3&amp;adjacent=true&amp;locale=en_EP&amp;FT=D&amp;date=20140716&amp;CC=CN&amp;NR=203720851U&amp;KC=U")</f>
        <v>https://worldwide.espacenet.com/publicationDetails/biblio?II=191&amp;ND=3&amp;adjacent=true&amp;locale=en_EP&amp;FT=D&amp;date=20140716&amp;CC=CN&amp;NR=203720851U&amp;KC=U</v>
      </c>
    </row>
    <row r="1706" spans="3:5" x14ac:dyDescent="0.25">
      <c r="C1706" t="s">
        <v>2858</v>
      </c>
      <c r="D1706" t="s">
        <v>2859</v>
      </c>
      <c r="E1706" t="str">
        <f>HYPERLINK("https://worldwide.espacenet.com/publicationDetails/biblio?II=192&amp;ND=3&amp;adjacent=true&amp;locale=en_EP&amp;FT=D&amp;date=20140702&amp;CC=CN&amp;NR=203691532U&amp;KC=U")</f>
        <v>https://worldwide.espacenet.com/publicationDetails/biblio?II=192&amp;ND=3&amp;adjacent=true&amp;locale=en_EP&amp;FT=D&amp;date=20140702&amp;CC=CN&amp;NR=203691532U&amp;KC=U</v>
      </c>
    </row>
    <row r="1707" spans="3:5" x14ac:dyDescent="0.25">
      <c r="C1707" t="s">
        <v>2860</v>
      </c>
      <c r="D1707" t="s">
        <v>2861</v>
      </c>
      <c r="E1707" t="str">
        <f>HYPERLINK("https://worldwide.espacenet.com/publicationDetails/biblio?II=193&amp;ND=3&amp;adjacent=true&amp;locale=en_EP&amp;FT=D&amp;date=20140702&amp;CC=CN&amp;NR=203689543U&amp;KC=U")</f>
        <v>https://worldwide.espacenet.com/publicationDetails/biblio?II=193&amp;ND=3&amp;adjacent=true&amp;locale=en_EP&amp;FT=D&amp;date=20140702&amp;CC=CN&amp;NR=203689543U&amp;KC=U</v>
      </c>
    </row>
    <row r="1708" spans="3:5" x14ac:dyDescent="0.25">
      <c r="C1708" t="s">
        <v>2454</v>
      </c>
      <c r="D1708" t="s">
        <v>2455</v>
      </c>
      <c r="E1708" t="str">
        <f>HYPERLINK("https://worldwide.espacenet.com/publicationDetails/biblio?II=194&amp;ND=3&amp;adjacent=true&amp;locale=en_EP&amp;FT=D&amp;date=20140702&amp;CC=CN&amp;NR=103903536A&amp;KC=A")</f>
        <v>https://worldwide.espacenet.com/publicationDetails/biblio?II=194&amp;ND=3&amp;adjacent=true&amp;locale=en_EP&amp;FT=D&amp;date=20140702&amp;CC=CN&amp;NR=103903536A&amp;KC=A</v>
      </c>
    </row>
    <row r="1709" spans="3:5" x14ac:dyDescent="0.25">
      <c r="C1709" t="s">
        <v>2456</v>
      </c>
      <c r="D1709" t="s">
        <v>2457</v>
      </c>
      <c r="E1709" t="str">
        <f>HYPERLINK("https://worldwide.espacenet.com/publicationDetails/biblio?II=195&amp;ND=3&amp;adjacent=true&amp;locale=en_EP&amp;FT=D&amp;date=20140618&amp;CC=CN&amp;NR=203658686U&amp;KC=U")</f>
        <v>https://worldwide.espacenet.com/publicationDetails/biblio?II=195&amp;ND=3&amp;adjacent=true&amp;locale=en_EP&amp;FT=D&amp;date=20140618&amp;CC=CN&amp;NR=203658686U&amp;KC=U</v>
      </c>
    </row>
    <row r="1710" spans="3:5" x14ac:dyDescent="0.25">
      <c r="C1710" t="s">
        <v>2862</v>
      </c>
      <c r="D1710" t="s">
        <v>2863</v>
      </c>
      <c r="E1710" t="str">
        <f>HYPERLINK("https://worldwide.espacenet.com/publicationDetails/biblio?II=196&amp;ND=3&amp;adjacent=true&amp;locale=en_EP&amp;FT=D&amp;date=20120910&amp;CC=UA&amp;NR=72994U&amp;KC=U")</f>
        <v>https://worldwide.espacenet.com/publicationDetails/biblio?II=196&amp;ND=3&amp;adjacent=true&amp;locale=en_EP&amp;FT=D&amp;date=20120910&amp;CC=UA&amp;NR=72994U&amp;KC=U</v>
      </c>
    </row>
    <row r="1711" spans="3:5" x14ac:dyDescent="0.25">
      <c r="C1711" t="s">
        <v>2864</v>
      </c>
      <c r="D1711" t="s">
        <v>2865</v>
      </c>
      <c r="E1711" t="str">
        <f>HYPERLINK("https://worldwide.espacenet.com/publicationDetails/biblio?II=197&amp;ND=3&amp;adjacent=true&amp;locale=en_EP&amp;FT=D&amp;date=20140423&amp;CC=CN&amp;NR=203563150U&amp;KC=U")</f>
        <v>https://worldwide.espacenet.com/publicationDetails/biblio?II=197&amp;ND=3&amp;adjacent=true&amp;locale=en_EP&amp;FT=D&amp;date=20140423&amp;CC=CN&amp;NR=203563150U&amp;KC=U</v>
      </c>
    </row>
    <row r="1712" spans="3:5" x14ac:dyDescent="0.25">
      <c r="C1712" t="s">
        <v>2866</v>
      </c>
      <c r="D1712" t="s">
        <v>2867</v>
      </c>
      <c r="E1712" t="str">
        <f>HYPERLINK("https://worldwide.espacenet.com/publicationDetails/biblio?II=198&amp;ND=3&amp;adjacent=true&amp;locale=en_EP&amp;FT=D&amp;date=20140423&amp;CC=CN&amp;NR=103745565A&amp;KC=A")</f>
        <v>https://worldwide.espacenet.com/publicationDetails/biblio?II=198&amp;ND=3&amp;adjacent=true&amp;locale=en_EP&amp;FT=D&amp;date=20140423&amp;CC=CN&amp;NR=103745565A&amp;KC=A</v>
      </c>
    </row>
    <row r="1713" spans="3:5" x14ac:dyDescent="0.25">
      <c r="C1713" t="s">
        <v>2868</v>
      </c>
      <c r="D1713" t="s">
        <v>2869</v>
      </c>
      <c r="E1713" t="str">
        <f>HYPERLINK("https://worldwide.espacenet.com/publicationDetails/biblio?II=199&amp;ND=3&amp;adjacent=true&amp;locale=en_EP&amp;FT=D&amp;date=20140410&amp;CC=US&amp;NR=2014100905A1&amp;KC=A1")</f>
        <v>https://worldwide.espacenet.com/publicationDetails/biblio?II=199&amp;ND=3&amp;adjacent=true&amp;locale=en_EP&amp;FT=D&amp;date=20140410&amp;CC=US&amp;NR=2014100905A1&amp;KC=A1</v>
      </c>
    </row>
    <row r="1714" spans="3:5" x14ac:dyDescent="0.25">
      <c r="C1714" t="s">
        <v>2870</v>
      </c>
      <c r="D1714" t="s">
        <v>2871</v>
      </c>
      <c r="E1714" t="str">
        <f>HYPERLINK("https://worldwide.espacenet.com/publicationDetails/biblio?II=200&amp;ND=3&amp;adjacent=true&amp;locale=en_EP&amp;FT=D&amp;date=20140326&amp;CC=CN&amp;NR=103679348A&amp;KC=A")</f>
        <v>https://worldwide.espacenet.com/publicationDetails/biblio?II=200&amp;ND=3&amp;adjacent=true&amp;locale=en_EP&amp;FT=D&amp;date=20140326&amp;CC=CN&amp;NR=103679348A&amp;KC=A</v>
      </c>
    </row>
    <row r="1715" spans="3:5" x14ac:dyDescent="0.25">
      <c r="C1715" t="s">
        <v>2872</v>
      </c>
      <c r="D1715" t="s">
        <v>2873</v>
      </c>
      <c r="E1715" t="str">
        <f>HYPERLINK("https://worldwide.espacenet.com/publicationDetails/biblio?II=201&amp;ND=3&amp;adjacent=true&amp;locale=en_EP&amp;FT=D&amp;date=20140326&amp;CC=CN&amp;NR=103674967A&amp;KC=A")</f>
        <v>https://worldwide.espacenet.com/publicationDetails/biblio?II=201&amp;ND=3&amp;adjacent=true&amp;locale=en_EP&amp;FT=D&amp;date=20140326&amp;CC=CN&amp;NR=103674967A&amp;KC=A</v>
      </c>
    </row>
    <row r="1716" spans="3:5" x14ac:dyDescent="0.25">
      <c r="C1716" t="s">
        <v>2458</v>
      </c>
      <c r="D1716" t="s">
        <v>2459</v>
      </c>
      <c r="E1716" t="str">
        <f>HYPERLINK("https://worldwide.espacenet.com/publicationDetails/biblio?II=202&amp;ND=3&amp;adjacent=true&amp;locale=en_EP&amp;FT=D&amp;date=20140319&amp;CC=CN&amp;NR=103648192A&amp;KC=A")</f>
        <v>https://worldwide.espacenet.com/publicationDetails/biblio?II=202&amp;ND=3&amp;adjacent=true&amp;locale=en_EP&amp;FT=D&amp;date=20140319&amp;CC=CN&amp;NR=103648192A&amp;KC=A</v>
      </c>
    </row>
    <row r="1717" spans="3:5" x14ac:dyDescent="0.25">
      <c r="C1717" t="s">
        <v>2874</v>
      </c>
      <c r="D1717" t="s">
        <v>2875</v>
      </c>
      <c r="E1717" t="str">
        <f>HYPERLINK("https://worldwide.espacenet.com/publicationDetails/biblio?II=203&amp;ND=3&amp;adjacent=true&amp;locale=en_EP&amp;FT=D&amp;date=20140226&amp;CC=CN&amp;NR=103607563A&amp;KC=A")</f>
        <v>https://worldwide.espacenet.com/publicationDetails/biblio?II=203&amp;ND=3&amp;adjacent=true&amp;locale=en_EP&amp;FT=D&amp;date=20140226&amp;CC=CN&amp;NR=103607563A&amp;KC=A</v>
      </c>
    </row>
    <row r="1718" spans="3:5" x14ac:dyDescent="0.25">
      <c r="C1718" t="s">
        <v>2460</v>
      </c>
      <c r="D1718" t="s">
        <v>2461</v>
      </c>
      <c r="E1718" t="str">
        <f>HYPERLINK("https://worldwide.espacenet.com/publicationDetails/biblio?II=204&amp;ND=3&amp;adjacent=true&amp;locale=en_EP&amp;FT=D&amp;date=20140219&amp;CC=CN&amp;NR=203444335U&amp;KC=U")</f>
        <v>https://worldwide.espacenet.com/publicationDetails/biblio?II=204&amp;ND=3&amp;adjacent=true&amp;locale=en_EP&amp;FT=D&amp;date=20140219&amp;CC=CN&amp;NR=203444335U&amp;KC=U</v>
      </c>
    </row>
    <row r="1719" spans="3:5" x14ac:dyDescent="0.25">
      <c r="C1719" t="s">
        <v>2462</v>
      </c>
      <c r="D1719" t="s">
        <v>2463</v>
      </c>
      <c r="E1719" t="str">
        <f>HYPERLINK("https://worldwide.espacenet.com/publicationDetails/biblio?II=205&amp;ND=3&amp;adjacent=true&amp;locale=en_EP&amp;FT=D&amp;date=20140219&amp;CC=CN&amp;NR=203444334U&amp;KC=U")</f>
        <v>https://worldwide.espacenet.com/publicationDetails/biblio?II=205&amp;ND=3&amp;adjacent=true&amp;locale=en_EP&amp;FT=D&amp;date=20140219&amp;CC=CN&amp;NR=203444334U&amp;KC=U</v>
      </c>
    </row>
    <row r="1720" spans="3:5" x14ac:dyDescent="0.25">
      <c r="C1720" t="s">
        <v>2876</v>
      </c>
      <c r="D1720" t="s">
        <v>2877</v>
      </c>
      <c r="E1720" t="str">
        <f>HYPERLINK("https://worldwide.espacenet.com/publicationDetails/biblio?II=206&amp;ND=3&amp;adjacent=true&amp;locale=en_EP&amp;FT=D&amp;date=20140206&amp;CC=US&amp;NR=2014036576A1&amp;KC=A1")</f>
        <v>https://worldwide.espacenet.com/publicationDetails/biblio?II=206&amp;ND=3&amp;adjacent=true&amp;locale=en_EP&amp;FT=D&amp;date=20140206&amp;CC=US&amp;NR=2014036576A1&amp;KC=A1</v>
      </c>
    </row>
    <row r="1721" spans="3:5" x14ac:dyDescent="0.25">
      <c r="C1721" t="s">
        <v>2464</v>
      </c>
      <c r="D1721" t="s">
        <v>2465</v>
      </c>
      <c r="E1721" t="str">
        <f>HYPERLINK("https://worldwide.espacenet.com/publicationDetails/biblio?II=207&amp;ND=3&amp;adjacent=true&amp;locale=en_EP&amp;FT=D&amp;date=20140108&amp;CC=CN&amp;NR=103500385A&amp;KC=A")</f>
        <v>https://worldwide.espacenet.com/publicationDetails/biblio?II=207&amp;ND=3&amp;adjacent=true&amp;locale=en_EP&amp;FT=D&amp;date=20140108&amp;CC=CN&amp;NR=103500385A&amp;KC=A</v>
      </c>
    </row>
    <row r="1722" spans="3:5" x14ac:dyDescent="0.25">
      <c r="C1722" t="s">
        <v>2878</v>
      </c>
      <c r="D1722" t="s">
        <v>2879</v>
      </c>
      <c r="E1722" t="str">
        <f>HYPERLINK("https://worldwide.espacenet.com/publicationDetails/biblio?II=208&amp;ND=3&amp;adjacent=true&amp;locale=en_EP&amp;FT=D&amp;date=20140101&amp;CC=CN&amp;NR=203376954U&amp;KC=U")</f>
        <v>https://worldwide.espacenet.com/publicationDetails/biblio?II=208&amp;ND=3&amp;adjacent=true&amp;locale=en_EP&amp;FT=D&amp;date=20140101&amp;CC=CN&amp;NR=203376954U&amp;KC=U</v>
      </c>
    </row>
    <row r="1723" spans="3:5" x14ac:dyDescent="0.25">
      <c r="C1723" t="s">
        <v>2466</v>
      </c>
      <c r="D1723" t="s">
        <v>2467</v>
      </c>
      <c r="E1723" t="str">
        <f>HYPERLINK("https://worldwide.espacenet.com/publicationDetails/biblio?II=209&amp;ND=3&amp;adjacent=true&amp;locale=en_EP&amp;FT=D&amp;date=20131219&amp;CC=WO&amp;NR=2013185509A1&amp;KC=A1")</f>
        <v>https://worldwide.espacenet.com/publicationDetails/biblio?II=209&amp;ND=3&amp;adjacent=true&amp;locale=en_EP&amp;FT=D&amp;date=20131219&amp;CC=WO&amp;NR=2013185509A1&amp;KC=A1</v>
      </c>
    </row>
    <row r="1724" spans="3:5" x14ac:dyDescent="0.25">
      <c r="C1724" t="s">
        <v>2880</v>
      </c>
      <c r="D1724" t="s">
        <v>2881</v>
      </c>
      <c r="E1724" t="str">
        <f>HYPERLINK("https://worldwide.espacenet.com/publicationDetails/biblio?II=210&amp;ND=3&amp;adjacent=true&amp;locale=en_EP&amp;FT=D&amp;date=20131211&amp;CC=CN&amp;NR=203336185U&amp;KC=U")</f>
        <v>https://worldwide.espacenet.com/publicationDetails/biblio?II=210&amp;ND=3&amp;adjacent=true&amp;locale=en_EP&amp;FT=D&amp;date=20131211&amp;CC=CN&amp;NR=203336185U&amp;KC=U</v>
      </c>
    </row>
    <row r="1725" spans="3:5" x14ac:dyDescent="0.25">
      <c r="C1725" t="s">
        <v>2468</v>
      </c>
      <c r="D1725" t="s">
        <v>2469</v>
      </c>
      <c r="E1725" t="str">
        <f>HYPERLINK("https://worldwide.espacenet.com/publicationDetails/biblio?II=211&amp;ND=3&amp;adjacent=true&amp;locale=en_EP&amp;FT=D&amp;date=20131211&amp;CC=CN&amp;NR=203328031U&amp;KC=U")</f>
        <v>https://worldwide.espacenet.com/publicationDetails/biblio?II=211&amp;ND=3&amp;adjacent=true&amp;locale=en_EP&amp;FT=D&amp;date=20131211&amp;CC=CN&amp;NR=203328031U&amp;KC=U</v>
      </c>
    </row>
    <row r="1726" spans="3:5" x14ac:dyDescent="0.25">
      <c r="C1726" t="s">
        <v>2882</v>
      </c>
      <c r="D1726" t="s">
        <v>2883</v>
      </c>
      <c r="E1726" t="str">
        <f>HYPERLINK("https://worldwide.espacenet.com/publicationDetails/biblio?II=212&amp;ND=3&amp;adjacent=true&amp;locale=en_EP&amp;FT=D&amp;date=20131204&amp;CC=CN&amp;NR=203320209U&amp;KC=U")</f>
        <v>https://worldwide.espacenet.com/publicationDetails/biblio?II=212&amp;ND=3&amp;adjacent=true&amp;locale=en_EP&amp;FT=D&amp;date=20131204&amp;CC=CN&amp;NR=203320209U&amp;KC=U</v>
      </c>
    </row>
    <row r="1727" spans="3:5" x14ac:dyDescent="0.25">
      <c r="C1727" t="s">
        <v>2470</v>
      </c>
      <c r="D1727" t="s">
        <v>2471</v>
      </c>
      <c r="E1727" t="str">
        <f>HYPERLINK("https://worldwide.espacenet.com/publicationDetails/biblio?II=213&amp;ND=3&amp;adjacent=true&amp;locale=en_EP&amp;FT=D&amp;date=20131120&amp;CC=CN&amp;NR=203300181U&amp;KC=U")</f>
        <v>https://worldwide.espacenet.com/publicationDetails/biblio?II=213&amp;ND=3&amp;adjacent=true&amp;locale=en_EP&amp;FT=D&amp;date=20131120&amp;CC=CN&amp;NR=203300181U&amp;KC=U</v>
      </c>
    </row>
    <row r="1728" spans="3:5" x14ac:dyDescent="0.25">
      <c r="C1728" t="s">
        <v>2884</v>
      </c>
      <c r="D1728" t="s">
        <v>2885</v>
      </c>
      <c r="E1728" t="str">
        <f>HYPERLINK("https://worldwide.espacenet.com/publicationDetails/biblio?II=214&amp;ND=3&amp;adjacent=true&amp;locale=en_EP&amp;FT=D&amp;date=20131120&amp;CC=CN&amp;NR=203300180U&amp;KC=U")</f>
        <v>https://worldwide.espacenet.com/publicationDetails/biblio?II=214&amp;ND=3&amp;adjacent=true&amp;locale=en_EP&amp;FT=D&amp;date=20131120&amp;CC=CN&amp;NR=203300180U&amp;KC=U</v>
      </c>
    </row>
    <row r="1729" spans="3:5" x14ac:dyDescent="0.25">
      <c r="C1729" t="s">
        <v>2472</v>
      </c>
      <c r="D1729" t="s">
        <v>2473</v>
      </c>
      <c r="E1729" t="str">
        <f>HYPERLINK("https://worldwide.espacenet.com/publicationDetails/biblio?II=215&amp;ND=3&amp;adjacent=true&amp;locale=en_EP&amp;FT=D&amp;date=20131030&amp;CC=CN&amp;NR=203261320U&amp;KC=U")</f>
        <v>https://worldwide.espacenet.com/publicationDetails/biblio?II=215&amp;ND=3&amp;adjacent=true&amp;locale=en_EP&amp;FT=D&amp;date=20131030&amp;CC=CN&amp;NR=203261320U&amp;KC=U</v>
      </c>
    </row>
    <row r="1730" spans="3:5" x14ac:dyDescent="0.25">
      <c r="C1730" t="s">
        <v>2474</v>
      </c>
      <c r="D1730" t="s">
        <v>2475</v>
      </c>
      <c r="E1730" t="str">
        <f>HYPERLINK("https://worldwide.espacenet.com/publicationDetails/biblio?II=216&amp;ND=3&amp;adjacent=true&amp;locale=en_EP&amp;FT=D&amp;date=20131009&amp;CC=CN&amp;NR=103347123A&amp;KC=A")</f>
        <v>https://worldwide.espacenet.com/publicationDetails/biblio?II=216&amp;ND=3&amp;adjacent=true&amp;locale=en_EP&amp;FT=D&amp;date=20131009&amp;CC=CN&amp;NR=103347123A&amp;KC=A</v>
      </c>
    </row>
    <row r="1731" spans="3:5" x14ac:dyDescent="0.25">
      <c r="C1731" t="s">
        <v>2476</v>
      </c>
      <c r="D1731" t="s">
        <v>2477</v>
      </c>
      <c r="E1731" t="str">
        <f>HYPERLINK("https://worldwide.espacenet.com/publicationDetails/biblio?II=217&amp;ND=3&amp;adjacent=true&amp;locale=en_EP&amp;FT=D&amp;date=20131009&amp;CC=CN&amp;NR=103344970A&amp;KC=A")</f>
        <v>https://worldwide.espacenet.com/publicationDetails/biblio?II=217&amp;ND=3&amp;adjacent=true&amp;locale=en_EP&amp;FT=D&amp;date=20131009&amp;CC=CN&amp;NR=103344970A&amp;KC=A</v>
      </c>
    </row>
    <row r="1732" spans="3:5" x14ac:dyDescent="0.25">
      <c r="C1732" t="s">
        <v>2886</v>
      </c>
      <c r="D1732" t="s">
        <v>2887</v>
      </c>
      <c r="E1732" t="str">
        <f>HYPERLINK("https://worldwide.espacenet.com/publicationDetails/biblio?II=218&amp;ND=3&amp;adjacent=true&amp;locale=en_EP&amp;FT=D&amp;date=20130925&amp;CC=CN&amp;NR=103325192A&amp;KC=A")</f>
        <v>https://worldwide.espacenet.com/publicationDetails/biblio?II=218&amp;ND=3&amp;adjacent=true&amp;locale=en_EP&amp;FT=D&amp;date=20130925&amp;CC=CN&amp;NR=103325192A&amp;KC=A</v>
      </c>
    </row>
    <row r="1733" spans="3:5" x14ac:dyDescent="0.25">
      <c r="C1733" t="s">
        <v>2888</v>
      </c>
      <c r="D1733" t="s">
        <v>2889</v>
      </c>
      <c r="E1733" t="str">
        <f>HYPERLINK("https://worldwide.espacenet.com/publicationDetails/biblio?II=219&amp;ND=3&amp;adjacent=true&amp;locale=en_EP&amp;FT=D&amp;date=20130910&amp;CC=US&amp;NR=8531483B1&amp;KC=B1")</f>
        <v>https://worldwide.espacenet.com/publicationDetails/biblio?II=219&amp;ND=3&amp;adjacent=true&amp;locale=en_EP&amp;FT=D&amp;date=20130910&amp;CC=US&amp;NR=8531483B1&amp;KC=B1</v>
      </c>
    </row>
    <row r="1734" spans="3:5" x14ac:dyDescent="0.25">
      <c r="C1734" t="s">
        <v>2478</v>
      </c>
      <c r="D1734" t="s">
        <v>2479</v>
      </c>
      <c r="E1734" t="str">
        <f>HYPERLINK("https://worldwide.espacenet.com/publicationDetails/biblio?II=220&amp;ND=3&amp;adjacent=true&amp;locale=en_EP&amp;FT=D&amp;date=20130904&amp;CC=CN&amp;NR=203179461U&amp;KC=U")</f>
        <v>https://worldwide.espacenet.com/publicationDetails/biblio?II=220&amp;ND=3&amp;adjacent=true&amp;locale=en_EP&amp;FT=D&amp;date=20130904&amp;CC=CN&amp;NR=203179461U&amp;KC=U</v>
      </c>
    </row>
    <row r="1735" spans="3:5" x14ac:dyDescent="0.25">
      <c r="C1735" t="s">
        <v>2890</v>
      </c>
      <c r="D1735" t="s">
        <v>2891</v>
      </c>
      <c r="E1735" t="str">
        <f>HYPERLINK("https://worldwide.espacenet.com/publicationDetails/biblio?II=221&amp;ND=3&amp;adjacent=true&amp;locale=en_EP&amp;FT=D&amp;date=20130829&amp;CC=US&amp;NR=2013226934A1&amp;KC=A1")</f>
        <v>https://worldwide.espacenet.com/publicationDetails/biblio?II=221&amp;ND=3&amp;adjacent=true&amp;locale=en_EP&amp;FT=D&amp;date=20130829&amp;CC=US&amp;NR=2013226934A1&amp;KC=A1</v>
      </c>
    </row>
    <row r="1736" spans="3:5" x14ac:dyDescent="0.25">
      <c r="C1736" t="s">
        <v>2480</v>
      </c>
      <c r="D1736" t="s">
        <v>2481</v>
      </c>
      <c r="E1736" t="str">
        <f>HYPERLINK("https://worldwide.espacenet.com/publicationDetails/biblio?II=222&amp;ND=3&amp;adjacent=true&amp;locale=en_EP&amp;FT=D&amp;date=20130821&amp;CC=CN&amp;NR=203150071U&amp;KC=U")</f>
        <v>https://worldwide.espacenet.com/publicationDetails/biblio?II=222&amp;ND=3&amp;adjacent=true&amp;locale=en_EP&amp;FT=D&amp;date=20130821&amp;CC=CN&amp;NR=203150071U&amp;KC=U</v>
      </c>
    </row>
    <row r="1737" spans="3:5" x14ac:dyDescent="0.25">
      <c r="C1737" t="s">
        <v>2892</v>
      </c>
      <c r="D1737" t="s">
        <v>2893</v>
      </c>
      <c r="E1737" t="str">
        <f>HYPERLINK("https://worldwide.espacenet.com/publicationDetails/biblio?II=223&amp;ND=3&amp;adjacent=true&amp;locale=en_EP&amp;FT=D&amp;date=20130821&amp;CC=CN&amp;NR=203150054U&amp;KC=U")</f>
        <v>https://worldwide.espacenet.com/publicationDetails/biblio?II=223&amp;ND=3&amp;adjacent=true&amp;locale=en_EP&amp;FT=D&amp;date=20130821&amp;CC=CN&amp;NR=203150054U&amp;KC=U</v>
      </c>
    </row>
    <row r="1738" spans="3:5" x14ac:dyDescent="0.25">
      <c r="C1738" t="s">
        <v>2894</v>
      </c>
      <c r="D1738" t="s">
        <v>2895</v>
      </c>
      <c r="E1738" t="str">
        <f>HYPERLINK("https://worldwide.espacenet.com/publicationDetails/biblio?II=224&amp;ND=3&amp;adjacent=true&amp;locale=en_EP&amp;FT=D&amp;date=20130731&amp;CC=CN&amp;NR=203094053U&amp;KC=U")</f>
        <v>https://worldwide.espacenet.com/publicationDetails/biblio?II=224&amp;ND=3&amp;adjacent=true&amp;locale=en_EP&amp;FT=D&amp;date=20130731&amp;CC=CN&amp;NR=203094053U&amp;KC=U</v>
      </c>
    </row>
    <row r="1739" spans="3:5" x14ac:dyDescent="0.25">
      <c r="C1739" t="s">
        <v>2482</v>
      </c>
      <c r="D1739" t="s">
        <v>2483</v>
      </c>
      <c r="E1739" t="str">
        <f>HYPERLINK("https://worldwide.espacenet.com/publicationDetails/biblio?II=225&amp;ND=3&amp;adjacent=true&amp;locale=en_EP&amp;FT=D&amp;date=20130717&amp;CC=CN&amp;NR=203071629U&amp;KC=U")</f>
        <v>https://worldwide.espacenet.com/publicationDetails/biblio?II=225&amp;ND=3&amp;adjacent=true&amp;locale=en_EP&amp;FT=D&amp;date=20130717&amp;CC=CN&amp;NR=203071629U&amp;KC=U</v>
      </c>
    </row>
    <row r="1740" spans="3:5" x14ac:dyDescent="0.25">
      <c r="C1740" t="s">
        <v>2484</v>
      </c>
      <c r="D1740" t="s">
        <v>2485</v>
      </c>
      <c r="E1740" t="str">
        <f>HYPERLINK("https://worldwide.espacenet.com/publicationDetails/biblio?II=226&amp;ND=3&amp;adjacent=true&amp;locale=en_EP&amp;FT=D&amp;date=20130619&amp;CC=CN&amp;NR=103163885A&amp;KC=A")</f>
        <v>https://worldwide.espacenet.com/publicationDetails/biblio?II=226&amp;ND=3&amp;adjacent=true&amp;locale=en_EP&amp;FT=D&amp;date=20130619&amp;CC=CN&amp;NR=103163885A&amp;KC=A</v>
      </c>
    </row>
    <row r="1741" spans="3:5" x14ac:dyDescent="0.25">
      <c r="C1741" t="s">
        <v>2896</v>
      </c>
      <c r="D1741" t="s">
        <v>2897</v>
      </c>
      <c r="E1741" t="str">
        <f>HYPERLINK("https://worldwide.espacenet.com/publicationDetails/biblio?II=227&amp;ND=3&amp;adjacent=true&amp;locale=en_EP&amp;FT=D&amp;date=20130605&amp;CC=CN&amp;NR=103138350A&amp;KC=A")</f>
        <v>https://worldwide.espacenet.com/publicationDetails/biblio?II=227&amp;ND=3&amp;adjacent=true&amp;locale=en_EP&amp;FT=D&amp;date=20130605&amp;CC=CN&amp;NR=103138350A&amp;KC=A</v>
      </c>
    </row>
    <row r="1742" spans="3:5" x14ac:dyDescent="0.25">
      <c r="C1742" t="s">
        <v>2898</v>
      </c>
      <c r="D1742" t="s">
        <v>2899</v>
      </c>
      <c r="E1742" t="str">
        <f>HYPERLINK("https://worldwide.espacenet.com/publicationDetails/biblio?II=228&amp;ND=3&amp;adjacent=true&amp;locale=en_EP&amp;FT=D&amp;date=20130605&amp;CC=CN&amp;NR=103127728A&amp;KC=A")</f>
        <v>https://worldwide.espacenet.com/publicationDetails/biblio?II=228&amp;ND=3&amp;adjacent=true&amp;locale=en_EP&amp;FT=D&amp;date=20130605&amp;CC=CN&amp;NR=103127728A&amp;KC=A</v>
      </c>
    </row>
    <row r="1743" spans="3:5" x14ac:dyDescent="0.25">
      <c r="C1743" t="s">
        <v>2486</v>
      </c>
      <c r="D1743" t="s">
        <v>2487</v>
      </c>
      <c r="E1743" t="str">
        <f>HYPERLINK("https://worldwide.espacenet.com/publicationDetails/biblio?II=229&amp;ND=3&amp;adjacent=true&amp;locale=en_EP&amp;FT=D&amp;date=20130529&amp;CC=CN&amp;NR=202957014U&amp;KC=U")</f>
        <v>https://worldwide.espacenet.com/publicationDetails/biblio?II=229&amp;ND=3&amp;adjacent=true&amp;locale=en_EP&amp;FT=D&amp;date=20130529&amp;CC=CN&amp;NR=202957014U&amp;KC=U</v>
      </c>
    </row>
    <row r="1744" spans="3:5" x14ac:dyDescent="0.25">
      <c r="C1744" t="s">
        <v>2900</v>
      </c>
      <c r="D1744" t="s">
        <v>2901</v>
      </c>
      <c r="E1744" t="str">
        <f>HYPERLINK("https://worldwide.espacenet.com/publicationDetails/biblio?II=230&amp;ND=3&amp;adjacent=true&amp;locale=en_EP&amp;FT=D&amp;date=20130529&amp;CC=CN&amp;NR=202956911U&amp;KC=U")</f>
        <v>https://worldwide.espacenet.com/publicationDetails/biblio?II=230&amp;ND=3&amp;adjacent=true&amp;locale=en_EP&amp;FT=D&amp;date=20130529&amp;CC=CN&amp;NR=202956911U&amp;KC=U</v>
      </c>
    </row>
    <row r="1745" spans="3:5" x14ac:dyDescent="0.25">
      <c r="C1745" t="s">
        <v>2077</v>
      </c>
      <c r="D1745" t="s">
        <v>2078</v>
      </c>
      <c r="E1745" t="str">
        <f>HYPERLINK("https://worldwide.espacenet.com/publicationDetails/biblio?II=231&amp;ND=3&amp;adjacent=true&amp;locale=en_EP&amp;FT=D&amp;date=20130522&amp;CC=CN&amp;NR=202949571U&amp;KC=U")</f>
        <v>https://worldwide.espacenet.com/publicationDetails/biblio?II=231&amp;ND=3&amp;adjacent=true&amp;locale=en_EP&amp;FT=D&amp;date=20130522&amp;CC=CN&amp;NR=202949571U&amp;KC=U</v>
      </c>
    </row>
    <row r="1746" spans="3:5" x14ac:dyDescent="0.25">
      <c r="C1746" t="s">
        <v>2488</v>
      </c>
      <c r="D1746" t="s">
        <v>2489</v>
      </c>
      <c r="E1746" t="str">
        <f>HYPERLINK("https://worldwide.espacenet.com/publicationDetails/biblio?II=232&amp;ND=3&amp;adjacent=true&amp;locale=en_EP&amp;FT=D&amp;date=20121216&amp;CC=TW&amp;NR=201250624A&amp;KC=A")</f>
        <v>https://worldwide.espacenet.com/publicationDetails/biblio?II=232&amp;ND=3&amp;adjacent=true&amp;locale=en_EP&amp;FT=D&amp;date=20121216&amp;CC=TW&amp;NR=201250624A&amp;KC=A</v>
      </c>
    </row>
    <row r="1747" spans="3:5" x14ac:dyDescent="0.25">
      <c r="C1747" t="s">
        <v>2902</v>
      </c>
      <c r="D1747" t="s">
        <v>2903</v>
      </c>
      <c r="E1747" t="str">
        <f>HYPERLINK("https://worldwide.espacenet.com/publicationDetails/biblio?II=233&amp;ND=3&amp;adjacent=true&amp;locale=en_EP&amp;FT=D&amp;date=20121201&amp;CC=TW&amp;NR=201248539A&amp;KC=A")</f>
        <v>https://worldwide.espacenet.com/publicationDetails/biblio?II=233&amp;ND=3&amp;adjacent=true&amp;locale=en_EP&amp;FT=D&amp;date=20121201&amp;CC=TW&amp;NR=201248539A&amp;KC=A</v>
      </c>
    </row>
    <row r="1748" spans="3:5" x14ac:dyDescent="0.25">
      <c r="C1748" t="s">
        <v>2490</v>
      </c>
      <c r="D1748" t="s">
        <v>2491</v>
      </c>
      <c r="E1748" t="str">
        <f>HYPERLINK("https://worldwide.espacenet.com/publicationDetails/biblio?II=234&amp;ND=3&amp;adjacent=true&amp;locale=en_EP&amp;FT=D&amp;date=20130424&amp;CC=CN&amp;NR=202907025U&amp;KC=U")</f>
        <v>https://worldwide.espacenet.com/publicationDetails/biblio?II=234&amp;ND=3&amp;adjacent=true&amp;locale=en_EP&amp;FT=D&amp;date=20130424&amp;CC=CN&amp;NR=202907025U&amp;KC=U</v>
      </c>
    </row>
    <row r="1749" spans="3:5" x14ac:dyDescent="0.25">
      <c r="C1749" t="s">
        <v>2904</v>
      </c>
      <c r="D1749" t="s">
        <v>2905</v>
      </c>
      <c r="E1749" t="str">
        <f>HYPERLINK("https://worldwide.espacenet.com/publicationDetails/biblio?II=235&amp;ND=3&amp;adjacent=true&amp;locale=en_EP&amp;FT=D&amp;date=20130410&amp;CC=CN&amp;NR=103035042A&amp;KC=A")</f>
        <v>https://worldwide.espacenet.com/publicationDetails/biblio?II=235&amp;ND=3&amp;adjacent=true&amp;locale=en_EP&amp;FT=D&amp;date=20130410&amp;CC=CN&amp;NR=103035042A&amp;KC=A</v>
      </c>
    </row>
    <row r="1750" spans="3:5" x14ac:dyDescent="0.25">
      <c r="C1750" t="s">
        <v>2592</v>
      </c>
      <c r="D1750" t="s">
        <v>2906</v>
      </c>
      <c r="E1750" t="str">
        <f>HYPERLINK("https://worldwide.espacenet.com/publicationDetails/biblio?II=236&amp;ND=3&amp;adjacent=true&amp;locale=en_EP&amp;FT=D&amp;date=20130403&amp;CC=CN&amp;NR=202854905U&amp;KC=U")</f>
        <v>https://worldwide.espacenet.com/publicationDetails/biblio?II=236&amp;ND=3&amp;adjacent=true&amp;locale=en_EP&amp;FT=D&amp;date=20130403&amp;CC=CN&amp;NR=202854905U&amp;KC=U</v>
      </c>
    </row>
    <row r="1751" spans="3:5" x14ac:dyDescent="0.25">
      <c r="C1751" t="s">
        <v>2907</v>
      </c>
      <c r="D1751" t="s">
        <v>2908</v>
      </c>
      <c r="E1751" t="str">
        <f>HYPERLINK("https://worldwide.espacenet.com/publicationDetails/biblio?II=237&amp;ND=3&amp;adjacent=true&amp;locale=en_EP&amp;FT=D&amp;date=20130321&amp;CC=US&amp;NR=2013073325A1&amp;KC=A1")</f>
        <v>https://worldwide.espacenet.com/publicationDetails/biblio?II=237&amp;ND=3&amp;adjacent=true&amp;locale=en_EP&amp;FT=D&amp;date=20130321&amp;CC=US&amp;NR=2013073325A1&amp;KC=A1</v>
      </c>
    </row>
    <row r="1752" spans="3:5" x14ac:dyDescent="0.25">
      <c r="C1752" t="s">
        <v>2492</v>
      </c>
      <c r="D1752" t="s">
        <v>2493</v>
      </c>
      <c r="E1752" t="str">
        <f>HYPERLINK("https://worldwide.espacenet.com/publicationDetails/biblio?II=238&amp;ND=3&amp;adjacent=true&amp;locale=en_EP&amp;FT=D&amp;date=20130320&amp;CC=CN&amp;NR=202816320U&amp;KC=U")</f>
        <v>https://worldwide.espacenet.com/publicationDetails/biblio?II=238&amp;ND=3&amp;adjacent=true&amp;locale=en_EP&amp;FT=D&amp;date=20130320&amp;CC=CN&amp;NR=202816320U&amp;KC=U</v>
      </c>
    </row>
    <row r="1753" spans="3:5" x14ac:dyDescent="0.25">
      <c r="C1753" t="s">
        <v>2494</v>
      </c>
      <c r="D1753" t="s">
        <v>2495</v>
      </c>
      <c r="E1753" t="str">
        <f>HYPERLINK("https://worldwide.espacenet.com/publicationDetails/biblio?II=239&amp;ND=3&amp;adjacent=true&amp;locale=en_EP&amp;FT=D&amp;date=20130313&amp;CC=CN&amp;NR=102968941A&amp;KC=A")</f>
        <v>https://worldwide.espacenet.com/publicationDetails/biblio?II=239&amp;ND=3&amp;adjacent=true&amp;locale=en_EP&amp;FT=D&amp;date=20130313&amp;CC=CN&amp;NR=102968941A&amp;KC=A</v>
      </c>
    </row>
    <row r="1754" spans="3:5" x14ac:dyDescent="0.25">
      <c r="C1754" t="s">
        <v>2909</v>
      </c>
      <c r="D1754" t="s">
        <v>2910</v>
      </c>
      <c r="E1754" t="str">
        <f>HYPERLINK("https://worldwide.espacenet.com/publicationDetails/biblio?II=240&amp;ND=3&amp;adjacent=true&amp;locale=en_EP&amp;FT=D&amp;date=20130313&amp;CC=CN&amp;NR=102968749A&amp;KC=A")</f>
        <v>https://worldwide.espacenet.com/publicationDetails/biblio?II=240&amp;ND=3&amp;adjacent=true&amp;locale=en_EP&amp;FT=D&amp;date=20130313&amp;CC=CN&amp;NR=102968749A&amp;KC=A</v>
      </c>
    </row>
    <row r="1755" spans="3:5" x14ac:dyDescent="0.25">
      <c r="C1755" t="s">
        <v>2911</v>
      </c>
      <c r="D1755" t="s">
        <v>2912</v>
      </c>
      <c r="E1755" t="str">
        <f>HYPERLINK("https://worldwide.espacenet.com/publicationDetails/biblio?II=241&amp;ND=3&amp;adjacent=true&amp;locale=en_EP&amp;FT=D&amp;date=20130313&amp;CC=CN&amp;NR=102961842A&amp;KC=A")</f>
        <v>https://worldwide.espacenet.com/publicationDetails/biblio?II=241&amp;ND=3&amp;adjacent=true&amp;locale=en_EP&amp;FT=D&amp;date=20130313&amp;CC=CN&amp;NR=102961842A&amp;KC=A</v>
      </c>
    </row>
    <row r="1756" spans="3:5" x14ac:dyDescent="0.25">
      <c r="C1756" t="s">
        <v>2913</v>
      </c>
      <c r="D1756" t="s">
        <v>2914</v>
      </c>
      <c r="E1756" t="str">
        <f>HYPERLINK("https://worldwide.espacenet.com/publicationDetails/biblio?II=242&amp;ND=3&amp;adjacent=true&amp;locale=en_EP&amp;FT=D&amp;date=20130227&amp;CC=CN&amp;NR=102945646A&amp;KC=A")</f>
        <v>https://worldwide.espacenet.com/publicationDetails/biblio?II=242&amp;ND=3&amp;adjacent=true&amp;locale=en_EP&amp;FT=D&amp;date=20130227&amp;CC=CN&amp;NR=102945646A&amp;KC=A</v>
      </c>
    </row>
    <row r="1757" spans="3:5" x14ac:dyDescent="0.25">
      <c r="C1757" t="s">
        <v>2775</v>
      </c>
      <c r="D1757" t="s">
        <v>2915</v>
      </c>
      <c r="E1757" t="str">
        <f>HYPERLINK("https://worldwide.espacenet.com/publicationDetails/biblio?II=243&amp;ND=3&amp;adjacent=true&amp;locale=en_EP&amp;FT=D&amp;date=20130214&amp;CC=US&amp;NR=2013040273A1&amp;KC=A1")</f>
        <v>https://worldwide.espacenet.com/publicationDetails/biblio?II=243&amp;ND=3&amp;adjacent=true&amp;locale=en_EP&amp;FT=D&amp;date=20130214&amp;CC=US&amp;NR=2013040273A1&amp;KC=A1</v>
      </c>
    </row>
    <row r="1758" spans="3:5" x14ac:dyDescent="0.25">
      <c r="C1758" t="s">
        <v>2097</v>
      </c>
      <c r="D1758" t="s">
        <v>2098</v>
      </c>
      <c r="E1758" t="str">
        <f>HYPERLINK("https://worldwide.espacenet.com/publicationDetails/biblio?II=244&amp;ND=3&amp;adjacent=true&amp;locale=en_EP&amp;FT=D&amp;date=20130213&amp;CC=CN&amp;NR=102930805A&amp;KC=A")</f>
        <v>https://worldwide.espacenet.com/publicationDetails/biblio?II=244&amp;ND=3&amp;adjacent=true&amp;locale=en_EP&amp;FT=D&amp;date=20130213&amp;CC=CN&amp;NR=102930805A&amp;KC=A</v>
      </c>
    </row>
    <row r="1759" spans="3:5" x14ac:dyDescent="0.25">
      <c r="C1759" t="s">
        <v>2496</v>
      </c>
      <c r="D1759" t="s">
        <v>2497</v>
      </c>
      <c r="E1759" t="str">
        <f>HYPERLINK("https://worldwide.espacenet.com/publicationDetails/biblio?II=245&amp;ND=3&amp;adjacent=true&amp;locale=en_EP&amp;FT=D&amp;date=20130213&amp;CC=CN&amp;NR=102930801A&amp;KC=A")</f>
        <v>https://worldwide.espacenet.com/publicationDetails/biblio?II=245&amp;ND=3&amp;adjacent=true&amp;locale=en_EP&amp;FT=D&amp;date=20130213&amp;CC=CN&amp;NR=102930801A&amp;KC=A</v>
      </c>
    </row>
    <row r="1760" spans="3:5" x14ac:dyDescent="0.25">
      <c r="C1760" t="s">
        <v>2498</v>
      </c>
      <c r="D1760" t="s">
        <v>2499</v>
      </c>
      <c r="E1760" t="str">
        <f>HYPERLINK("https://worldwide.espacenet.com/publicationDetails/biblio?II=246&amp;ND=3&amp;adjacent=true&amp;locale=en_EP&amp;FT=D&amp;date=20130206&amp;CC=CN&amp;NR=102916757A&amp;KC=A")</f>
        <v>https://worldwide.espacenet.com/publicationDetails/biblio?II=246&amp;ND=3&amp;adjacent=true&amp;locale=en_EP&amp;FT=D&amp;date=20130206&amp;CC=CN&amp;NR=102916757A&amp;KC=A</v>
      </c>
    </row>
    <row r="1761" spans="3:5" x14ac:dyDescent="0.25">
      <c r="C1761" t="s">
        <v>2101</v>
      </c>
      <c r="D1761" t="s">
        <v>2102</v>
      </c>
      <c r="E1761" t="str">
        <f>HYPERLINK("https://worldwide.espacenet.com/publicationDetails/biblio?II=247&amp;ND=3&amp;adjacent=true&amp;locale=en_EP&amp;FT=D&amp;date=20130123&amp;CC=CN&amp;NR=202696892U&amp;KC=U")</f>
        <v>https://worldwide.espacenet.com/publicationDetails/biblio?II=247&amp;ND=3&amp;adjacent=true&amp;locale=en_EP&amp;FT=D&amp;date=20130123&amp;CC=CN&amp;NR=202696892U&amp;KC=U</v>
      </c>
    </row>
    <row r="1762" spans="3:5" x14ac:dyDescent="0.25">
      <c r="C1762" t="s">
        <v>2916</v>
      </c>
      <c r="D1762" t="s">
        <v>2917</v>
      </c>
      <c r="E1762" t="str">
        <f>HYPERLINK("https://worldwide.espacenet.com/publicationDetails/biblio?II=248&amp;ND=3&amp;adjacent=true&amp;locale=en_EP&amp;FT=D&amp;date=20121220&amp;CC=JP&amp;NR=2012252409A&amp;KC=A")</f>
        <v>https://worldwide.espacenet.com/publicationDetails/biblio?II=248&amp;ND=3&amp;adjacent=true&amp;locale=en_EP&amp;FT=D&amp;date=20121220&amp;CC=JP&amp;NR=2012252409A&amp;KC=A</v>
      </c>
    </row>
    <row r="1763" spans="3:5" x14ac:dyDescent="0.25">
      <c r="C1763" t="s">
        <v>2918</v>
      </c>
      <c r="D1763" t="s">
        <v>2919</v>
      </c>
      <c r="E1763" t="str">
        <f>HYPERLINK("https://worldwide.espacenet.com/publicationDetails/biblio?II=249&amp;ND=3&amp;adjacent=true&amp;locale=en_EP&amp;FT=D&amp;date=20130109&amp;CC=CN&amp;NR=202656707U&amp;KC=U")</f>
        <v>https://worldwide.espacenet.com/publicationDetails/biblio?II=249&amp;ND=3&amp;adjacent=true&amp;locale=en_EP&amp;FT=D&amp;date=20130109&amp;CC=CN&amp;NR=202656707U&amp;KC=U</v>
      </c>
    </row>
    <row r="1764" spans="3:5" x14ac:dyDescent="0.25">
      <c r="C1764" t="s">
        <v>2500</v>
      </c>
      <c r="D1764" t="s">
        <v>2501</v>
      </c>
      <c r="E1764" t="str">
        <f>HYPERLINK("https://worldwide.espacenet.com/publicationDetails/biblio?II=250&amp;ND=3&amp;adjacent=true&amp;locale=en_EP&amp;FT=D&amp;date=20121219&amp;CC=CN&amp;NR=202615752U&amp;KC=U")</f>
        <v>https://worldwide.espacenet.com/publicationDetails/biblio?II=250&amp;ND=3&amp;adjacent=true&amp;locale=en_EP&amp;FT=D&amp;date=20121219&amp;CC=CN&amp;NR=202615752U&amp;KC=U</v>
      </c>
    </row>
    <row r="1765" spans="3:5" x14ac:dyDescent="0.25">
      <c r="C1765" t="s">
        <v>2920</v>
      </c>
      <c r="D1765" t="s">
        <v>2921</v>
      </c>
      <c r="E1765" t="str">
        <f>HYPERLINK("https://worldwide.espacenet.com/publicationDetails/biblio?II=251&amp;ND=3&amp;adjacent=true&amp;locale=en_EP&amp;FT=D&amp;date=20121122&amp;CC=US&amp;NR=2012295743A1&amp;KC=A1")</f>
        <v>https://worldwide.espacenet.com/publicationDetails/biblio?II=251&amp;ND=3&amp;adjacent=true&amp;locale=en_EP&amp;FT=D&amp;date=20121122&amp;CC=US&amp;NR=2012295743A1&amp;KC=A1</v>
      </c>
    </row>
    <row r="1766" spans="3:5" x14ac:dyDescent="0.25">
      <c r="C1766" t="s">
        <v>2502</v>
      </c>
      <c r="D1766" t="s">
        <v>2503</v>
      </c>
      <c r="E1766" t="str">
        <f>HYPERLINK("https://worldwide.espacenet.com/publicationDetails/biblio?II=252&amp;ND=3&amp;adjacent=true&amp;locale=en_EP&amp;FT=D&amp;date=20121121&amp;CC=CN&amp;NR=202549236U&amp;KC=U")</f>
        <v>https://worldwide.espacenet.com/publicationDetails/biblio?II=252&amp;ND=3&amp;adjacent=true&amp;locale=en_EP&amp;FT=D&amp;date=20121121&amp;CC=CN&amp;NR=202549236U&amp;KC=U</v>
      </c>
    </row>
    <row r="1767" spans="3:5" x14ac:dyDescent="0.25">
      <c r="C1767" t="s">
        <v>2504</v>
      </c>
      <c r="D1767" t="s">
        <v>2505</v>
      </c>
      <c r="E1767" t="str">
        <f>HYPERLINK("https://worldwide.espacenet.com/publicationDetails/biblio?II=253&amp;ND=3&amp;adjacent=true&amp;locale=en_EP&amp;FT=D&amp;date=20121114&amp;CC=CN&amp;NR=102779464A&amp;KC=A")</f>
        <v>https://worldwide.espacenet.com/publicationDetails/biblio?II=253&amp;ND=3&amp;adjacent=true&amp;locale=en_EP&amp;FT=D&amp;date=20121114&amp;CC=CN&amp;NR=102779464A&amp;KC=A</v>
      </c>
    </row>
    <row r="1768" spans="3:5" x14ac:dyDescent="0.25">
      <c r="C1768" t="s">
        <v>2922</v>
      </c>
      <c r="D1768" t="s">
        <v>2923</v>
      </c>
      <c r="E1768" t="str">
        <f>HYPERLINK("https://worldwide.espacenet.com/publicationDetails/biblio?II=254&amp;ND=3&amp;adjacent=true&amp;locale=en_EP&amp;FT=D&amp;date=20121017&amp;CC=CN&amp;NR=102737414A&amp;KC=A")</f>
        <v>https://worldwide.espacenet.com/publicationDetails/biblio?II=254&amp;ND=3&amp;adjacent=true&amp;locale=en_EP&amp;FT=D&amp;date=20121017&amp;CC=CN&amp;NR=102737414A&amp;KC=A</v>
      </c>
    </row>
    <row r="1769" spans="3:5" x14ac:dyDescent="0.25">
      <c r="C1769" t="s">
        <v>2924</v>
      </c>
      <c r="D1769" t="s">
        <v>2925</v>
      </c>
      <c r="E1769" t="str">
        <f>HYPERLINK("https://worldwide.espacenet.com/publicationDetails/biblio?II=255&amp;ND=3&amp;adjacent=true&amp;locale=en_EP&amp;FT=D&amp;date=20121003&amp;CC=CN&amp;NR=202472713U&amp;KC=U")</f>
        <v>https://worldwide.espacenet.com/publicationDetails/biblio?II=255&amp;ND=3&amp;adjacent=true&amp;locale=en_EP&amp;FT=D&amp;date=20121003&amp;CC=CN&amp;NR=202472713U&amp;KC=U</v>
      </c>
    </row>
    <row r="1770" spans="3:5" x14ac:dyDescent="0.25">
      <c r="C1770" t="s">
        <v>2926</v>
      </c>
      <c r="D1770" t="s">
        <v>2927</v>
      </c>
      <c r="E1770" t="str">
        <f>HYPERLINK("https://worldwide.espacenet.com/publicationDetails/biblio?II=256&amp;ND=3&amp;adjacent=true&amp;locale=en_EP&amp;FT=D&amp;date=20121003&amp;CC=CN&amp;NR=202472711U&amp;KC=U")</f>
        <v>https://worldwide.espacenet.com/publicationDetails/biblio?II=256&amp;ND=3&amp;adjacent=true&amp;locale=en_EP&amp;FT=D&amp;date=20121003&amp;CC=CN&amp;NR=202472711U&amp;KC=U</v>
      </c>
    </row>
    <row r="1771" spans="3:5" x14ac:dyDescent="0.25">
      <c r="C1771" t="s">
        <v>2928</v>
      </c>
      <c r="D1771" t="s">
        <v>2929</v>
      </c>
      <c r="E1771" t="str">
        <f>HYPERLINK("https://worldwide.espacenet.com/publicationDetails/biblio?II=257&amp;ND=3&amp;adjacent=true&amp;locale=en_EP&amp;FT=D&amp;date=20130620&amp;CC=WO&amp;NR=2013087242A1&amp;KC=A1")</f>
        <v>https://worldwide.espacenet.com/publicationDetails/biblio?II=257&amp;ND=3&amp;adjacent=true&amp;locale=en_EP&amp;FT=D&amp;date=20130620&amp;CC=WO&amp;NR=2013087242A1&amp;KC=A1</v>
      </c>
    </row>
    <row r="1772" spans="3:5" x14ac:dyDescent="0.25">
      <c r="C1772" t="s">
        <v>2506</v>
      </c>
      <c r="D1772" t="s">
        <v>2507</v>
      </c>
      <c r="E1772" t="str">
        <f>HYPERLINK("https://worldwide.espacenet.com/publicationDetails/biblio?II=258&amp;ND=3&amp;adjacent=true&amp;locale=en_EP&amp;FT=D&amp;date=20120912&amp;CC=CN&amp;NR=202433914U&amp;KC=U")</f>
        <v>https://worldwide.espacenet.com/publicationDetails/biblio?II=258&amp;ND=3&amp;adjacent=true&amp;locale=en_EP&amp;FT=D&amp;date=20120912&amp;CC=CN&amp;NR=202433914U&amp;KC=U</v>
      </c>
    </row>
    <row r="1773" spans="3:5" x14ac:dyDescent="0.25">
      <c r="C1773" t="s">
        <v>2930</v>
      </c>
      <c r="D1773" t="s">
        <v>2931</v>
      </c>
      <c r="E1773" t="str">
        <f>HYPERLINK("https://worldwide.espacenet.com/publicationDetails/biblio?II=259&amp;ND=3&amp;adjacent=true&amp;locale=en_EP&amp;FT=D&amp;date=20120301&amp;CC=TW&amp;NR=201209765A&amp;KC=A")</f>
        <v>https://worldwide.espacenet.com/publicationDetails/biblio?II=259&amp;ND=3&amp;adjacent=true&amp;locale=en_EP&amp;FT=D&amp;date=20120301&amp;CC=TW&amp;NR=201209765A&amp;KC=A</v>
      </c>
    </row>
    <row r="1774" spans="3:5" x14ac:dyDescent="0.25">
      <c r="C1774" t="s">
        <v>2932</v>
      </c>
      <c r="D1774" t="s">
        <v>2933</v>
      </c>
      <c r="E1774" t="str">
        <f>HYPERLINK("https://worldwide.espacenet.com/publicationDetails/biblio?II=260&amp;ND=3&amp;adjacent=true&amp;locale=en_EP&amp;FT=D&amp;date=20120905&amp;CC=CN&amp;NR=202407385U&amp;KC=U")</f>
        <v>https://worldwide.espacenet.com/publicationDetails/biblio?II=260&amp;ND=3&amp;adjacent=true&amp;locale=en_EP&amp;FT=D&amp;date=20120905&amp;CC=CN&amp;NR=202407385U&amp;KC=U</v>
      </c>
    </row>
    <row r="1775" spans="3:5" x14ac:dyDescent="0.25">
      <c r="C1775" t="s">
        <v>2508</v>
      </c>
      <c r="D1775" t="s">
        <v>2509</v>
      </c>
      <c r="E1775" t="str">
        <f>HYPERLINK("https://worldwide.espacenet.com/publicationDetails/biblio?II=261&amp;ND=3&amp;adjacent=true&amp;locale=en_EP&amp;FT=D&amp;date=20120905&amp;CC=CN&amp;NR=102654963A&amp;KC=A")</f>
        <v>https://worldwide.espacenet.com/publicationDetails/biblio?II=261&amp;ND=3&amp;adjacent=true&amp;locale=en_EP&amp;FT=D&amp;date=20120905&amp;CC=CN&amp;NR=102654963A&amp;KC=A</v>
      </c>
    </row>
    <row r="1776" spans="3:5" x14ac:dyDescent="0.25">
      <c r="C1776" t="s">
        <v>2510</v>
      </c>
      <c r="D1776" t="s">
        <v>2511</v>
      </c>
      <c r="E1776" t="str">
        <f>HYPERLINK("https://worldwide.espacenet.com/publicationDetails/biblio?II=262&amp;ND=3&amp;adjacent=true&amp;locale=en_EP&amp;FT=D&amp;date=20120830&amp;CC=US&amp;NR=2012218412A1&amp;KC=A1")</f>
        <v>https://worldwide.espacenet.com/publicationDetails/biblio?II=262&amp;ND=3&amp;adjacent=true&amp;locale=en_EP&amp;FT=D&amp;date=20120830&amp;CC=US&amp;NR=2012218412A1&amp;KC=A1</v>
      </c>
    </row>
    <row r="1777" spans="3:5" x14ac:dyDescent="0.25">
      <c r="C1777" t="s">
        <v>2934</v>
      </c>
      <c r="D1777" t="s">
        <v>2935</v>
      </c>
      <c r="E1777" t="str">
        <f>HYPERLINK("https://worldwide.espacenet.com/publicationDetails/biblio?II=263&amp;ND=3&amp;adjacent=true&amp;locale=en_EP&amp;FT=D&amp;date=20120725&amp;CC=CN&amp;NR=202351546U&amp;KC=U")</f>
        <v>https://worldwide.espacenet.com/publicationDetails/biblio?II=263&amp;ND=3&amp;adjacent=true&amp;locale=en_EP&amp;FT=D&amp;date=20120725&amp;CC=CN&amp;NR=202351546U&amp;KC=U</v>
      </c>
    </row>
    <row r="1778" spans="3:5" x14ac:dyDescent="0.25">
      <c r="C1778" t="s">
        <v>2936</v>
      </c>
      <c r="D1778" t="s">
        <v>2937</v>
      </c>
      <c r="E1778" t="str">
        <f>HYPERLINK("https://worldwide.espacenet.com/publicationDetails/biblio?II=264&amp;ND=3&amp;adjacent=true&amp;locale=en_EP&amp;FT=D&amp;date=20120725&amp;CC=CN&amp;NR=202351544U&amp;KC=U")</f>
        <v>https://worldwide.espacenet.com/publicationDetails/biblio?II=264&amp;ND=3&amp;adjacent=true&amp;locale=en_EP&amp;FT=D&amp;date=20120725&amp;CC=CN&amp;NR=202351544U&amp;KC=U</v>
      </c>
    </row>
    <row r="1779" spans="3:5" x14ac:dyDescent="0.25">
      <c r="C1779" t="s">
        <v>2938</v>
      </c>
      <c r="D1779" t="s">
        <v>2939</v>
      </c>
      <c r="E1779" t="str">
        <f>HYPERLINK("https://worldwide.espacenet.com/publicationDetails/biblio?II=265&amp;ND=3&amp;adjacent=true&amp;locale=en_EP&amp;FT=D&amp;date=20111211&amp;CC=TW&amp;NR=M418350U&amp;KC=U")</f>
        <v>https://worldwide.espacenet.com/publicationDetails/biblio?II=265&amp;ND=3&amp;adjacent=true&amp;locale=en_EP&amp;FT=D&amp;date=20111211&amp;CC=TW&amp;NR=M418350U&amp;KC=U</v>
      </c>
    </row>
    <row r="1780" spans="3:5" x14ac:dyDescent="0.25">
      <c r="C1780" t="s">
        <v>2512</v>
      </c>
      <c r="D1780" t="s">
        <v>2513</v>
      </c>
      <c r="E1780" t="str">
        <f>HYPERLINK("https://worldwide.espacenet.com/publicationDetails/biblio?II=266&amp;ND=3&amp;adjacent=true&amp;locale=en_EP&amp;FT=D&amp;date=20120711&amp;CC=CN&amp;NR=102567600A&amp;KC=A")</f>
        <v>https://worldwide.espacenet.com/publicationDetails/biblio?II=266&amp;ND=3&amp;adjacent=true&amp;locale=en_EP&amp;FT=D&amp;date=20120711&amp;CC=CN&amp;NR=102567600A&amp;KC=A</v>
      </c>
    </row>
    <row r="1781" spans="3:5" x14ac:dyDescent="0.25">
      <c r="C1781" t="s">
        <v>2131</v>
      </c>
      <c r="D1781" t="s">
        <v>2132</v>
      </c>
      <c r="E1781" t="str">
        <f>HYPERLINK("https://worldwide.espacenet.com/publicationDetails/biblio?II=267&amp;ND=3&amp;adjacent=true&amp;locale=en_EP&amp;FT=D&amp;date=20120711&amp;CC=CN&amp;NR=102567440A&amp;KC=A")</f>
        <v>https://worldwide.espacenet.com/publicationDetails/biblio?II=267&amp;ND=3&amp;adjacent=true&amp;locale=en_EP&amp;FT=D&amp;date=20120711&amp;CC=CN&amp;NR=102567440A&amp;KC=A</v>
      </c>
    </row>
    <row r="1782" spans="3:5" x14ac:dyDescent="0.25">
      <c r="C1782" t="s">
        <v>2133</v>
      </c>
      <c r="D1782" t="s">
        <v>2134</v>
      </c>
      <c r="E1782" t="str">
        <f>HYPERLINK("https://worldwide.espacenet.com/publicationDetails/biblio?II=268&amp;ND=3&amp;adjacent=true&amp;locale=en_EP&amp;FT=D&amp;date=20120704&amp;CC=CN&amp;NR=202310105U&amp;KC=U")</f>
        <v>https://worldwide.espacenet.com/publicationDetails/biblio?II=268&amp;ND=3&amp;adjacent=true&amp;locale=en_EP&amp;FT=D&amp;date=20120704&amp;CC=CN&amp;NR=202310105U&amp;KC=U</v>
      </c>
    </row>
    <row r="1783" spans="3:5" x14ac:dyDescent="0.25">
      <c r="C1783" t="s">
        <v>2940</v>
      </c>
      <c r="D1783" t="s">
        <v>2941</v>
      </c>
      <c r="E1783" t="str">
        <f>HYPERLINK("https://worldwide.espacenet.com/publicationDetails/biblio?II=269&amp;ND=3&amp;adjacent=true&amp;locale=en_EP&amp;FT=D&amp;date=20120628&amp;CC=US&amp;NR=2012162253A1&amp;KC=A1")</f>
        <v>https://worldwide.espacenet.com/publicationDetails/biblio?II=269&amp;ND=3&amp;adjacent=true&amp;locale=en_EP&amp;FT=D&amp;date=20120628&amp;CC=US&amp;NR=2012162253A1&amp;KC=A1</v>
      </c>
    </row>
    <row r="1784" spans="3:5" x14ac:dyDescent="0.25">
      <c r="C1784" t="s">
        <v>2135</v>
      </c>
      <c r="D1784" t="s">
        <v>2136</v>
      </c>
      <c r="E1784" t="str">
        <f>HYPERLINK("https://worldwide.espacenet.com/publicationDetails/biblio?II=270&amp;ND=3&amp;adjacent=true&amp;locale=en_EP&amp;FT=D&amp;date=20120627&amp;CC=CN&amp;NR=102522085A&amp;KC=A")</f>
        <v>https://worldwide.espacenet.com/publicationDetails/biblio?II=270&amp;ND=3&amp;adjacent=true&amp;locale=en_EP&amp;FT=D&amp;date=20120627&amp;CC=CN&amp;NR=102522085A&amp;KC=A</v>
      </c>
    </row>
    <row r="1785" spans="3:5" x14ac:dyDescent="0.25">
      <c r="C1785" t="s">
        <v>2514</v>
      </c>
      <c r="D1785" t="s">
        <v>2515</v>
      </c>
      <c r="E1785" t="str">
        <f>HYPERLINK("https://worldwide.espacenet.com/publicationDetails/biblio?II=271&amp;ND=3&amp;adjacent=true&amp;locale=en_EP&amp;FT=D&amp;date=20120620&amp;CC=CN&amp;NR=102509528A&amp;KC=A")</f>
        <v>https://worldwide.espacenet.com/publicationDetails/biblio?II=271&amp;ND=3&amp;adjacent=true&amp;locale=en_EP&amp;FT=D&amp;date=20120620&amp;CC=CN&amp;NR=102509528A&amp;KC=A</v>
      </c>
    </row>
    <row r="1786" spans="3:5" x14ac:dyDescent="0.25">
      <c r="C1786" t="s">
        <v>2942</v>
      </c>
      <c r="D1786" t="s">
        <v>2943</v>
      </c>
      <c r="E1786" t="str">
        <f>HYPERLINK("https://worldwide.espacenet.com/publicationDetails/biblio?II=272&amp;ND=3&amp;adjacent=true&amp;locale=en_EP&amp;FT=D&amp;date=20120613&amp;CC=CN&amp;NR=202275423U&amp;KC=U")</f>
        <v>https://worldwide.espacenet.com/publicationDetails/biblio?II=272&amp;ND=3&amp;adjacent=true&amp;locale=en_EP&amp;FT=D&amp;date=20120613&amp;CC=CN&amp;NR=202275423U&amp;KC=U</v>
      </c>
    </row>
    <row r="1787" spans="3:5" x14ac:dyDescent="0.25">
      <c r="C1787" t="s">
        <v>2516</v>
      </c>
      <c r="D1787" t="s">
        <v>2517</v>
      </c>
      <c r="E1787" t="str">
        <f>HYPERLINK("https://worldwide.espacenet.com/publicationDetails/biblio?II=273&amp;ND=3&amp;adjacent=true&amp;locale=en_EP&amp;FT=D&amp;date=20120613&amp;CC=CN&amp;NR=202275407U&amp;KC=U")</f>
        <v>https://worldwide.espacenet.com/publicationDetails/biblio?II=273&amp;ND=3&amp;adjacent=true&amp;locale=en_EP&amp;FT=D&amp;date=20120613&amp;CC=CN&amp;NR=202275407U&amp;KC=U</v>
      </c>
    </row>
    <row r="1788" spans="3:5" x14ac:dyDescent="0.25">
      <c r="C1788" t="s">
        <v>2944</v>
      </c>
      <c r="D1788" t="s">
        <v>2945</v>
      </c>
      <c r="E1788" t="str">
        <f>HYPERLINK("https://worldwide.espacenet.com/publicationDetails/biblio?II=274&amp;ND=3&amp;adjacent=true&amp;locale=en_EP&amp;FT=D&amp;date=20120613&amp;CC=CN&amp;NR=202271718U&amp;KC=U")</f>
        <v>https://worldwide.espacenet.com/publicationDetails/biblio?II=274&amp;ND=3&amp;adjacent=true&amp;locale=en_EP&amp;FT=D&amp;date=20120613&amp;CC=CN&amp;NR=202271718U&amp;KC=U</v>
      </c>
    </row>
    <row r="1789" spans="3:5" x14ac:dyDescent="0.25">
      <c r="C1789" t="s">
        <v>2946</v>
      </c>
      <c r="D1789" t="s">
        <v>2947</v>
      </c>
      <c r="E1789" t="str">
        <f>HYPERLINK("https://worldwide.espacenet.com/publicationDetails/biblio?II=275&amp;ND=3&amp;adjacent=true&amp;locale=en_EP&amp;FT=D&amp;date=20120516&amp;CC=CN&amp;NR=202218691U&amp;KC=U")</f>
        <v>https://worldwide.espacenet.com/publicationDetails/biblio?II=275&amp;ND=3&amp;adjacent=true&amp;locale=en_EP&amp;FT=D&amp;date=20120516&amp;CC=CN&amp;NR=202218691U&amp;KC=U</v>
      </c>
    </row>
    <row r="1790" spans="3:5" x14ac:dyDescent="0.25">
      <c r="C1790" t="s">
        <v>2147</v>
      </c>
      <c r="D1790" t="s">
        <v>2148</v>
      </c>
      <c r="E1790" t="str">
        <f>HYPERLINK("https://worldwide.espacenet.com/publicationDetails/biblio?II=276&amp;ND=3&amp;adjacent=true&amp;locale=en_EP&amp;FT=D&amp;date=20120425&amp;CC=CN&amp;NR=202206007U&amp;KC=U")</f>
        <v>https://worldwide.espacenet.com/publicationDetails/biblio?II=276&amp;ND=3&amp;adjacent=true&amp;locale=en_EP&amp;FT=D&amp;date=20120425&amp;CC=CN&amp;NR=202206007U&amp;KC=U</v>
      </c>
    </row>
    <row r="1791" spans="3:5" x14ac:dyDescent="0.25">
      <c r="C1791" t="s">
        <v>2948</v>
      </c>
      <c r="D1791" t="s">
        <v>2949</v>
      </c>
      <c r="E1791" t="str">
        <f>HYPERLINK("https://worldwide.espacenet.com/publicationDetails/biblio?II=277&amp;ND=3&amp;adjacent=true&amp;locale=en_EP&amp;FT=D&amp;date=20011220&amp;CC=KR&amp;NR=20010112027A&amp;KC=A")</f>
        <v>https://worldwide.espacenet.com/publicationDetails/biblio?II=277&amp;ND=3&amp;adjacent=true&amp;locale=en_EP&amp;FT=D&amp;date=20011220&amp;CC=KR&amp;NR=20010112027A&amp;KC=A</v>
      </c>
    </row>
    <row r="1792" spans="3:5" x14ac:dyDescent="0.25">
      <c r="C1792" t="s">
        <v>2950</v>
      </c>
      <c r="D1792" t="s">
        <v>2951</v>
      </c>
      <c r="E1792" t="str">
        <f>HYPERLINK("https://worldwide.espacenet.com/publicationDetails/biblio?II=278&amp;ND=3&amp;adjacent=true&amp;locale=en_EP&amp;FT=D&amp;date=20120411&amp;CC=CN&amp;NR=202189437U&amp;KC=U")</f>
        <v>https://worldwide.espacenet.com/publicationDetails/biblio?II=278&amp;ND=3&amp;adjacent=true&amp;locale=en_EP&amp;FT=D&amp;date=20120411&amp;CC=CN&amp;NR=202189437U&amp;KC=U</v>
      </c>
    </row>
    <row r="1793" spans="3:5" x14ac:dyDescent="0.25">
      <c r="C1793" t="s">
        <v>2952</v>
      </c>
      <c r="D1793" t="s">
        <v>2953</v>
      </c>
      <c r="E1793" t="str">
        <f>HYPERLINK("https://worldwide.espacenet.com/publicationDetails/biblio?II=279&amp;ND=3&amp;adjacent=true&amp;locale=en_EP&amp;FT=D&amp;date=20120328&amp;CC=CN&amp;NR=202177965U&amp;KC=U")</f>
        <v>https://worldwide.espacenet.com/publicationDetails/biblio?II=279&amp;ND=3&amp;adjacent=true&amp;locale=en_EP&amp;FT=D&amp;date=20120328&amp;CC=CN&amp;NR=202177965U&amp;KC=U</v>
      </c>
    </row>
    <row r="1794" spans="3:5" x14ac:dyDescent="0.25">
      <c r="C1794" t="s">
        <v>2155</v>
      </c>
      <c r="D1794" t="s">
        <v>2156</v>
      </c>
      <c r="E1794" t="str">
        <f>HYPERLINK("https://worldwide.espacenet.com/publicationDetails/biblio?II=280&amp;ND=3&amp;adjacent=true&amp;locale=en_EP&amp;FT=D&amp;date=20120321&amp;CC=CN&amp;NR=102385662A&amp;KC=A")</f>
        <v>https://worldwide.espacenet.com/publicationDetails/biblio?II=280&amp;ND=3&amp;adjacent=true&amp;locale=en_EP&amp;FT=D&amp;date=20120321&amp;CC=CN&amp;NR=102385662A&amp;KC=A</v>
      </c>
    </row>
    <row r="1795" spans="3:5" x14ac:dyDescent="0.25">
      <c r="C1795" t="s">
        <v>2157</v>
      </c>
      <c r="D1795" t="s">
        <v>2158</v>
      </c>
      <c r="E1795" t="str">
        <f>HYPERLINK("https://worldwide.espacenet.com/publicationDetails/biblio?II=281&amp;ND=3&amp;adjacent=true&amp;locale=en_EP&amp;FT=D&amp;date=20120314&amp;CC=CN&amp;NR=102375870A&amp;KC=A")</f>
        <v>https://worldwide.espacenet.com/publicationDetails/biblio?II=281&amp;ND=3&amp;adjacent=true&amp;locale=en_EP&amp;FT=D&amp;date=20120314&amp;CC=CN&amp;NR=102375870A&amp;KC=A</v>
      </c>
    </row>
    <row r="1796" spans="3:5" x14ac:dyDescent="0.25">
      <c r="C1796" t="s">
        <v>2165</v>
      </c>
      <c r="D1796" t="s">
        <v>2166</v>
      </c>
      <c r="E1796" t="str">
        <f>HYPERLINK("https://worldwide.espacenet.com/publicationDetails/biblio?II=282&amp;ND=3&amp;adjacent=true&amp;locale=en_EP&amp;FT=D&amp;date=20120215&amp;CC=CN&amp;NR=102354474A&amp;KC=A")</f>
        <v>https://worldwide.espacenet.com/publicationDetails/biblio?II=282&amp;ND=3&amp;adjacent=true&amp;locale=en_EP&amp;FT=D&amp;date=20120215&amp;CC=CN&amp;NR=102354474A&amp;KC=A</v>
      </c>
    </row>
    <row r="1797" spans="3:5" x14ac:dyDescent="0.25">
      <c r="C1797" t="s">
        <v>1479</v>
      </c>
      <c r="D1797" t="s">
        <v>2172</v>
      </c>
      <c r="E1797" t="str">
        <f>HYPERLINK("https://worldwide.espacenet.com/publicationDetails/biblio?II=283&amp;ND=3&amp;adjacent=true&amp;locale=en_EP&amp;FT=D&amp;date=20111221&amp;CC=CN&amp;NR=202085225U&amp;KC=U")</f>
        <v>https://worldwide.espacenet.com/publicationDetails/biblio?II=283&amp;ND=3&amp;adjacent=true&amp;locale=en_EP&amp;FT=D&amp;date=20111221&amp;CC=CN&amp;NR=202085225U&amp;KC=U</v>
      </c>
    </row>
    <row r="1798" spans="3:5" x14ac:dyDescent="0.25">
      <c r="C1798" t="s">
        <v>2518</v>
      </c>
      <c r="D1798" t="s">
        <v>2519</v>
      </c>
      <c r="E1798" t="str">
        <f>HYPERLINK("https://worldwide.espacenet.com/publicationDetails/biblio?II=284&amp;ND=3&amp;adjacent=true&amp;locale=en_EP&amp;FT=D&amp;date=20111221&amp;CC=CN&amp;NR=202084270U&amp;KC=U")</f>
        <v>https://worldwide.espacenet.com/publicationDetails/biblio?II=284&amp;ND=3&amp;adjacent=true&amp;locale=en_EP&amp;FT=D&amp;date=20111221&amp;CC=CN&amp;NR=202084270U&amp;KC=U</v>
      </c>
    </row>
    <row r="1799" spans="3:5" x14ac:dyDescent="0.25">
      <c r="C1799" t="s">
        <v>2954</v>
      </c>
      <c r="D1799" t="s">
        <v>2955</v>
      </c>
      <c r="E1799" t="str">
        <f>HYPERLINK("https://worldwide.espacenet.com/publicationDetails/biblio?II=285&amp;ND=3&amp;adjacent=true&amp;locale=en_EP&amp;FT=D&amp;date=20110801&amp;CC=TW&amp;NR=201126138A&amp;KC=A")</f>
        <v>https://worldwide.espacenet.com/publicationDetails/biblio?II=285&amp;ND=3&amp;adjacent=true&amp;locale=en_EP&amp;FT=D&amp;date=20110801&amp;CC=TW&amp;NR=201126138A&amp;KC=A</v>
      </c>
    </row>
    <row r="1800" spans="3:5" x14ac:dyDescent="0.25">
      <c r="C1800" t="s">
        <v>2512</v>
      </c>
      <c r="D1800" t="s">
        <v>2520</v>
      </c>
      <c r="E1800" t="str">
        <f>HYPERLINK("https://worldwide.espacenet.com/publicationDetails/biblio?II=286&amp;ND=3&amp;adjacent=true&amp;locale=en_EP&amp;FT=D&amp;date=20111130&amp;CC=CN&amp;NR=202058142U&amp;KC=U")</f>
        <v>https://worldwide.espacenet.com/publicationDetails/biblio?II=286&amp;ND=3&amp;adjacent=true&amp;locale=en_EP&amp;FT=D&amp;date=20111130&amp;CC=CN&amp;NR=202058142U&amp;KC=U</v>
      </c>
    </row>
    <row r="1801" spans="3:5" x14ac:dyDescent="0.25">
      <c r="C1801" t="s">
        <v>2956</v>
      </c>
      <c r="D1801" t="s">
        <v>2957</v>
      </c>
      <c r="E1801" t="str">
        <f>HYPERLINK("https://worldwide.espacenet.com/publicationDetails/biblio?II=287&amp;ND=3&amp;adjacent=true&amp;locale=en_EP&amp;FT=D&amp;date=20111109&amp;CC=CN&amp;NR=202033770U&amp;KC=U")</f>
        <v>https://worldwide.espacenet.com/publicationDetails/biblio?II=287&amp;ND=3&amp;adjacent=true&amp;locale=en_EP&amp;FT=D&amp;date=20111109&amp;CC=CN&amp;NR=202033770U&amp;KC=U</v>
      </c>
    </row>
    <row r="1802" spans="3:5" x14ac:dyDescent="0.25">
      <c r="C1802" t="s">
        <v>2958</v>
      </c>
      <c r="D1802" t="s">
        <v>2959</v>
      </c>
      <c r="E1802" t="str">
        <f>HYPERLINK("https://worldwide.espacenet.com/publicationDetails/biblio?II=288&amp;ND=3&amp;adjacent=true&amp;locale=en_EP&amp;FT=D&amp;date=20100701&amp;CC=TW&amp;NR=201024667A&amp;KC=A")</f>
        <v>https://worldwide.espacenet.com/publicationDetails/biblio?II=288&amp;ND=3&amp;adjacent=true&amp;locale=en_EP&amp;FT=D&amp;date=20100701&amp;CC=TW&amp;NR=201024667A&amp;KC=A</v>
      </c>
    </row>
    <row r="1803" spans="3:5" x14ac:dyDescent="0.25">
      <c r="C1803" t="s">
        <v>2185</v>
      </c>
      <c r="D1803" t="s">
        <v>2186</v>
      </c>
      <c r="E1803" t="str">
        <f>HYPERLINK("https://worldwide.espacenet.com/publicationDetails/biblio?II=289&amp;ND=3&amp;adjacent=true&amp;locale=en_EP&amp;FT=D&amp;date=20111102&amp;CC=CN&amp;NR=202026112U&amp;KC=U")</f>
        <v>https://worldwide.espacenet.com/publicationDetails/biblio?II=289&amp;ND=3&amp;adjacent=true&amp;locale=en_EP&amp;FT=D&amp;date=20111102&amp;CC=CN&amp;NR=202026112U&amp;KC=U</v>
      </c>
    </row>
    <row r="1804" spans="3:5" x14ac:dyDescent="0.25">
      <c r="C1804" t="s">
        <v>2521</v>
      </c>
      <c r="D1804" t="s">
        <v>2522</v>
      </c>
      <c r="E1804" t="str">
        <f>HYPERLINK("https://worldwide.espacenet.com/publicationDetails/biblio?II=290&amp;ND=3&amp;adjacent=true&amp;locale=en_EP&amp;FT=D&amp;date=20100516&amp;CC=TW&amp;NR=201019279A&amp;KC=A")</f>
        <v>https://worldwide.espacenet.com/publicationDetails/biblio?II=290&amp;ND=3&amp;adjacent=true&amp;locale=en_EP&amp;FT=D&amp;date=20100516&amp;CC=TW&amp;NR=201019279A&amp;KC=A</v>
      </c>
    </row>
    <row r="1805" spans="3:5" x14ac:dyDescent="0.25">
      <c r="C1805" t="s">
        <v>2960</v>
      </c>
      <c r="D1805" t="s">
        <v>2961</v>
      </c>
      <c r="E1805" t="str">
        <f>HYPERLINK("https://worldwide.espacenet.com/publicationDetails/biblio?II=291&amp;ND=3&amp;adjacent=true&amp;locale=en_EP&amp;FT=D&amp;date=20111026&amp;CC=CN&amp;NR=202018804U&amp;KC=U")</f>
        <v>https://worldwide.espacenet.com/publicationDetails/biblio?II=291&amp;ND=3&amp;adjacent=true&amp;locale=en_EP&amp;FT=D&amp;date=20111026&amp;CC=CN&amp;NR=202018804U&amp;KC=U</v>
      </c>
    </row>
    <row r="1806" spans="3:5" x14ac:dyDescent="0.25">
      <c r="C1806" t="s">
        <v>2962</v>
      </c>
      <c r="D1806" t="s">
        <v>2963</v>
      </c>
      <c r="E1806" t="str">
        <f>HYPERLINK("https://worldwide.espacenet.com/publicationDetails/biblio?II=292&amp;ND=3&amp;adjacent=true&amp;locale=en_EP&amp;FT=D&amp;date=20111019&amp;CC=CN&amp;NR=102223598A&amp;KC=A")</f>
        <v>https://worldwide.espacenet.com/publicationDetails/biblio?II=292&amp;ND=3&amp;adjacent=true&amp;locale=en_EP&amp;FT=D&amp;date=20111019&amp;CC=CN&amp;NR=102223598A&amp;KC=A</v>
      </c>
    </row>
    <row r="1807" spans="3:5" x14ac:dyDescent="0.25">
      <c r="C1807" t="s">
        <v>2964</v>
      </c>
      <c r="D1807" t="s">
        <v>2965</v>
      </c>
      <c r="E1807" t="str">
        <f>HYPERLINK("https://worldwide.espacenet.com/publicationDetails/biblio?II=293&amp;ND=3&amp;adjacent=true&amp;locale=en_EP&amp;FT=D&amp;date=20090516&amp;CC=TW&amp;NR=200922181A&amp;KC=A")</f>
        <v>https://worldwide.espacenet.com/publicationDetails/biblio?II=293&amp;ND=3&amp;adjacent=true&amp;locale=en_EP&amp;FT=D&amp;date=20090516&amp;CC=TW&amp;NR=200922181A&amp;KC=A</v>
      </c>
    </row>
    <row r="1808" spans="3:5" x14ac:dyDescent="0.25">
      <c r="C1808" t="s">
        <v>2966</v>
      </c>
      <c r="D1808" t="s">
        <v>2967</v>
      </c>
      <c r="E1808" t="str">
        <f>HYPERLINK("https://worldwide.espacenet.com/publicationDetails/biblio?II=294&amp;ND=3&amp;adjacent=true&amp;locale=en_EP&amp;FT=D&amp;date=20090401&amp;CC=TW&amp;NR=200914097A&amp;KC=A")</f>
        <v>https://worldwide.espacenet.com/publicationDetails/biblio?II=294&amp;ND=3&amp;adjacent=true&amp;locale=en_EP&amp;FT=D&amp;date=20090401&amp;CC=TW&amp;NR=200914097A&amp;KC=A</v>
      </c>
    </row>
    <row r="1809" spans="3:5" x14ac:dyDescent="0.25">
      <c r="C1809" t="s">
        <v>2414</v>
      </c>
      <c r="D1809" t="s">
        <v>2523</v>
      </c>
      <c r="E1809" t="str">
        <f>HYPERLINK("https://worldwide.espacenet.com/publicationDetails/biblio?II=295&amp;ND=3&amp;adjacent=true&amp;locale=en_EP&amp;FT=D&amp;date=20090116&amp;CC=TW&amp;NR=200903012A&amp;KC=A")</f>
        <v>https://worldwide.espacenet.com/publicationDetails/biblio?II=295&amp;ND=3&amp;adjacent=true&amp;locale=en_EP&amp;FT=D&amp;date=20090116&amp;CC=TW&amp;NR=200903012A&amp;KC=A</v>
      </c>
    </row>
    <row r="1810" spans="3:5" x14ac:dyDescent="0.25">
      <c r="C1810" t="s">
        <v>2968</v>
      </c>
      <c r="D1810" t="s">
        <v>2969</v>
      </c>
      <c r="E1810" t="str">
        <f>HYPERLINK("https://worldwide.espacenet.com/publicationDetails/biblio?II=296&amp;ND=3&amp;adjacent=true&amp;locale=en_EP&amp;FT=D&amp;date=20110810&amp;CC=CN&amp;NR=201923198U&amp;KC=U")</f>
        <v>https://worldwide.espacenet.com/publicationDetails/biblio?II=296&amp;ND=3&amp;adjacent=true&amp;locale=en_EP&amp;FT=D&amp;date=20110810&amp;CC=CN&amp;NR=201923198U&amp;KC=U</v>
      </c>
    </row>
    <row r="1811" spans="3:5" x14ac:dyDescent="0.25">
      <c r="C1811" t="s">
        <v>2970</v>
      </c>
      <c r="D1811" t="s">
        <v>2971</v>
      </c>
      <c r="E1811" t="str">
        <f>HYPERLINK("https://worldwide.espacenet.com/publicationDetails/biblio?II=297&amp;ND=3&amp;adjacent=true&amp;locale=en_EP&amp;FT=D&amp;date=20110602&amp;CC=JP&amp;NR=2011107932A&amp;KC=A")</f>
        <v>https://worldwide.espacenet.com/publicationDetails/biblio?II=297&amp;ND=3&amp;adjacent=true&amp;locale=en_EP&amp;FT=D&amp;date=20110602&amp;CC=JP&amp;NR=2011107932A&amp;KC=A</v>
      </c>
    </row>
    <row r="1812" spans="3:5" x14ac:dyDescent="0.25">
      <c r="C1812" t="s">
        <v>2524</v>
      </c>
      <c r="D1812" t="s">
        <v>2525</v>
      </c>
      <c r="E1812" t="str">
        <f>HYPERLINK("https://worldwide.espacenet.com/publicationDetails/biblio?II=298&amp;ND=3&amp;adjacent=true&amp;locale=en_EP&amp;FT=D&amp;date=20110706&amp;CC=CN&amp;NR=102118708A&amp;KC=A")</f>
        <v>https://worldwide.espacenet.com/publicationDetails/biblio?II=298&amp;ND=3&amp;adjacent=true&amp;locale=en_EP&amp;FT=D&amp;date=20110706&amp;CC=CN&amp;NR=102118708A&amp;KC=A</v>
      </c>
    </row>
    <row r="1813" spans="3:5" x14ac:dyDescent="0.25">
      <c r="C1813" t="s">
        <v>2526</v>
      </c>
      <c r="D1813" t="s">
        <v>2527</v>
      </c>
      <c r="E1813" t="str">
        <f>HYPERLINK("https://worldwide.espacenet.com/publicationDetails/biblio?II=299&amp;ND=3&amp;adjacent=true&amp;locale=en_EP&amp;FT=D&amp;date=20110706&amp;CC=CN&amp;NR=102117585A&amp;KC=A")</f>
        <v>https://worldwide.espacenet.com/publicationDetails/biblio?II=299&amp;ND=3&amp;adjacent=true&amp;locale=en_EP&amp;FT=D&amp;date=20110706&amp;CC=CN&amp;NR=102117585A&amp;KC=A</v>
      </c>
    </row>
    <row r="1814" spans="3:5" x14ac:dyDescent="0.25">
      <c r="C1814" t="s">
        <v>2200</v>
      </c>
      <c r="D1814" t="s">
        <v>2201</v>
      </c>
      <c r="E1814" t="str">
        <f>HYPERLINK("https://worldwide.espacenet.com/publicationDetails/biblio?II=300&amp;ND=3&amp;adjacent=true&amp;locale=en_EP&amp;FT=D&amp;date=20110615&amp;CC=CN&amp;NR=201869363U&amp;KC=U")</f>
        <v>https://worldwide.espacenet.com/publicationDetails/biblio?II=300&amp;ND=3&amp;adjacent=true&amp;locale=en_EP&amp;FT=D&amp;date=20110615&amp;CC=CN&amp;NR=201869363U&amp;KC=U</v>
      </c>
    </row>
    <row r="1815" spans="3:5" x14ac:dyDescent="0.25">
      <c r="C1815" t="s">
        <v>2972</v>
      </c>
      <c r="D1815" t="s">
        <v>2973</v>
      </c>
      <c r="E1815" t="str">
        <f>HYPERLINK("https://worldwide.espacenet.com/publicationDetails/biblio?II=301&amp;ND=3&amp;adjacent=true&amp;locale=en_EP&amp;FT=D&amp;date=20110615&amp;CC=CN&amp;NR=201863530U&amp;KC=U")</f>
        <v>https://worldwide.espacenet.com/publicationDetails/biblio?II=301&amp;ND=3&amp;adjacent=true&amp;locale=en_EP&amp;FT=D&amp;date=20110615&amp;CC=CN&amp;NR=201863530U&amp;KC=U</v>
      </c>
    </row>
    <row r="1816" spans="3:5" x14ac:dyDescent="0.25">
      <c r="C1816" t="s">
        <v>2206</v>
      </c>
      <c r="D1816" t="s">
        <v>2207</v>
      </c>
      <c r="E1816" t="str">
        <f>HYPERLINK("https://worldwide.espacenet.com/publicationDetails/biblio?II=302&amp;ND=3&amp;adjacent=true&amp;locale=en_EP&amp;FT=D&amp;date=20110608&amp;CC=CN&amp;NR=201859927U&amp;KC=U")</f>
        <v>https://worldwide.espacenet.com/publicationDetails/biblio?II=302&amp;ND=3&amp;adjacent=true&amp;locale=en_EP&amp;FT=D&amp;date=20110608&amp;CC=CN&amp;NR=201859927U&amp;KC=U</v>
      </c>
    </row>
    <row r="1817" spans="3:5" x14ac:dyDescent="0.25">
      <c r="C1817" t="s">
        <v>2528</v>
      </c>
      <c r="D1817" t="s">
        <v>2529</v>
      </c>
      <c r="E1817" t="str">
        <f>HYPERLINK("https://worldwide.espacenet.com/publicationDetails/biblio?II=303&amp;ND=3&amp;adjacent=true&amp;locale=en_EP&amp;FT=D&amp;date=20110525&amp;CC=CN&amp;NR=201846478U&amp;KC=U")</f>
        <v>https://worldwide.espacenet.com/publicationDetails/biblio?II=303&amp;ND=3&amp;adjacent=true&amp;locale=en_EP&amp;FT=D&amp;date=20110525&amp;CC=CN&amp;NR=201846478U&amp;KC=U</v>
      </c>
    </row>
    <row r="1818" spans="3:5" x14ac:dyDescent="0.25">
      <c r="C1818" t="s">
        <v>2530</v>
      </c>
      <c r="D1818" t="s">
        <v>2531</v>
      </c>
      <c r="E1818" t="str">
        <f>HYPERLINK("https://worldwide.espacenet.com/publicationDetails/biblio?II=304&amp;ND=3&amp;adjacent=true&amp;locale=en_EP&amp;FT=D&amp;date=20110525&amp;CC=CN&amp;NR=201845529U&amp;KC=U")</f>
        <v>https://worldwide.espacenet.com/publicationDetails/biblio?II=304&amp;ND=3&amp;adjacent=true&amp;locale=en_EP&amp;FT=D&amp;date=20110525&amp;CC=CN&amp;NR=201845529U&amp;KC=U</v>
      </c>
    </row>
    <row r="1819" spans="3:5" x14ac:dyDescent="0.25">
      <c r="C1819" t="s">
        <v>2532</v>
      </c>
      <c r="D1819" t="s">
        <v>2533</v>
      </c>
      <c r="E1819" t="str">
        <f>HYPERLINK("https://worldwide.espacenet.com/publicationDetails/biblio?II=305&amp;ND=3&amp;adjacent=true&amp;locale=en_EP&amp;FT=D&amp;date=20110525&amp;CC=CN&amp;NR=201845528U&amp;KC=U")</f>
        <v>https://worldwide.espacenet.com/publicationDetails/biblio?II=305&amp;ND=3&amp;adjacent=true&amp;locale=en_EP&amp;FT=D&amp;date=20110525&amp;CC=CN&amp;NR=201845528U&amp;KC=U</v>
      </c>
    </row>
    <row r="1820" spans="3:5" x14ac:dyDescent="0.25">
      <c r="C1820" t="s">
        <v>2974</v>
      </c>
      <c r="D1820" t="s">
        <v>2975</v>
      </c>
      <c r="E1820" t="str">
        <f>HYPERLINK("https://worldwide.espacenet.com/publicationDetails/biblio?II=306&amp;ND=3&amp;adjacent=true&amp;locale=en_EP&amp;FT=D&amp;date=20110518&amp;CC=CN&amp;NR=201837854U&amp;KC=U")</f>
        <v>https://worldwide.espacenet.com/publicationDetails/biblio?II=306&amp;ND=3&amp;adjacent=true&amp;locale=en_EP&amp;FT=D&amp;date=20110518&amp;CC=CN&amp;NR=201837854U&amp;KC=U</v>
      </c>
    </row>
    <row r="1821" spans="3:5" x14ac:dyDescent="0.25">
      <c r="C1821" t="s">
        <v>2976</v>
      </c>
      <c r="D1821" t="s">
        <v>2977</v>
      </c>
      <c r="E1821" t="str">
        <f>HYPERLINK("https://worldwide.espacenet.com/publicationDetails/biblio?II=307&amp;ND=3&amp;adjacent=true&amp;locale=en_EP&amp;FT=D&amp;date=20110511&amp;CC=CN&amp;NR=201829166U&amp;KC=U")</f>
        <v>https://worldwide.espacenet.com/publicationDetails/biblio?II=307&amp;ND=3&amp;adjacent=true&amp;locale=en_EP&amp;FT=D&amp;date=20110511&amp;CC=CN&amp;NR=201829166U&amp;KC=U</v>
      </c>
    </row>
    <row r="1822" spans="3:5" x14ac:dyDescent="0.25">
      <c r="C1822" t="s">
        <v>2534</v>
      </c>
      <c r="D1822" t="s">
        <v>2535</v>
      </c>
      <c r="E1822" t="str">
        <f>HYPERLINK("https://worldwide.espacenet.com/publicationDetails/biblio?II=308&amp;ND=3&amp;adjacent=true&amp;locale=en_EP&amp;FT=D&amp;date=20110511&amp;CC=CN&amp;NR=201829165U&amp;KC=U")</f>
        <v>https://worldwide.espacenet.com/publicationDetails/biblio?II=308&amp;ND=3&amp;adjacent=true&amp;locale=en_EP&amp;FT=D&amp;date=20110511&amp;CC=CN&amp;NR=201829165U&amp;KC=U</v>
      </c>
    </row>
    <row r="1823" spans="3:5" x14ac:dyDescent="0.25">
      <c r="C1823" t="s">
        <v>2208</v>
      </c>
      <c r="D1823" t="s">
        <v>2209</v>
      </c>
      <c r="E1823" t="str">
        <f>HYPERLINK("https://worldwide.espacenet.com/publicationDetails/biblio?II=309&amp;ND=3&amp;adjacent=true&amp;locale=en_EP&amp;FT=D&amp;date=20110511&amp;CC=CN&amp;NR=102055501A&amp;KC=A")</f>
        <v>https://worldwide.espacenet.com/publicationDetails/biblio?II=309&amp;ND=3&amp;adjacent=true&amp;locale=en_EP&amp;FT=D&amp;date=20110511&amp;CC=CN&amp;NR=102055501A&amp;KC=A</v>
      </c>
    </row>
    <row r="1824" spans="3:5" x14ac:dyDescent="0.25">
      <c r="C1824" t="s">
        <v>2212</v>
      </c>
      <c r="D1824" t="s">
        <v>2213</v>
      </c>
      <c r="E1824" t="str">
        <f>HYPERLINK("https://worldwide.espacenet.com/publicationDetails/biblio?II=310&amp;ND=3&amp;adjacent=true&amp;locale=en_EP&amp;FT=D&amp;date=20110427&amp;CC=CN&amp;NR=201813535U&amp;KC=U")</f>
        <v>https://worldwide.espacenet.com/publicationDetails/biblio?II=310&amp;ND=3&amp;adjacent=true&amp;locale=en_EP&amp;FT=D&amp;date=20110427&amp;CC=CN&amp;NR=201813535U&amp;KC=U</v>
      </c>
    </row>
    <row r="1825" spans="3:5" x14ac:dyDescent="0.25">
      <c r="C1825" t="s">
        <v>2978</v>
      </c>
      <c r="D1825" t="s">
        <v>2979</v>
      </c>
      <c r="E1825" t="str">
        <f>HYPERLINK("https://worldwide.espacenet.com/publicationDetails/biblio?II=311&amp;ND=3&amp;adjacent=true&amp;locale=en_EP&amp;FT=D&amp;date=20110512&amp;CC=DE&amp;NR=102009052776A1&amp;KC=A1")</f>
        <v>https://worldwide.espacenet.com/publicationDetails/biblio?II=311&amp;ND=3&amp;adjacent=true&amp;locale=en_EP&amp;FT=D&amp;date=20110512&amp;CC=DE&amp;NR=102009052776A1&amp;KC=A1</v>
      </c>
    </row>
    <row r="1826" spans="3:5" x14ac:dyDescent="0.25">
      <c r="C1826" t="s">
        <v>2536</v>
      </c>
      <c r="D1826" t="s">
        <v>2537</v>
      </c>
      <c r="E1826" t="str">
        <f>HYPERLINK("https://worldwide.espacenet.com/publicationDetails/biblio?II=312&amp;ND=3&amp;adjacent=true&amp;locale=en_EP&amp;FT=D&amp;date=20110216&amp;CC=CN&amp;NR=101976405A&amp;KC=A")</f>
        <v>https://worldwide.espacenet.com/publicationDetails/biblio?II=312&amp;ND=3&amp;adjacent=true&amp;locale=en_EP&amp;FT=D&amp;date=20110216&amp;CC=CN&amp;NR=101976405A&amp;KC=A</v>
      </c>
    </row>
    <row r="1827" spans="3:5" x14ac:dyDescent="0.25">
      <c r="C1827" t="s">
        <v>2980</v>
      </c>
      <c r="D1827" t="s">
        <v>2981</v>
      </c>
      <c r="E1827" t="str">
        <f>HYPERLINK("https://worldwide.espacenet.com/publicationDetails/biblio?II=313&amp;ND=3&amp;adjacent=true&amp;locale=en_EP&amp;FT=D&amp;date=20110112&amp;CC=CN&amp;NR=201707875U&amp;KC=U")</f>
        <v>https://worldwide.espacenet.com/publicationDetails/biblio?II=313&amp;ND=3&amp;adjacent=true&amp;locale=en_EP&amp;FT=D&amp;date=20110112&amp;CC=CN&amp;NR=201707875U&amp;KC=U</v>
      </c>
    </row>
    <row r="1828" spans="3:5" x14ac:dyDescent="0.25">
      <c r="C1828" t="s">
        <v>2538</v>
      </c>
      <c r="D1828" t="s">
        <v>2539</v>
      </c>
      <c r="E1828" t="str">
        <f>HYPERLINK("https://worldwide.espacenet.com/publicationDetails/biblio?II=314&amp;ND=3&amp;adjacent=true&amp;locale=en_EP&amp;FT=D&amp;date=20110112&amp;CC=CN&amp;NR=201707735U&amp;KC=U")</f>
        <v>https://worldwide.espacenet.com/publicationDetails/biblio?II=314&amp;ND=3&amp;adjacent=true&amp;locale=en_EP&amp;FT=D&amp;date=20110112&amp;CC=CN&amp;NR=201707735U&amp;KC=U</v>
      </c>
    </row>
    <row r="1829" spans="3:5" x14ac:dyDescent="0.25">
      <c r="C1829" t="s">
        <v>2228</v>
      </c>
      <c r="D1829" t="s">
        <v>2229</v>
      </c>
      <c r="E1829" t="str">
        <f>HYPERLINK("https://worldwide.espacenet.com/publicationDetails/biblio?II=315&amp;ND=3&amp;adjacent=true&amp;locale=en_EP&amp;FT=D&amp;date=20101125&amp;CC=US&amp;NR=2010299179A1&amp;KC=A1")</f>
        <v>https://worldwide.espacenet.com/publicationDetails/biblio?II=315&amp;ND=3&amp;adjacent=true&amp;locale=en_EP&amp;FT=D&amp;date=20101125&amp;CC=US&amp;NR=2010299179A1&amp;KC=A1</v>
      </c>
    </row>
    <row r="1830" spans="3:5" x14ac:dyDescent="0.25">
      <c r="C1830" t="s">
        <v>2982</v>
      </c>
      <c r="D1830" t="s">
        <v>2983</v>
      </c>
      <c r="E1830" t="str">
        <f>HYPERLINK("https://worldwide.espacenet.com/publicationDetails/biblio?II=316&amp;ND=3&amp;adjacent=true&amp;locale=en_EP&amp;FT=D&amp;date=20101111&amp;CC=US&amp;NR=2010284156A1&amp;KC=A1")</f>
        <v>https://worldwide.espacenet.com/publicationDetails/biblio?II=316&amp;ND=3&amp;adjacent=true&amp;locale=en_EP&amp;FT=D&amp;date=20101111&amp;CC=US&amp;NR=2010284156A1&amp;KC=A1</v>
      </c>
    </row>
    <row r="1831" spans="3:5" x14ac:dyDescent="0.25">
      <c r="C1831" t="s">
        <v>2984</v>
      </c>
      <c r="D1831" t="s">
        <v>2985</v>
      </c>
      <c r="E1831" t="str">
        <f>HYPERLINK("https://worldwide.espacenet.com/publicationDetails/biblio?II=317&amp;ND=3&amp;adjacent=true&amp;locale=en_EP&amp;FT=D&amp;date=20101104&amp;CC=US&amp;NR=2010279426A1&amp;KC=A1")</f>
        <v>https://worldwide.espacenet.com/publicationDetails/biblio?II=317&amp;ND=3&amp;adjacent=true&amp;locale=en_EP&amp;FT=D&amp;date=20101104&amp;CC=US&amp;NR=2010279426A1&amp;KC=A1</v>
      </c>
    </row>
    <row r="1832" spans="3:5" x14ac:dyDescent="0.25">
      <c r="C1832" t="s">
        <v>2232</v>
      </c>
      <c r="D1832" t="s">
        <v>2233</v>
      </c>
      <c r="E1832" t="str">
        <f>HYPERLINK("https://worldwide.espacenet.com/publicationDetails/biblio?II=318&amp;ND=3&amp;adjacent=true&amp;locale=en_EP&amp;FT=D&amp;date=20101103&amp;CC=CN&amp;NR=201622346U&amp;KC=U")</f>
        <v>https://worldwide.espacenet.com/publicationDetails/biblio?II=318&amp;ND=3&amp;adjacent=true&amp;locale=en_EP&amp;FT=D&amp;date=20101103&amp;CC=CN&amp;NR=201622346U&amp;KC=U</v>
      </c>
    </row>
    <row r="1833" spans="3:5" x14ac:dyDescent="0.25">
      <c r="C1833" t="s">
        <v>2986</v>
      </c>
      <c r="D1833" t="s">
        <v>2987</v>
      </c>
      <c r="E1833" t="str">
        <f>HYPERLINK("https://worldwide.espacenet.com/publicationDetails/biblio?II=319&amp;ND=3&amp;adjacent=true&amp;locale=en_EP&amp;FT=D&amp;date=20101007&amp;CC=US&amp;NR=2010252824A1&amp;KC=A1")</f>
        <v>https://worldwide.espacenet.com/publicationDetails/biblio?II=319&amp;ND=3&amp;adjacent=true&amp;locale=en_EP&amp;FT=D&amp;date=20101007&amp;CC=US&amp;NR=2010252824A1&amp;KC=A1</v>
      </c>
    </row>
    <row r="1834" spans="3:5" x14ac:dyDescent="0.25">
      <c r="C1834" t="s">
        <v>2988</v>
      </c>
      <c r="D1834" t="s">
        <v>2989</v>
      </c>
      <c r="E1834" t="str">
        <f>HYPERLINK("https://worldwide.espacenet.com/publicationDetails/biblio?II=320&amp;ND=3&amp;adjacent=true&amp;locale=en_EP&amp;FT=D&amp;date=20100811&amp;CC=CN&amp;NR=101799942A&amp;KC=A")</f>
        <v>https://worldwide.espacenet.com/publicationDetails/biblio?II=320&amp;ND=3&amp;adjacent=true&amp;locale=en_EP&amp;FT=D&amp;date=20100811&amp;CC=CN&amp;NR=101799942A&amp;KC=A</v>
      </c>
    </row>
    <row r="1835" spans="3:5" x14ac:dyDescent="0.25">
      <c r="C1835" t="s">
        <v>2990</v>
      </c>
      <c r="D1835" t="s">
        <v>2991</v>
      </c>
      <c r="E1835" t="str">
        <f>HYPERLINK("https://worldwide.espacenet.com/publicationDetails/biblio?II=321&amp;ND=3&amp;adjacent=true&amp;locale=en_EP&amp;FT=D&amp;date=20100804&amp;CC=CN&amp;NR=201538267U&amp;KC=U")</f>
        <v>https://worldwide.espacenet.com/publicationDetails/biblio?II=321&amp;ND=3&amp;adjacent=true&amp;locale=en_EP&amp;FT=D&amp;date=20100804&amp;CC=CN&amp;NR=201538267U&amp;KC=U</v>
      </c>
    </row>
    <row r="1836" spans="3:5" x14ac:dyDescent="0.25">
      <c r="C1836" t="s">
        <v>2992</v>
      </c>
      <c r="D1836" t="s">
        <v>2993</v>
      </c>
      <c r="E1836" t="str">
        <f>HYPERLINK("https://worldwide.espacenet.com/publicationDetails/biblio?II=322&amp;ND=3&amp;adjacent=true&amp;locale=en_EP&amp;FT=D&amp;date=20100630&amp;CC=CN&amp;NR=101763413A&amp;KC=A")</f>
        <v>https://worldwide.espacenet.com/publicationDetails/biblio?II=322&amp;ND=3&amp;adjacent=true&amp;locale=en_EP&amp;FT=D&amp;date=20100630&amp;CC=CN&amp;NR=101763413A&amp;KC=A</v>
      </c>
    </row>
    <row r="1837" spans="3:5" x14ac:dyDescent="0.25">
      <c r="C1837" t="s">
        <v>2994</v>
      </c>
      <c r="D1837" t="s">
        <v>2995</v>
      </c>
      <c r="E1837" t="str">
        <f>HYPERLINK("https://worldwide.espacenet.com/publicationDetails/biblio?II=323&amp;ND=3&amp;adjacent=true&amp;locale=en_EP&amp;FT=D&amp;date=20100630&amp;CC=CN&amp;NR=101763411A&amp;KC=A")</f>
        <v>https://worldwide.espacenet.com/publicationDetails/biblio?II=323&amp;ND=3&amp;adjacent=true&amp;locale=en_EP&amp;FT=D&amp;date=20100630&amp;CC=CN&amp;NR=101763411A&amp;KC=A</v>
      </c>
    </row>
    <row r="1838" spans="3:5" x14ac:dyDescent="0.25">
      <c r="C1838" t="s">
        <v>2540</v>
      </c>
      <c r="D1838" t="s">
        <v>2541</v>
      </c>
      <c r="E1838" t="str">
        <f>HYPERLINK("https://worldwide.espacenet.com/publicationDetails/biblio?II=324&amp;ND=3&amp;adjacent=true&amp;locale=en_EP&amp;FT=D&amp;date=20100602&amp;CC=CN&amp;NR=201499166U&amp;KC=U")</f>
        <v>https://worldwide.espacenet.com/publicationDetails/biblio?II=324&amp;ND=3&amp;adjacent=true&amp;locale=en_EP&amp;FT=D&amp;date=20100602&amp;CC=CN&amp;NR=201499166U&amp;KC=U</v>
      </c>
    </row>
    <row r="1839" spans="3:5" x14ac:dyDescent="0.25">
      <c r="C1839" t="s">
        <v>2244</v>
      </c>
      <c r="D1839" t="s">
        <v>2245</v>
      </c>
      <c r="E1839" t="str">
        <f>HYPERLINK("https://worldwide.espacenet.com/publicationDetails/biblio?II=325&amp;ND=3&amp;adjacent=true&amp;locale=en_EP&amp;FT=D&amp;date=20100512&amp;CC=CN&amp;NR=201465512U&amp;KC=U")</f>
        <v>https://worldwide.espacenet.com/publicationDetails/biblio?II=325&amp;ND=3&amp;adjacent=true&amp;locale=en_EP&amp;FT=D&amp;date=20100512&amp;CC=CN&amp;NR=201465512U&amp;KC=U</v>
      </c>
    </row>
    <row r="1840" spans="3:5" x14ac:dyDescent="0.25">
      <c r="C1840" t="s">
        <v>2542</v>
      </c>
      <c r="D1840" t="s">
        <v>2543</v>
      </c>
      <c r="E1840" t="str">
        <f>HYPERLINK("https://worldwide.espacenet.com/publicationDetails/biblio?II=326&amp;ND=3&amp;adjacent=true&amp;locale=en_EP&amp;FT=D&amp;date=20100224&amp;CC=CN&amp;NR=101656545A&amp;KC=A")</f>
        <v>https://worldwide.espacenet.com/publicationDetails/biblio?II=326&amp;ND=3&amp;adjacent=true&amp;locale=en_EP&amp;FT=D&amp;date=20100224&amp;CC=CN&amp;NR=101656545A&amp;KC=A</v>
      </c>
    </row>
    <row r="1841" spans="1:5" x14ac:dyDescent="0.25">
      <c r="C1841" t="s">
        <v>2996</v>
      </c>
      <c r="D1841" t="s">
        <v>2997</v>
      </c>
      <c r="E1841" t="str">
        <f>HYPERLINK("https://worldwide.espacenet.com/publicationDetails/biblio?II=327&amp;ND=3&amp;adjacent=true&amp;locale=en_EP&amp;FT=D&amp;date=20100204&amp;CC=US&amp;NR=2010028247A1&amp;KC=A1")</f>
        <v>https://worldwide.espacenet.com/publicationDetails/biblio?II=327&amp;ND=3&amp;adjacent=true&amp;locale=en_EP&amp;FT=D&amp;date=20100204&amp;CC=US&amp;NR=2010028247A1&amp;KC=A1</v>
      </c>
    </row>
    <row r="1842" spans="1:5" x14ac:dyDescent="0.25">
      <c r="A1842" t="s">
        <v>2998</v>
      </c>
      <c r="B1842">
        <v>1569</v>
      </c>
    </row>
    <row r="1843" spans="1:5" x14ac:dyDescent="0.25">
      <c r="C1843" t="s">
        <v>2999</v>
      </c>
      <c r="D1843" t="s">
        <v>3000</v>
      </c>
      <c r="E1843" t="str">
        <f>HYPERLINK("https://worldwide.espacenet.com/publicationDetails/biblio?II=0&amp;ND=3&amp;adjacent=true&amp;locale=en_EP&amp;FT=D&amp;date=20181011&amp;CC=AU&amp;NR=2018101292A4&amp;KC=A4")</f>
        <v>https://worldwide.espacenet.com/publicationDetails/biblio?II=0&amp;ND=3&amp;adjacent=true&amp;locale=en_EP&amp;FT=D&amp;date=20181011&amp;CC=AU&amp;NR=2018101292A4&amp;KC=A4</v>
      </c>
    </row>
    <row r="1844" spans="1:5" x14ac:dyDescent="0.25">
      <c r="C1844" t="s">
        <v>3001</v>
      </c>
      <c r="D1844" t="s">
        <v>3002</v>
      </c>
      <c r="E1844" t="str">
        <f>HYPERLINK("https://worldwide.espacenet.com/publicationDetails/biblio?II=1&amp;ND=3&amp;adjacent=true&amp;locale=en_EP&amp;FT=D&amp;date=20181004&amp;CC=WO&amp;NR=2018177211A1&amp;KC=A1")</f>
        <v>https://worldwide.espacenet.com/publicationDetails/biblio?II=1&amp;ND=3&amp;adjacent=true&amp;locale=en_EP&amp;FT=D&amp;date=20181004&amp;CC=WO&amp;NR=2018177211A1&amp;KC=A1</v>
      </c>
    </row>
    <row r="1845" spans="1:5" x14ac:dyDescent="0.25">
      <c r="C1845" t="s">
        <v>3003</v>
      </c>
      <c r="D1845" t="s">
        <v>3004</v>
      </c>
      <c r="E1845" t="str">
        <f>HYPERLINK("https://worldwide.espacenet.com/publicationDetails/biblio?II=2&amp;ND=3&amp;adjacent=true&amp;locale=en_EP&amp;FT=D&amp;date=20180913&amp;CC=US&amp;NR=2018257224A1&amp;KC=A1")</f>
        <v>https://worldwide.espacenet.com/publicationDetails/biblio?II=2&amp;ND=3&amp;adjacent=true&amp;locale=en_EP&amp;FT=D&amp;date=20180913&amp;CC=US&amp;NR=2018257224A1&amp;KC=A1</v>
      </c>
    </row>
    <row r="1846" spans="1:5" x14ac:dyDescent="0.25">
      <c r="C1846" t="s">
        <v>3005</v>
      </c>
      <c r="D1846" t="s">
        <v>3006</v>
      </c>
      <c r="E1846" t="str">
        <f>HYPERLINK("https://worldwide.espacenet.com/publicationDetails/biblio?II=3&amp;ND=3&amp;adjacent=true&amp;locale=en_EP&amp;FT=D&amp;date=20180830&amp;CC=WO&amp;NR=2018152678A1&amp;KC=A1")</f>
        <v>https://worldwide.espacenet.com/publicationDetails/biblio?II=3&amp;ND=3&amp;adjacent=true&amp;locale=en_EP&amp;FT=D&amp;date=20180830&amp;CC=WO&amp;NR=2018152678A1&amp;KC=A1</v>
      </c>
    </row>
    <row r="1847" spans="1:5" x14ac:dyDescent="0.25">
      <c r="C1847" t="s">
        <v>3007</v>
      </c>
      <c r="D1847" t="s">
        <v>3008</v>
      </c>
      <c r="E1847" t="str">
        <f>HYPERLINK("https://worldwide.espacenet.com/publicationDetails/biblio?II=4&amp;ND=3&amp;adjacent=true&amp;locale=en_EP&amp;FT=D&amp;date=20180726&amp;CC=JP&amp;NR=2018114587A&amp;KC=A")</f>
        <v>https://worldwide.espacenet.com/publicationDetails/biblio?II=4&amp;ND=3&amp;adjacent=true&amp;locale=en_EP&amp;FT=D&amp;date=20180726&amp;CC=JP&amp;NR=2018114587A&amp;KC=A</v>
      </c>
    </row>
    <row r="1848" spans="1:5" x14ac:dyDescent="0.25">
      <c r="C1848" t="s">
        <v>3009</v>
      </c>
      <c r="D1848" t="s">
        <v>3010</v>
      </c>
      <c r="E1848" t="str">
        <f>HYPERLINK("https://worldwide.espacenet.com/publicationDetails/biblio?II=5&amp;ND=3&amp;adjacent=true&amp;locale=en_EP&amp;FT=D&amp;date=20180629&amp;CC=CN&amp;NR=207560471U&amp;KC=U")</f>
        <v>https://worldwide.espacenet.com/publicationDetails/biblio?II=5&amp;ND=3&amp;adjacent=true&amp;locale=en_EP&amp;FT=D&amp;date=20180629&amp;CC=CN&amp;NR=207560471U&amp;KC=U</v>
      </c>
    </row>
    <row r="1849" spans="1:5" x14ac:dyDescent="0.25">
      <c r="C1849" t="s">
        <v>3011</v>
      </c>
      <c r="D1849" t="s">
        <v>3012</v>
      </c>
      <c r="E1849" t="str">
        <f>HYPERLINK("https://worldwide.espacenet.com/publicationDetails/biblio?II=6&amp;ND=3&amp;adjacent=true&amp;locale=en_EP&amp;FT=D&amp;date=20180629&amp;CC=CN&amp;NR=207551328U&amp;KC=U")</f>
        <v>https://worldwide.espacenet.com/publicationDetails/biblio?II=6&amp;ND=3&amp;adjacent=true&amp;locale=en_EP&amp;FT=D&amp;date=20180629&amp;CC=CN&amp;NR=207551328U&amp;KC=U</v>
      </c>
    </row>
    <row r="1850" spans="1:5" x14ac:dyDescent="0.25">
      <c r="C1850" t="s">
        <v>3013</v>
      </c>
      <c r="D1850" t="s">
        <v>3014</v>
      </c>
      <c r="E1850" t="str">
        <f>HYPERLINK("https://worldwide.espacenet.com/publicationDetails/biblio?II=7&amp;ND=3&amp;adjacent=true&amp;locale=en_EP&amp;FT=D&amp;date=20180629&amp;CC=CN&amp;NR=108230869A&amp;KC=A")</f>
        <v>https://worldwide.espacenet.com/publicationDetails/biblio?II=7&amp;ND=3&amp;adjacent=true&amp;locale=en_EP&amp;FT=D&amp;date=20180629&amp;CC=CN&amp;NR=108230869A&amp;KC=A</v>
      </c>
    </row>
    <row r="1851" spans="1:5" x14ac:dyDescent="0.25">
      <c r="C1851" t="s">
        <v>3015</v>
      </c>
      <c r="D1851" t="s">
        <v>3016</v>
      </c>
      <c r="E1851" t="str">
        <f>HYPERLINK("https://worldwide.espacenet.com/publicationDetails/biblio?II=8&amp;ND=3&amp;adjacent=true&amp;locale=en_EP&amp;FT=D&amp;date=20180629&amp;CC=CN&amp;NR=108216412A&amp;KC=A")</f>
        <v>https://worldwide.espacenet.com/publicationDetails/biblio?II=8&amp;ND=3&amp;adjacent=true&amp;locale=en_EP&amp;FT=D&amp;date=20180629&amp;CC=CN&amp;NR=108216412A&amp;KC=A</v>
      </c>
    </row>
    <row r="1852" spans="1:5" x14ac:dyDescent="0.25">
      <c r="C1852" t="s">
        <v>3017</v>
      </c>
      <c r="D1852" t="s">
        <v>3018</v>
      </c>
      <c r="E1852" t="str">
        <f>HYPERLINK("https://worldwide.espacenet.com/publicationDetails/biblio?II=9&amp;ND=3&amp;adjacent=true&amp;locale=en_EP&amp;FT=D&amp;date=20180629&amp;CC=CN&amp;NR=108214457A&amp;KC=A")</f>
        <v>https://worldwide.espacenet.com/publicationDetails/biblio?II=9&amp;ND=3&amp;adjacent=true&amp;locale=en_EP&amp;FT=D&amp;date=20180629&amp;CC=CN&amp;NR=108214457A&amp;KC=A</v>
      </c>
    </row>
    <row r="1853" spans="1:5" x14ac:dyDescent="0.25">
      <c r="C1853" t="s">
        <v>3019</v>
      </c>
      <c r="D1853" t="s">
        <v>3020</v>
      </c>
      <c r="E1853" t="str">
        <f>HYPERLINK("https://worldwide.espacenet.com/publicationDetails/biblio?II=10&amp;ND=3&amp;adjacent=true&amp;locale=en_EP&amp;FT=D&amp;date=20180629&amp;CC=CN&amp;NR=108214521A&amp;KC=A")</f>
        <v>https://worldwide.espacenet.com/publicationDetails/biblio?II=10&amp;ND=3&amp;adjacent=true&amp;locale=en_EP&amp;FT=D&amp;date=20180629&amp;CC=CN&amp;NR=108214521A&amp;KC=A</v>
      </c>
    </row>
    <row r="1854" spans="1:5" x14ac:dyDescent="0.25">
      <c r="C1854" t="s">
        <v>3021</v>
      </c>
      <c r="D1854" t="s">
        <v>3022</v>
      </c>
      <c r="E1854" t="str">
        <f>HYPERLINK("https://worldwide.espacenet.com/publicationDetails/biblio?II=11&amp;ND=3&amp;adjacent=true&amp;locale=en_EP&amp;FT=D&amp;date=20180629&amp;CC=CN&amp;NR=108227723A&amp;KC=A")</f>
        <v>https://worldwide.espacenet.com/publicationDetails/biblio?II=11&amp;ND=3&amp;adjacent=true&amp;locale=en_EP&amp;FT=D&amp;date=20180629&amp;CC=CN&amp;NR=108227723A&amp;KC=A</v>
      </c>
    </row>
    <row r="1855" spans="1:5" x14ac:dyDescent="0.25">
      <c r="C1855" t="s">
        <v>3023</v>
      </c>
      <c r="D1855" t="s">
        <v>3024</v>
      </c>
      <c r="E1855" t="str">
        <f>HYPERLINK("https://worldwide.espacenet.com/publicationDetails/biblio?II=12&amp;ND=3&amp;adjacent=true&amp;locale=en_EP&amp;FT=D&amp;date=20180629&amp;CC=CN&amp;NR=108217118A&amp;KC=A")</f>
        <v>https://worldwide.espacenet.com/publicationDetails/biblio?II=12&amp;ND=3&amp;adjacent=true&amp;locale=en_EP&amp;FT=D&amp;date=20180629&amp;CC=CN&amp;NR=108217118A&amp;KC=A</v>
      </c>
    </row>
    <row r="1856" spans="1:5" x14ac:dyDescent="0.25">
      <c r="C1856" t="s">
        <v>3025</v>
      </c>
      <c r="D1856" t="s">
        <v>3026</v>
      </c>
      <c r="E1856" t="str">
        <f>HYPERLINK("https://worldwide.espacenet.com/publicationDetails/biblio?II=13&amp;ND=3&amp;adjacent=true&amp;locale=en_EP&amp;FT=D&amp;date=20180626&amp;CC=CN&amp;NR=207534846U&amp;KC=U")</f>
        <v>https://worldwide.espacenet.com/publicationDetails/biblio?II=13&amp;ND=3&amp;adjacent=true&amp;locale=en_EP&amp;FT=D&amp;date=20180626&amp;CC=CN&amp;NR=207534846U&amp;KC=U</v>
      </c>
    </row>
    <row r="1857" spans="3:5" x14ac:dyDescent="0.25">
      <c r="C1857" t="s">
        <v>3027</v>
      </c>
      <c r="D1857" t="s">
        <v>3028</v>
      </c>
      <c r="E1857" t="str">
        <f>HYPERLINK("https://worldwide.espacenet.com/publicationDetails/biblio?II=14&amp;ND=3&amp;adjacent=true&amp;locale=en_EP&amp;FT=D&amp;date=20180626&amp;CC=CN&amp;NR=207534849U&amp;KC=U")</f>
        <v>https://worldwide.espacenet.com/publicationDetails/biblio?II=14&amp;ND=3&amp;adjacent=true&amp;locale=en_EP&amp;FT=D&amp;date=20180626&amp;CC=CN&amp;NR=207534849U&amp;KC=U</v>
      </c>
    </row>
    <row r="1858" spans="3:5" x14ac:dyDescent="0.25">
      <c r="C1858" t="s">
        <v>3029</v>
      </c>
      <c r="D1858" t="s">
        <v>3030</v>
      </c>
      <c r="E1858" t="str">
        <f>HYPERLINK("https://worldwide.espacenet.com/publicationDetails/biblio?II=15&amp;ND=3&amp;adjacent=true&amp;locale=en_EP&amp;FT=D&amp;date=20180626&amp;CC=CN&amp;NR=207532782U&amp;KC=U")</f>
        <v>https://worldwide.espacenet.com/publicationDetails/biblio?II=15&amp;ND=3&amp;adjacent=true&amp;locale=en_EP&amp;FT=D&amp;date=20180626&amp;CC=CN&amp;NR=207532782U&amp;KC=U</v>
      </c>
    </row>
    <row r="1859" spans="3:5" x14ac:dyDescent="0.25">
      <c r="C1859" t="s">
        <v>3031</v>
      </c>
      <c r="D1859" t="s">
        <v>3032</v>
      </c>
      <c r="E1859" t="str">
        <f>HYPERLINK("https://worldwide.espacenet.com/publicationDetails/biblio?II=16&amp;ND=3&amp;adjacent=true&amp;locale=en_EP&amp;FT=D&amp;date=20180622&amp;CC=CN&amp;NR=108189050A&amp;KC=A")</f>
        <v>https://worldwide.espacenet.com/publicationDetails/biblio?II=16&amp;ND=3&amp;adjacent=true&amp;locale=en_EP&amp;FT=D&amp;date=20180622&amp;CC=CN&amp;NR=108189050A&amp;KC=A</v>
      </c>
    </row>
    <row r="1860" spans="3:5" x14ac:dyDescent="0.25">
      <c r="C1860" t="s">
        <v>3033</v>
      </c>
      <c r="D1860" t="s">
        <v>3034</v>
      </c>
      <c r="E1860" t="str">
        <f>HYPERLINK("https://worldwide.espacenet.com/publicationDetails/biblio?II=17&amp;ND=3&amp;adjacent=true&amp;locale=en_EP&amp;FT=D&amp;date=20180622&amp;CC=CN&amp;NR=108188897A&amp;KC=A")</f>
        <v>https://worldwide.espacenet.com/publicationDetails/biblio?II=17&amp;ND=3&amp;adjacent=true&amp;locale=en_EP&amp;FT=D&amp;date=20180622&amp;CC=CN&amp;NR=108188897A&amp;KC=A</v>
      </c>
    </row>
    <row r="1861" spans="3:5" x14ac:dyDescent="0.25">
      <c r="C1861" t="s">
        <v>3035</v>
      </c>
      <c r="D1861" t="s">
        <v>3036</v>
      </c>
      <c r="E1861" t="str">
        <f>HYPERLINK("https://worldwide.espacenet.com/publicationDetails/biblio?II=18&amp;ND=3&amp;adjacent=true&amp;locale=en_EP&amp;FT=D&amp;date=20180622&amp;CC=CN&amp;NR=108190337A&amp;KC=A")</f>
        <v>https://worldwide.espacenet.com/publicationDetails/biblio?II=18&amp;ND=3&amp;adjacent=true&amp;locale=en_EP&amp;FT=D&amp;date=20180622&amp;CC=CN&amp;NR=108190337A&amp;KC=A</v>
      </c>
    </row>
    <row r="1862" spans="3:5" x14ac:dyDescent="0.25">
      <c r="C1862" t="s">
        <v>3037</v>
      </c>
      <c r="D1862" t="s">
        <v>3038</v>
      </c>
      <c r="E1862" t="str">
        <f>HYPERLINK("https://worldwide.espacenet.com/publicationDetails/biblio?II=19&amp;ND=3&amp;adjacent=true&amp;locale=en_EP&amp;FT=D&amp;date=20180622&amp;CC=CN&amp;NR=108189918A&amp;KC=A")</f>
        <v>https://worldwide.espacenet.com/publicationDetails/biblio?II=19&amp;ND=3&amp;adjacent=true&amp;locale=en_EP&amp;FT=D&amp;date=20180622&amp;CC=CN&amp;NR=108189918A&amp;KC=A</v>
      </c>
    </row>
    <row r="1863" spans="3:5" x14ac:dyDescent="0.25">
      <c r="C1863" t="s">
        <v>3039</v>
      </c>
      <c r="D1863" t="s">
        <v>3040</v>
      </c>
      <c r="E1863" t="str">
        <f>HYPERLINK("https://worldwide.espacenet.com/publicationDetails/biblio?II=20&amp;ND=3&amp;adjacent=true&amp;locale=en_EP&amp;FT=D&amp;date=20180622&amp;CC=CN&amp;NR=207522615U&amp;KC=U")</f>
        <v>https://worldwide.espacenet.com/publicationDetails/biblio?II=20&amp;ND=3&amp;adjacent=true&amp;locale=en_EP&amp;FT=D&amp;date=20180622&amp;CC=CN&amp;NR=207522615U&amp;KC=U</v>
      </c>
    </row>
    <row r="1864" spans="3:5" x14ac:dyDescent="0.25">
      <c r="C1864" t="s">
        <v>3041</v>
      </c>
      <c r="D1864" t="s">
        <v>3042</v>
      </c>
      <c r="E1864" t="str">
        <f>HYPERLINK("https://worldwide.espacenet.com/publicationDetails/biblio?II=21&amp;ND=3&amp;adjacent=true&amp;locale=en_EP&amp;FT=D&amp;date=20180622&amp;CC=CN&amp;NR=207526922U&amp;KC=U")</f>
        <v>https://worldwide.espacenet.com/publicationDetails/biblio?II=21&amp;ND=3&amp;adjacent=true&amp;locale=en_EP&amp;FT=D&amp;date=20180622&amp;CC=CN&amp;NR=207526922U&amp;KC=U</v>
      </c>
    </row>
    <row r="1865" spans="3:5" x14ac:dyDescent="0.25">
      <c r="C1865" t="s">
        <v>3043</v>
      </c>
      <c r="D1865" t="s">
        <v>3044</v>
      </c>
      <c r="E1865" t="str">
        <f>HYPERLINK("https://worldwide.espacenet.com/publicationDetails/biblio?II=22&amp;ND=3&amp;adjacent=true&amp;locale=en_EP&amp;FT=D&amp;date=20180622&amp;CC=CN&amp;NR=207520089U&amp;KC=U")</f>
        <v>https://worldwide.espacenet.com/publicationDetails/biblio?II=22&amp;ND=3&amp;adjacent=true&amp;locale=en_EP&amp;FT=D&amp;date=20180622&amp;CC=CN&amp;NR=207520089U&amp;KC=U</v>
      </c>
    </row>
    <row r="1866" spans="3:5" x14ac:dyDescent="0.25">
      <c r="C1866" t="s">
        <v>3045</v>
      </c>
      <c r="D1866" t="s">
        <v>3046</v>
      </c>
      <c r="E1866" t="str">
        <f>HYPERLINK("https://worldwide.espacenet.com/publicationDetails/biblio?II=23&amp;ND=3&amp;adjacent=true&amp;locale=en_EP&amp;FT=D&amp;date=20180619&amp;CC=CN&amp;NR=108179306A&amp;KC=A")</f>
        <v>https://worldwide.espacenet.com/publicationDetails/biblio?II=23&amp;ND=3&amp;adjacent=true&amp;locale=en_EP&amp;FT=D&amp;date=20180619&amp;CC=CN&amp;NR=108179306A&amp;KC=A</v>
      </c>
    </row>
    <row r="1867" spans="3:5" x14ac:dyDescent="0.25">
      <c r="C1867" t="s">
        <v>3047</v>
      </c>
      <c r="D1867" t="s">
        <v>3048</v>
      </c>
      <c r="E1867" t="str">
        <f>HYPERLINK("https://worldwide.espacenet.com/publicationDetails/biblio?II=24&amp;ND=3&amp;adjacent=true&amp;locale=en_EP&amp;FT=D&amp;date=20180619&amp;CC=CN&amp;NR=108180165A&amp;KC=A")</f>
        <v>https://worldwide.espacenet.com/publicationDetails/biblio?II=24&amp;ND=3&amp;adjacent=true&amp;locale=en_EP&amp;FT=D&amp;date=20180619&amp;CC=CN&amp;NR=108180165A&amp;KC=A</v>
      </c>
    </row>
    <row r="1868" spans="3:5" x14ac:dyDescent="0.25">
      <c r="C1868" t="s">
        <v>3049</v>
      </c>
      <c r="D1868" t="s">
        <v>3050</v>
      </c>
      <c r="E1868" t="str">
        <f>HYPERLINK("https://worldwide.espacenet.com/publicationDetails/biblio?II=25&amp;ND=3&amp;adjacent=true&amp;locale=en_EP&amp;FT=D&amp;date=20180619&amp;CC=CN&amp;NR=207514235U&amp;KC=U")</f>
        <v>https://worldwide.espacenet.com/publicationDetails/biblio?II=25&amp;ND=3&amp;adjacent=true&amp;locale=en_EP&amp;FT=D&amp;date=20180619&amp;CC=CN&amp;NR=207514235U&amp;KC=U</v>
      </c>
    </row>
    <row r="1869" spans="3:5" x14ac:dyDescent="0.25">
      <c r="C1869" t="s">
        <v>3051</v>
      </c>
      <c r="D1869" t="s">
        <v>3052</v>
      </c>
      <c r="E1869" t="str">
        <f>HYPERLINK("https://worldwide.espacenet.com/publicationDetails/biblio?II=26&amp;ND=3&amp;adjacent=true&amp;locale=en_EP&amp;FT=D&amp;date=20180619&amp;CC=CN&amp;NR=207511257U&amp;KC=U")</f>
        <v>https://worldwide.espacenet.com/publicationDetails/biblio?II=26&amp;ND=3&amp;adjacent=true&amp;locale=en_EP&amp;FT=D&amp;date=20180619&amp;CC=CN&amp;NR=207511257U&amp;KC=U</v>
      </c>
    </row>
    <row r="1870" spans="3:5" x14ac:dyDescent="0.25">
      <c r="C1870" t="s">
        <v>3053</v>
      </c>
      <c r="D1870" t="s">
        <v>3054</v>
      </c>
      <c r="E1870" t="str">
        <f>HYPERLINK("https://worldwide.espacenet.com/publicationDetails/biblio?II=27&amp;ND=3&amp;adjacent=true&amp;locale=en_EP&amp;FT=D&amp;date=20180619&amp;CC=CN&amp;NR=207508654U&amp;KC=U")</f>
        <v>https://worldwide.espacenet.com/publicationDetails/biblio?II=27&amp;ND=3&amp;adjacent=true&amp;locale=en_EP&amp;FT=D&amp;date=20180619&amp;CC=CN&amp;NR=207508654U&amp;KC=U</v>
      </c>
    </row>
    <row r="1871" spans="3:5" x14ac:dyDescent="0.25">
      <c r="C1871" t="s">
        <v>3055</v>
      </c>
      <c r="D1871" t="s">
        <v>3056</v>
      </c>
      <c r="E1871" t="str">
        <f>HYPERLINK("https://worldwide.espacenet.com/publicationDetails/biblio?II=28&amp;ND=3&amp;adjacent=true&amp;locale=en_EP&amp;FT=D&amp;date=20180615&amp;CC=CN&amp;NR=108161919A&amp;KC=A")</f>
        <v>https://worldwide.espacenet.com/publicationDetails/biblio?II=28&amp;ND=3&amp;adjacent=true&amp;locale=en_EP&amp;FT=D&amp;date=20180615&amp;CC=CN&amp;NR=108161919A&amp;KC=A</v>
      </c>
    </row>
    <row r="1872" spans="3:5" x14ac:dyDescent="0.25">
      <c r="C1872" t="s">
        <v>3057</v>
      </c>
      <c r="D1872" t="s">
        <v>3058</v>
      </c>
      <c r="E1872" t="str">
        <f>HYPERLINK("https://worldwide.espacenet.com/publicationDetails/biblio?II=29&amp;ND=3&amp;adjacent=true&amp;locale=en_EP&amp;FT=D&amp;date=20180615&amp;CC=CN&amp;NR=108163080A&amp;KC=A")</f>
        <v>https://worldwide.espacenet.com/publicationDetails/biblio?II=29&amp;ND=3&amp;adjacent=true&amp;locale=en_EP&amp;FT=D&amp;date=20180615&amp;CC=CN&amp;NR=108163080A&amp;KC=A</v>
      </c>
    </row>
    <row r="1873" spans="3:5" x14ac:dyDescent="0.25">
      <c r="C1873" t="s">
        <v>3059</v>
      </c>
      <c r="D1873" t="s">
        <v>3060</v>
      </c>
      <c r="E1873" t="str">
        <f>HYPERLINK("https://worldwide.espacenet.com/publicationDetails/biblio?II=30&amp;ND=3&amp;adjacent=true&amp;locale=en_EP&amp;FT=D&amp;date=20180615&amp;CC=CN&amp;NR=108163229A&amp;KC=A")</f>
        <v>https://worldwide.espacenet.com/publicationDetails/biblio?II=30&amp;ND=3&amp;adjacent=true&amp;locale=en_EP&amp;FT=D&amp;date=20180615&amp;CC=CN&amp;NR=108163229A&amp;KC=A</v>
      </c>
    </row>
    <row r="1874" spans="3:5" x14ac:dyDescent="0.25">
      <c r="C1874" t="s">
        <v>3061</v>
      </c>
      <c r="D1874" t="s">
        <v>3062</v>
      </c>
      <c r="E1874" t="str">
        <f>HYPERLINK("https://worldwide.espacenet.com/publicationDetails/biblio?II=31&amp;ND=3&amp;adjacent=true&amp;locale=en_EP&amp;FT=D&amp;date=20180615&amp;CC=CN&amp;NR=207496655U&amp;KC=U")</f>
        <v>https://worldwide.espacenet.com/publicationDetails/biblio?II=31&amp;ND=3&amp;adjacent=true&amp;locale=en_EP&amp;FT=D&amp;date=20180615&amp;CC=CN&amp;NR=207496655U&amp;KC=U</v>
      </c>
    </row>
    <row r="1875" spans="3:5" x14ac:dyDescent="0.25">
      <c r="C1875" t="s">
        <v>3063</v>
      </c>
      <c r="D1875" t="s">
        <v>3064</v>
      </c>
      <c r="E1875" t="str">
        <f>HYPERLINK("https://worldwide.espacenet.com/publicationDetails/biblio?II=32&amp;ND=3&amp;adjacent=true&amp;locale=en_EP&amp;FT=D&amp;date=20180615&amp;CC=CN&amp;NR=207495551U&amp;KC=U")</f>
        <v>https://worldwide.espacenet.com/publicationDetails/biblio?II=32&amp;ND=3&amp;adjacent=true&amp;locale=en_EP&amp;FT=D&amp;date=20180615&amp;CC=CN&amp;NR=207495551U&amp;KC=U</v>
      </c>
    </row>
    <row r="1876" spans="3:5" x14ac:dyDescent="0.25">
      <c r="C1876" t="s">
        <v>3065</v>
      </c>
      <c r="D1876" t="s">
        <v>3066</v>
      </c>
      <c r="E1876" t="str">
        <f>HYPERLINK("https://worldwide.espacenet.com/publicationDetails/biblio?II=33&amp;ND=3&amp;adjacent=true&amp;locale=en_EP&amp;FT=D&amp;date=20180615&amp;CC=CN&amp;NR=207496411U&amp;KC=U")</f>
        <v>https://worldwide.espacenet.com/publicationDetails/biblio?II=33&amp;ND=3&amp;adjacent=true&amp;locale=en_EP&amp;FT=D&amp;date=20180615&amp;CC=CN&amp;NR=207496411U&amp;KC=U</v>
      </c>
    </row>
    <row r="1877" spans="3:5" x14ac:dyDescent="0.25">
      <c r="C1877" t="s">
        <v>3067</v>
      </c>
      <c r="D1877" t="s">
        <v>3068</v>
      </c>
      <c r="E1877" t="str">
        <f>HYPERLINK("https://worldwide.espacenet.com/publicationDetails/biblio?II=34&amp;ND=3&amp;adjacent=true&amp;locale=en_EP&amp;FT=D&amp;date=20180614&amp;CC=US&amp;NR=2018162469A1&amp;KC=A1")</f>
        <v>https://worldwide.espacenet.com/publicationDetails/biblio?II=34&amp;ND=3&amp;adjacent=true&amp;locale=en_EP&amp;FT=D&amp;date=20180614&amp;CC=US&amp;NR=2018162469A1&amp;KC=A1</v>
      </c>
    </row>
    <row r="1878" spans="3:5" x14ac:dyDescent="0.25">
      <c r="C1878" t="s">
        <v>3069</v>
      </c>
      <c r="D1878" t="s">
        <v>3070</v>
      </c>
      <c r="E1878" t="str">
        <f>HYPERLINK("https://worldwide.espacenet.com/publicationDetails/biblio?II=35&amp;ND=3&amp;adjacent=true&amp;locale=en_EP&amp;FT=D&amp;date=20180612&amp;CC=CN&amp;NR=207482047U&amp;KC=U")</f>
        <v>https://worldwide.espacenet.com/publicationDetails/biblio?II=35&amp;ND=3&amp;adjacent=true&amp;locale=en_EP&amp;FT=D&amp;date=20180612&amp;CC=CN&amp;NR=207482047U&amp;KC=U</v>
      </c>
    </row>
    <row r="1879" spans="3:5" x14ac:dyDescent="0.25">
      <c r="C1879" t="s">
        <v>3071</v>
      </c>
      <c r="D1879" t="s">
        <v>3072</v>
      </c>
      <c r="E1879" t="str">
        <f>HYPERLINK("https://worldwide.espacenet.com/publicationDetails/biblio?II=36&amp;ND=3&amp;adjacent=true&amp;locale=en_EP&amp;FT=D&amp;date=20180612&amp;CC=CN&amp;NR=108147140A&amp;KC=A")</f>
        <v>https://worldwide.espacenet.com/publicationDetails/biblio?II=36&amp;ND=3&amp;adjacent=true&amp;locale=en_EP&amp;FT=D&amp;date=20180612&amp;CC=CN&amp;NR=108147140A&amp;KC=A</v>
      </c>
    </row>
    <row r="1880" spans="3:5" x14ac:dyDescent="0.25">
      <c r="C1880" t="s">
        <v>3073</v>
      </c>
      <c r="D1880" t="s">
        <v>3074</v>
      </c>
      <c r="E1880" t="str">
        <f>HYPERLINK("https://worldwide.espacenet.com/publicationDetails/biblio?II=37&amp;ND=3&amp;adjacent=true&amp;locale=en_EP&amp;FT=D&amp;date=20180612&amp;CC=CN&amp;NR=108151837A&amp;KC=A")</f>
        <v>https://worldwide.espacenet.com/publicationDetails/biblio?II=37&amp;ND=3&amp;adjacent=true&amp;locale=en_EP&amp;FT=D&amp;date=20180612&amp;CC=CN&amp;NR=108151837A&amp;KC=A</v>
      </c>
    </row>
    <row r="1881" spans="3:5" x14ac:dyDescent="0.25">
      <c r="C1881" t="s">
        <v>3075</v>
      </c>
      <c r="D1881" t="s">
        <v>3076</v>
      </c>
      <c r="E1881" t="str">
        <f>HYPERLINK("https://worldwide.espacenet.com/publicationDetails/biblio?II=38&amp;ND=3&amp;adjacent=true&amp;locale=en_EP&amp;FT=D&amp;date=20180612&amp;CC=CN&amp;NR=108153153A&amp;KC=A")</f>
        <v>https://worldwide.espacenet.com/publicationDetails/biblio?II=38&amp;ND=3&amp;adjacent=true&amp;locale=en_EP&amp;FT=D&amp;date=20180612&amp;CC=CN&amp;NR=108153153A&amp;KC=A</v>
      </c>
    </row>
    <row r="1882" spans="3:5" x14ac:dyDescent="0.25">
      <c r="C1882" t="s">
        <v>3077</v>
      </c>
      <c r="D1882" t="s">
        <v>3078</v>
      </c>
      <c r="E1882" t="str">
        <f>HYPERLINK("https://worldwide.espacenet.com/publicationDetails/biblio?II=39&amp;ND=3&amp;adjacent=true&amp;locale=en_EP&amp;FT=D&amp;date=20180612&amp;CC=CN&amp;NR=108149086A&amp;KC=A")</f>
        <v>https://worldwide.espacenet.com/publicationDetails/biblio?II=39&amp;ND=3&amp;adjacent=true&amp;locale=en_EP&amp;FT=D&amp;date=20180612&amp;CC=CN&amp;NR=108149086A&amp;KC=A</v>
      </c>
    </row>
    <row r="1883" spans="3:5" x14ac:dyDescent="0.25">
      <c r="C1883" t="s">
        <v>3079</v>
      </c>
      <c r="D1883" t="s">
        <v>3080</v>
      </c>
      <c r="E1883" t="str">
        <f>HYPERLINK("https://worldwide.espacenet.com/publicationDetails/biblio?II=40&amp;ND=3&amp;adjacent=true&amp;locale=en_EP&amp;FT=D&amp;date=20180612&amp;CC=CN&amp;NR=108149140A&amp;KC=A")</f>
        <v>https://worldwide.espacenet.com/publicationDetails/biblio?II=40&amp;ND=3&amp;adjacent=true&amp;locale=en_EP&amp;FT=D&amp;date=20180612&amp;CC=CN&amp;NR=108149140A&amp;KC=A</v>
      </c>
    </row>
    <row r="1884" spans="3:5" x14ac:dyDescent="0.25">
      <c r="C1884" t="s">
        <v>3081</v>
      </c>
      <c r="D1884" t="s">
        <v>3082</v>
      </c>
      <c r="E1884" t="str">
        <f>HYPERLINK("https://worldwide.espacenet.com/publicationDetails/biblio?II=41&amp;ND=3&amp;adjacent=true&amp;locale=en_EP&amp;FT=D&amp;date=20180612&amp;CC=CN&amp;NR=108149151A&amp;KC=A")</f>
        <v>https://worldwide.espacenet.com/publicationDetails/biblio?II=41&amp;ND=3&amp;adjacent=true&amp;locale=en_EP&amp;FT=D&amp;date=20180612&amp;CC=CN&amp;NR=108149151A&amp;KC=A</v>
      </c>
    </row>
    <row r="1885" spans="3:5" x14ac:dyDescent="0.25">
      <c r="C1885" t="s">
        <v>3083</v>
      </c>
      <c r="D1885" t="s">
        <v>3084</v>
      </c>
      <c r="E1885" t="str">
        <f>HYPERLINK("https://worldwide.espacenet.com/publicationDetails/biblio?II=42&amp;ND=3&amp;adjacent=true&amp;locale=en_EP&amp;FT=D&amp;date=20180501&amp;CC=CN&amp;NR=207292264U&amp;KC=U")</f>
        <v>https://worldwide.espacenet.com/publicationDetails/biblio?II=42&amp;ND=3&amp;adjacent=true&amp;locale=en_EP&amp;FT=D&amp;date=20180501&amp;CC=CN&amp;NR=207292264U&amp;KC=U</v>
      </c>
    </row>
    <row r="1886" spans="3:5" x14ac:dyDescent="0.25">
      <c r="C1886" t="s">
        <v>3085</v>
      </c>
      <c r="D1886" t="s">
        <v>3086</v>
      </c>
      <c r="E1886" t="str">
        <f>HYPERLINK("https://worldwide.espacenet.com/publicationDetails/biblio?II=43&amp;ND=3&amp;adjacent=true&amp;locale=en_EP&amp;FT=D&amp;date=20180608&amp;CC=CN&amp;NR=108127693A&amp;KC=A")</f>
        <v>https://worldwide.espacenet.com/publicationDetails/biblio?II=43&amp;ND=3&amp;adjacent=true&amp;locale=en_EP&amp;FT=D&amp;date=20180608&amp;CC=CN&amp;NR=108127693A&amp;KC=A</v>
      </c>
    </row>
    <row r="1887" spans="3:5" x14ac:dyDescent="0.25">
      <c r="C1887" t="s">
        <v>3087</v>
      </c>
      <c r="D1887" t="s">
        <v>3088</v>
      </c>
      <c r="E1887" t="str">
        <f>HYPERLINK("https://worldwide.espacenet.com/publicationDetails/biblio?II=44&amp;ND=3&amp;adjacent=true&amp;locale=en_EP&amp;FT=D&amp;date=20180525&amp;CC=CN&amp;NR=207403829U&amp;KC=U")</f>
        <v>https://worldwide.espacenet.com/publicationDetails/biblio?II=44&amp;ND=3&amp;adjacent=true&amp;locale=en_EP&amp;FT=D&amp;date=20180525&amp;CC=CN&amp;NR=207403829U&amp;KC=U</v>
      </c>
    </row>
    <row r="1888" spans="3:5" x14ac:dyDescent="0.25">
      <c r="C1888" t="s">
        <v>3089</v>
      </c>
      <c r="D1888" t="s">
        <v>3090</v>
      </c>
      <c r="E1888" t="str">
        <f>HYPERLINK("https://worldwide.espacenet.com/publicationDetails/biblio?II=45&amp;ND=3&amp;adjacent=true&amp;locale=en_EP&amp;FT=D&amp;date=20180608&amp;CC=CN&amp;NR=108132601A&amp;KC=A")</f>
        <v>https://worldwide.espacenet.com/publicationDetails/biblio?II=45&amp;ND=3&amp;adjacent=true&amp;locale=en_EP&amp;FT=D&amp;date=20180608&amp;CC=CN&amp;NR=108132601A&amp;KC=A</v>
      </c>
    </row>
    <row r="1889" spans="3:5" x14ac:dyDescent="0.25">
      <c r="C1889" t="s">
        <v>3091</v>
      </c>
      <c r="D1889" t="s">
        <v>3092</v>
      </c>
      <c r="E1889" t="str">
        <f>HYPERLINK("https://worldwide.espacenet.com/publicationDetails/biblio?II=46&amp;ND=3&amp;adjacent=true&amp;locale=en_EP&amp;FT=D&amp;date=20180608&amp;CC=CN&amp;NR=108130452A&amp;KC=A")</f>
        <v>https://worldwide.espacenet.com/publicationDetails/biblio?II=46&amp;ND=3&amp;adjacent=true&amp;locale=en_EP&amp;FT=D&amp;date=20180608&amp;CC=CN&amp;NR=108130452A&amp;KC=A</v>
      </c>
    </row>
    <row r="1890" spans="3:5" x14ac:dyDescent="0.25">
      <c r="C1890" t="s">
        <v>3093</v>
      </c>
      <c r="D1890" t="s">
        <v>3094</v>
      </c>
      <c r="E1890" t="str">
        <f>HYPERLINK("https://worldwide.espacenet.com/publicationDetails/biblio?II=47&amp;ND=3&amp;adjacent=true&amp;locale=en_EP&amp;FT=D&amp;date=20180508&amp;CC=CN&amp;NR=207328793U&amp;KC=U")</f>
        <v>https://worldwide.espacenet.com/publicationDetails/biblio?II=47&amp;ND=3&amp;adjacent=true&amp;locale=en_EP&amp;FT=D&amp;date=20180508&amp;CC=CN&amp;NR=207328793U&amp;KC=U</v>
      </c>
    </row>
    <row r="1891" spans="3:5" x14ac:dyDescent="0.25">
      <c r="C1891" t="s">
        <v>3095</v>
      </c>
      <c r="D1891" t="s">
        <v>3096</v>
      </c>
      <c r="E1891" t="str">
        <f>HYPERLINK("https://worldwide.espacenet.com/publicationDetails/biblio?II=48&amp;ND=3&amp;adjacent=true&amp;locale=en_EP&amp;FT=D&amp;date=20180508&amp;CC=CN&amp;NR=207337540U&amp;KC=U")</f>
        <v>https://worldwide.espacenet.com/publicationDetails/biblio?II=48&amp;ND=3&amp;adjacent=true&amp;locale=en_EP&amp;FT=D&amp;date=20180508&amp;CC=CN&amp;NR=207337540U&amp;KC=U</v>
      </c>
    </row>
    <row r="1892" spans="3:5" x14ac:dyDescent="0.25">
      <c r="C1892" t="s">
        <v>3097</v>
      </c>
      <c r="D1892" t="s">
        <v>3098</v>
      </c>
      <c r="E1892" t="str">
        <f>HYPERLINK("https://worldwide.espacenet.com/publicationDetails/biblio?II=49&amp;ND=3&amp;adjacent=true&amp;locale=en_EP&amp;FT=D&amp;date=20180508&amp;CC=CN&amp;NR=207327009U&amp;KC=U")</f>
        <v>https://worldwide.espacenet.com/publicationDetails/biblio?II=49&amp;ND=3&amp;adjacent=true&amp;locale=en_EP&amp;FT=D&amp;date=20180508&amp;CC=CN&amp;NR=207327009U&amp;KC=U</v>
      </c>
    </row>
    <row r="1893" spans="3:5" x14ac:dyDescent="0.25">
      <c r="C1893" t="s">
        <v>3099</v>
      </c>
      <c r="D1893" t="s">
        <v>3100</v>
      </c>
      <c r="E1893" t="str">
        <f>HYPERLINK("https://worldwide.espacenet.com/publicationDetails/biblio?II=50&amp;ND=3&amp;adjacent=true&amp;locale=en_EP&amp;FT=D&amp;date=20180511&amp;CC=CN&amp;NR=207345966U&amp;KC=U")</f>
        <v>https://worldwide.espacenet.com/publicationDetails/biblio?II=50&amp;ND=3&amp;adjacent=true&amp;locale=en_EP&amp;FT=D&amp;date=20180511&amp;CC=CN&amp;NR=207345966U&amp;KC=U</v>
      </c>
    </row>
    <row r="1894" spans="3:5" x14ac:dyDescent="0.25">
      <c r="C1894" t="s">
        <v>3101</v>
      </c>
      <c r="D1894" t="s">
        <v>3102</v>
      </c>
      <c r="E1894" t="str">
        <f>HYPERLINK("https://worldwide.espacenet.com/publicationDetails/biblio?II=51&amp;ND=3&amp;adjacent=true&amp;locale=en_EP&amp;FT=D&amp;date=20180511&amp;CC=CN&amp;NR=207345968U&amp;KC=U")</f>
        <v>https://worldwide.espacenet.com/publicationDetails/biblio?II=51&amp;ND=3&amp;adjacent=true&amp;locale=en_EP&amp;FT=D&amp;date=20180511&amp;CC=CN&amp;NR=207345968U&amp;KC=U</v>
      </c>
    </row>
    <row r="1895" spans="3:5" x14ac:dyDescent="0.25">
      <c r="C1895" t="s">
        <v>3103</v>
      </c>
      <c r="D1895" t="s">
        <v>3104</v>
      </c>
      <c r="E1895" t="str">
        <f>HYPERLINK("https://worldwide.espacenet.com/publicationDetails/biblio?II=52&amp;ND=3&amp;adjacent=true&amp;locale=en_EP&amp;FT=D&amp;date=20180511&amp;CC=CN&amp;NR=207344586U&amp;KC=U")</f>
        <v>https://worldwide.espacenet.com/publicationDetails/biblio?II=52&amp;ND=3&amp;adjacent=true&amp;locale=en_EP&amp;FT=D&amp;date=20180511&amp;CC=CN&amp;NR=207344586U&amp;KC=U</v>
      </c>
    </row>
    <row r="1896" spans="3:5" x14ac:dyDescent="0.25">
      <c r="C1896" t="s">
        <v>3105</v>
      </c>
      <c r="D1896" t="s">
        <v>3106</v>
      </c>
      <c r="E1896" t="str">
        <f>HYPERLINK("https://worldwide.espacenet.com/publicationDetails/biblio?II=53&amp;ND=3&amp;adjacent=true&amp;locale=en_EP&amp;FT=D&amp;date=20180515&amp;CC=CN&amp;NR=207359114U&amp;KC=U")</f>
        <v>https://worldwide.espacenet.com/publicationDetails/biblio?II=53&amp;ND=3&amp;adjacent=true&amp;locale=en_EP&amp;FT=D&amp;date=20180515&amp;CC=CN&amp;NR=207359114U&amp;KC=U</v>
      </c>
    </row>
    <row r="1897" spans="3:5" x14ac:dyDescent="0.25">
      <c r="C1897" t="s">
        <v>3107</v>
      </c>
      <c r="D1897" t="s">
        <v>3108</v>
      </c>
      <c r="E1897" t="str">
        <f>HYPERLINK("https://worldwide.espacenet.com/publicationDetails/biblio?II=54&amp;ND=3&amp;adjacent=true&amp;locale=en_EP&amp;FT=D&amp;date=20180518&amp;CC=CN&amp;NR=207373168U&amp;KC=U")</f>
        <v>https://worldwide.espacenet.com/publicationDetails/biblio?II=54&amp;ND=3&amp;adjacent=true&amp;locale=en_EP&amp;FT=D&amp;date=20180518&amp;CC=CN&amp;NR=207373168U&amp;KC=U</v>
      </c>
    </row>
    <row r="1898" spans="3:5" x14ac:dyDescent="0.25">
      <c r="C1898" t="s">
        <v>3109</v>
      </c>
      <c r="D1898" t="s">
        <v>3110</v>
      </c>
      <c r="E1898" t="str">
        <f>HYPERLINK("https://worldwide.espacenet.com/publicationDetails/biblio?II=55&amp;ND=3&amp;adjacent=true&amp;locale=en_EP&amp;FT=D&amp;date=20180518&amp;CC=CN&amp;NR=207374539U&amp;KC=U")</f>
        <v>https://worldwide.espacenet.com/publicationDetails/biblio?II=55&amp;ND=3&amp;adjacent=true&amp;locale=en_EP&amp;FT=D&amp;date=20180518&amp;CC=CN&amp;NR=207374539U&amp;KC=U</v>
      </c>
    </row>
    <row r="1899" spans="3:5" x14ac:dyDescent="0.25">
      <c r="C1899" t="s">
        <v>3111</v>
      </c>
      <c r="D1899" t="s">
        <v>3112</v>
      </c>
      <c r="E1899" t="str">
        <f>HYPERLINK("https://worldwide.espacenet.com/publicationDetails/biblio?II=56&amp;ND=3&amp;adjacent=true&amp;locale=en_EP&amp;FT=D&amp;date=20180518&amp;CC=CN&amp;NR=207373152U&amp;KC=U")</f>
        <v>https://worldwide.espacenet.com/publicationDetails/biblio?II=56&amp;ND=3&amp;adjacent=true&amp;locale=en_EP&amp;FT=D&amp;date=20180518&amp;CC=CN&amp;NR=207373152U&amp;KC=U</v>
      </c>
    </row>
    <row r="1900" spans="3:5" x14ac:dyDescent="0.25">
      <c r="C1900" t="s">
        <v>3113</v>
      </c>
      <c r="D1900" t="s">
        <v>3114</v>
      </c>
      <c r="E1900" t="str">
        <f>HYPERLINK("https://worldwide.espacenet.com/publicationDetails/biblio?II=57&amp;ND=3&amp;adjacent=true&amp;locale=en_EP&amp;FT=D&amp;date=20180518&amp;CC=CN&amp;NR=207373185U&amp;KC=U")</f>
        <v>https://worldwide.espacenet.com/publicationDetails/biblio?II=57&amp;ND=3&amp;adjacent=true&amp;locale=en_EP&amp;FT=D&amp;date=20180518&amp;CC=CN&amp;NR=207373185U&amp;KC=U</v>
      </c>
    </row>
    <row r="1901" spans="3:5" x14ac:dyDescent="0.25">
      <c r="C1901" t="s">
        <v>3115</v>
      </c>
      <c r="D1901" t="s">
        <v>3116</v>
      </c>
      <c r="E1901" t="str">
        <f>HYPERLINK("https://worldwide.espacenet.com/publicationDetails/biblio?II=58&amp;ND=3&amp;adjacent=true&amp;locale=en_EP&amp;FT=D&amp;date=20180525&amp;CC=CN&amp;NR=207403833U&amp;KC=U")</f>
        <v>https://worldwide.espacenet.com/publicationDetails/biblio?II=58&amp;ND=3&amp;adjacent=true&amp;locale=en_EP&amp;FT=D&amp;date=20180525&amp;CC=CN&amp;NR=207403833U&amp;KC=U</v>
      </c>
    </row>
    <row r="1902" spans="3:5" x14ac:dyDescent="0.25">
      <c r="C1902" t="s">
        <v>3117</v>
      </c>
      <c r="D1902" t="s">
        <v>3118</v>
      </c>
      <c r="E1902" t="str">
        <f>HYPERLINK("https://worldwide.espacenet.com/publicationDetails/biblio?II=59&amp;ND=3&amp;adjacent=true&amp;locale=en_EP&amp;FT=D&amp;date=20180525&amp;CC=CN&amp;NR=207402811U&amp;KC=U")</f>
        <v>https://worldwide.espacenet.com/publicationDetails/biblio?II=59&amp;ND=3&amp;adjacent=true&amp;locale=en_EP&amp;FT=D&amp;date=20180525&amp;CC=CN&amp;NR=207402811U&amp;KC=U</v>
      </c>
    </row>
    <row r="1903" spans="3:5" x14ac:dyDescent="0.25">
      <c r="C1903" t="s">
        <v>3119</v>
      </c>
      <c r="D1903" t="s">
        <v>3120</v>
      </c>
      <c r="E1903" t="str">
        <f>HYPERLINK("https://worldwide.espacenet.com/publicationDetails/biblio?II=60&amp;ND=3&amp;adjacent=true&amp;locale=en_EP&amp;FT=D&amp;date=20180529&amp;CC=CN&amp;NR=207417000U&amp;KC=U")</f>
        <v>https://worldwide.espacenet.com/publicationDetails/biblio?II=60&amp;ND=3&amp;adjacent=true&amp;locale=en_EP&amp;FT=D&amp;date=20180529&amp;CC=CN&amp;NR=207417000U&amp;KC=U</v>
      </c>
    </row>
    <row r="1904" spans="3:5" x14ac:dyDescent="0.25">
      <c r="C1904" t="s">
        <v>3119</v>
      </c>
      <c r="D1904" t="s">
        <v>3121</v>
      </c>
      <c r="E1904" t="str">
        <f>HYPERLINK("https://worldwide.espacenet.com/publicationDetails/biblio?II=61&amp;ND=3&amp;adjacent=true&amp;locale=en_EP&amp;FT=D&amp;date=20180529&amp;CC=CN&amp;NR=207417002U&amp;KC=U")</f>
        <v>https://worldwide.espacenet.com/publicationDetails/biblio?II=61&amp;ND=3&amp;adjacent=true&amp;locale=en_EP&amp;FT=D&amp;date=20180529&amp;CC=CN&amp;NR=207417002U&amp;KC=U</v>
      </c>
    </row>
    <row r="1905" spans="3:5" x14ac:dyDescent="0.25">
      <c r="C1905" t="s">
        <v>207</v>
      </c>
      <c r="D1905" t="s">
        <v>208</v>
      </c>
      <c r="E1905" t="str">
        <f>HYPERLINK("https://worldwide.espacenet.com/publicationDetails/biblio?II=62&amp;ND=3&amp;adjacent=true&amp;locale=en_EP&amp;FT=D&amp;date=20180529&amp;CC=CN&amp;NR=207424595U&amp;KC=U")</f>
        <v>https://worldwide.espacenet.com/publicationDetails/biblio?II=62&amp;ND=3&amp;adjacent=true&amp;locale=en_EP&amp;FT=D&amp;date=20180529&amp;CC=CN&amp;NR=207424595U&amp;KC=U</v>
      </c>
    </row>
    <row r="1906" spans="3:5" x14ac:dyDescent="0.25">
      <c r="C1906" t="s">
        <v>3122</v>
      </c>
      <c r="D1906" t="s">
        <v>3123</v>
      </c>
      <c r="E1906" t="str">
        <f>HYPERLINK("https://worldwide.espacenet.com/publicationDetails/biblio?II=63&amp;ND=3&amp;adjacent=true&amp;locale=en_EP&amp;FT=D&amp;date=20180601&amp;CC=CN&amp;NR=207432239U&amp;KC=U")</f>
        <v>https://worldwide.espacenet.com/publicationDetails/biblio?II=63&amp;ND=3&amp;adjacent=true&amp;locale=en_EP&amp;FT=D&amp;date=20180601&amp;CC=CN&amp;NR=207432239U&amp;KC=U</v>
      </c>
    </row>
    <row r="1907" spans="3:5" x14ac:dyDescent="0.25">
      <c r="C1907" t="s">
        <v>213</v>
      </c>
      <c r="D1907" t="s">
        <v>214</v>
      </c>
      <c r="E1907" t="str">
        <f>HYPERLINK("https://worldwide.espacenet.com/publicationDetails/biblio?II=64&amp;ND=3&amp;adjacent=true&amp;locale=en_EP&amp;FT=D&amp;date=20180601&amp;CC=CN&amp;NR=207433675U&amp;KC=U")</f>
        <v>https://worldwide.espacenet.com/publicationDetails/biblio?II=64&amp;ND=3&amp;adjacent=true&amp;locale=en_EP&amp;FT=D&amp;date=20180601&amp;CC=CN&amp;NR=207433675U&amp;KC=U</v>
      </c>
    </row>
    <row r="1908" spans="3:5" x14ac:dyDescent="0.25">
      <c r="C1908" t="s">
        <v>3124</v>
      </c>
      <c r="D1908" t="s">
        <v>3125</v>
      </c>
      <c r="E1908" t="str">
        <f>HYPERLINK("https://worldwide.espacenet.com/publicationDetails/biblio?II=65&amp;ND=3&amp;adjacent=true&amp;locale=en_EP&amp;FT=D&amp;date=20180501&amp;CC=CN&amp;NR=207300168U&amp;KC=U")</f>
        <v>https://worldwide.espacenet.com/publicationDetails/biblio?II=65&amp;ND=3&amp;adjacent=true&amp;locale=en_EP&amp;FT=D&amp;date=20180501&amp;CC=CN&amp;NR=207300168U&amp;KC=U</v>
      </c>
    </row>
    <row r="1909" spans="3:5" x14ac:dyDescent="0.25">
      <c r="C1909" t="s">
        <v>3126</v>
      </c>
      <c r="D1909" t="s">
        <v>3127</v>
      </c>
      <c r="E1909" t="str">
        <f>HYPERLINK("https://worldwide.espacenet.com/publicationDetails/biblio?II=66&amp;ND=3&amp;adjacent=true&amp;locale=en_EP&amp;FT=D&amp;date=20180605&amp;CC=CN&amp;NR=108116642A&amp;KC=A")</f>
        <v>https://worldwide.espacenet.com/publicationDetails/biblio?II=66&amp;ND=3&amp;adjacent=true&amp;locale=en_EP&amp;FT=D&amp;date=20180605&amp;CC=CN&amp;NR=108116642A&amp;KC=A</v>
      </c>
    </row>
    <row r="1910" spans="3:5" x14ac:dyDescent="0.25">
      <c r="C1910" t="s">
        <v>3128</v>
      </c>
      <c r="D1910" t="s">
        <v>3129</v>
      </c>
      <c r="E1910" t="str">
        <f>HYPERLINK("https://worldwide.espacenet.com/publicationDetails/biblio?II=67&amp;ND=3&amp;adjacent=true&amp;locale=en_EP&amp;FT=D&amp;date=20180605&amp;CC=CN&amp;NR=108113681A&amp;KC=A")</f>
        <v>https://worldwide.espacenet.com/publicationDetails/biblio?II=67&amp;ND=3&amp;adjacent=true&amp;locale=en_EP&amp;FT=D&amp;date=20180605&amp;CC=CN&amp;NR=108113681A&amp;KC=A</v>
      </c>
    </row>
    <row r="1911" spans="3:5" x14ac:dyDescent="0.25">
      <c r="C1911" t="s">
        <v>3130</v>
      </c>
      <c r="D1911" t="s">
        <v>3131</v>
      </c>
      <c r="E1911" t="str">
        <f>HYPERLINK("https://worldwide.espacenet.com/publicationDetails/biblio?II=68&amp;ND=3&amp;adjacent=true&amp;locale=en_EP&amp;FT=D&amp;date=20180601&amp;CC=CN&amp;NR=108096794A&amp;KC=A")</f>
        <v>https://worldwide.espacenet.com/publicationDetails/biblio?II=68&amp;ND=3&amp;adjacent=true&amp;locale=en_EP&amp;FT=D&amp;date=20180601&amp;CC=CN&amp;NR=108096794A&amp;KC=A</v>
      </c>
    </row>
    <row r="1912" spans="3:5" x14ac:dyDescent="0.25">
      <c r="C1912" t="s">
        <v>3132</v>
      </c>
      <c r="D1912" t="s">
        <v>3133</v>
      </c>
      <c r="E1912" t="str">
        <f>HYPERLINK("https://worldwide.espacenet.com/publicationDetails/biblio?II=69&amp;ND=3&amp;adjacent=true&amp;locale=en_EP&amp;FT=D&amp;date=20180601&amp;CC=CN&amp;NR=108110713A&amp;KC=A")</f>
        <v>https://worldwide.espacenet.com/publicationDetails/biblio?II=69&amp;ND=3&amp;adjacent=true&amp;locale=en_EP&amp;FT=D&amp;date=20180601&amp;CC=CN&amp;NR=108110713A&amp;KC=A</v>
      </c>
    </row>
    <row r="1913" spans="3:5" x14ac:dyDescent="0.25">
      <c r="C1913" t="s">
        <v>3134</v>
      </c>
      <c r="D1913" t="s">
        <v>3135</v>
      </c>
      <c r="E1913" t="str">
        <f>HYPERLINK("https://worldwide.espacenet.com/publicationDetails/biblio?II=70&amp;ND=3&amp;adjacent=true&amp;locale=en_EP&amp;FT=D&amp;date=20180601&amp;CC=CN&amp;NR=108098439A&amp;KC=A")</f>
        <v>https://worldwide.espacenet.com/publicationDetails/biblio?II=70&amp;ND=3&amp;adjacent=true&amp;locale=en_EP&amp;FT=D&amp;date=20180601&amp;CC=CN&amp;NR=108098439A&amp;KC=A</v>
      </c>
    </row>
    <row r="1914" spans="3:5" x14ac:dyDescent="0.25">
      <c r="C1914" t="s">
        <v>3136</v>
      </c>
      <c r="D1914" t="s">
        <v>3137</v>
      </c>
      <c r="E1914" t="str">
        <f>HYPERLINK("https://worldwide.espacenet.com/publicationDetails/biblio?II=71&amp;ND=3&amp;adjacent=true&amp;locale=en_EP&amp;FT=D&amp;date=20180601&amp;CC=CN&amp;NR=108098754A&amp;KC=A")</f>
        <v>https://worldwide.espacenet.com/publicationDetails/biblio?II=71&amp;ND=3&amp;adjacent=true&amp;locale=en_EP&amp;FT=D&amp;date=20180601&amp;CC=CN&amp;NR=108098754A&amp;KC=A</v>
      </c>
    </row>
    <row r="1915" spans="3:5" x14ac:dyDescent="0.25">
      <c r="C1915" t="s">
        <v>3138</v>
      </c>
      <c r="D1915" t="s">
        <v>3139</v>
      </c>
      <c r="E1915" t="str">
        <f>HYPERLINK("https://worldwide.espacenet.com/publicationDetails/biblio?II=72&amp;ND=3&amp;adjacent=true&amp;locale=en_EP&amp;FT=D&amp;date=20180601&amp;CC=CN&amp;NR=108107192A&amp;KC=A")</f>
        <v>https://worldwide.espacenet.com/publicationDetails/biblio?II=72&amp;ND=3&amp;adjacent=true&amp;locale=en_EP&amp;FT=D&amp;date=20180601&amp;CC=CN&amp;NR=108107192A&amp;KC=A</v>
      </c>
    </row>
    <row r="1916" spans="3:5" x14ac:dyDescent="0.25">
      <c r="C1916" t="s">
        <v>3140</v>
      </c>
      <c r="D1916" t="s">
        <v>3141</v>
      </c>
      <c r="E1916" t="str">
        <f>HYPERLINK("https://worldwide.espacenet.com/publicationDetails/biblio?II=73&amp;ND=3&amp;adjacent=true&amp;locale=en_EP&amp;FT=D&amp;date=20180529&amp;CC=CN&amp;NR=108081289A&amp;KC=A")</f>
        <v>https://worldwide.espacenet.com/publicationDetails/biblio?II=73&amp;ND=3&amp;adjacent=true&amp;locale=en_EP&amp;FT=D&amp;date=20180529&amp;CC=CN&amp;NR=108081289A&amp;KC=A</v>
      </c>
    </row>
    <row r="1917" spans="3:5" x14ac:dyDescent="0.25">
      <c r="C1917" t="s">
        <v>3142</v>
      </c>
      <c r="D1917" t="s">
        <v>3143</v>
      </c>
      <c r="E1917" t="str">
        <f>HYPERLINK("https://worldwide.espacenet.com/publicationDetails/biblio?II=74&amp;ND=3&amp;adjacent=true&amp;locale=en_EP&amp;FT=D&amp;date=20180529&amp;CC=CN&amp;NR=108081278A&amp;KC=A")</f>
        <v>https://worldwide.espacenet.com/publicationDetails/biblio?II=74&amp;ND=3&amp;adjacent=true&amp;locale=en_EP&amp;FT=D&amp;date=20180529&amp;CC=CN&amp;NR=108081278A&amp;KC=A</v>
      </c>
    </row>
    <row r="1918" spans="3:5" x14ac:dyDescent="0.25">
      <c r="C1918" t="s">
        <v>3144</v>
      </c>
      <c r="D1918" t="s">
        <v>3145</v>
      </c>
      <c r="E1918" t="str">
        <f>HYPERLINK("https://worldwide.espacenet.com/publicationDetails/biblio?II=75&amp;ND=3&amp;adjacent=true&amp;locale=en_EP&amp;FT=D&amp;date=20180529&amp;CC=CN&amp;NR=108082436A&amp;KC=A")</f>
        <v>https://worldwide.espacenet.com/publicationDetails/biblio?II=75&amp;ND=3&amp;adjacent=true&amp;locale=en_EP&amp;FT=D&amp;date=20180529&amp;CC=CN&amp;NR=108082436A&amp;KC=A</v>
      </c>
    </row>
    <row r="1919" spans="3:5" x14ac:dyDescent="0.25">
      <c r="C1919" t="s">
        <v>3146</v>
      </c>
      <c r="D1919" t="s">
        <v>3147</v>
      </c>
      <c r="E1919" t="str">
        <f>HYPERLINK("https://worldwide.espacenet.com/publicationDetails/biblio?II=76&amp;ND=3&amp;adjacent=true&amp;locale=en_EP&amp;FT=D&amp;date=20180529&amp;CC=CN&amp;NR=108082306A&amp;KC=A")</f>
        <v>https://worldwide.espacenet.com/publicationDetails/biblio?II=76&amp;ND=3&amp;adjacent=true&amp;locale=en_EP&amp;FT=D&amp;date=20180529&amp;CC=CN&amp;NR=108082306A&amp;KC=A</v>
      </c>
    </row>
    <row r="1920" spans="3:5" x14ac:dyDescent="0.25">
      <c r="C1920" t="s">
        <v>3148</v>
      </c>
      <c r="D1920" t="s">
        <v>3149</v>
      </c>
      <c r="E1920" t="str">
        <f>HYPERLINK("https://worldwide.espacenet.com/publicationDetails/biblio?II=77&amp;ND=3&amp;adjacent=true&amp;locale=en_EP&amp;FT=D&amp;date=20180525&amp;CC=CN&amp;NR=108070738A&amp;KC=A")</f>
        <v>https://worldwide.espacenet.com/publicationDetails/biblio?II=77&amp;ND=3&amp;adjacent=true&amp;locale=en_EP&amp;FT=D&amp;date=20180525&amp;CC=CN&amp;NR=108070738A&amp;KC=A</v>
      </c>
    </row>
    <row r="1921" spans="3:5" x14ac:dyDescent="0.25">
      <c r="C1921" t="s">
        <v>3150</v>
      </c>
      <c r="D1921" t="s">
        <v>3151</v>
      </c>
      <c r="E1921" t="str">
        <f>HYPERLINK("https://worldwide.espacenet.com/publicationDetails/biblio?II=78&amp;ND=3&amp;adjacent=true&amp;locale=en_EP&amp;FT=D&amp;date=20180522&amp;CC=CN&amp;NR=108058157A&amp;KC=A")</f>
        <v>https://worldwide.espacenet.com/publicationDetails/biblio?II=78&amp;ND=3&amp;adjacent=true&amp;locale=en_EP&amp;FT=D&amp;date=20180522&amp;CC=CN&amp;NR=108058157A&amp;KC=A</v>
      </c>
    </row>
    <row r="1922" spans="3:5" x14ac:dyDescent="0.25">
      <c r="C1922" t="s">
        <v>3152</v>
      </c>
      <c r="D1922" t="s">
        <v>3153</v>
      </c>
      <c r="E1922" t="str">
        <f>HYPERLINK("https://worldwide.espacenet.com/publicationDetails/biblio?II=79&amp;ND=3&amp;adjacent=true&amp;locale=en_EP&amp;FT=D&amp;date=20180518&amp;CC=CN&amp;NR=108045970A&amp;KC=A")</f>
        <v>https://worldwide.espacenet.com/publicationDetails/biblio?II=79&amp;ND=3&amp;adjacent=true&amp;locale=en_EP&amp;FT=D&amp;date=20180518&amp;CC=CN&amp;NR=108045970A&amp;KC=A</v>
      </c>
    </row>
    <row r="1923" spans="3:5" x14ac:dyDescent="0.25">
      <c r="C1923" t="s">
        <v>3154</v>
      </c>
      <c r="D1923" t="s">
        <v>3155</v>
      </c>
      <c r="E1923" t="str">
        <f>HYPERLINK("https://worldwide.espacenet.com/publicationDetails/biblio?II=80&amp;ND=3&amp;adjacent=true&amp;locale=en_EP&amp;FT=D&amp;date=20180515&amp;CC=CN&amp;NR=108032919A&amp;KC=A")</f>
        <v>https://worldwide.espacenet.com/publicationDetails/biblio?II=80&amp;ND=3&amp;adjacent=true&amp;locale=en_EP&amp;FT=D&amp;date=20180515&amp;CC=CN&amp;NR=108032919A&amp;KC=A</v>
      </c>
    </row>
    <row r="1924" spans="3:5" x14ac:dyDescent="0.25">
      <c r="C1924" t="s">
        <v>3156</v>
      </c>
      <c r="D1924" t="s">
        <v>3157</v>
      </c>
      <c r="E1924" t="str">
        <f>HYPERLINK("https://worldwide.espacenet.com/publicationDetails/biblio?II=81&amp;ND=3&amp;adjacent=true&amp;locale=en_EP&amp;FT=D&amp;date=20180515&amp;CC=CN&amp;NR=108039383A&amp;KC=A")</f>
        <v>https://worldwide.espacenet.com/publicationDetails/biblio?II=81&amp;ND=3&amp;adjacent=true&amp;locale=en_EP&amp;FT=D&amp;date=20180515&amp;CC=CN&amp;NR=108039383A&amp;KC=A</v>
      </c>
    </row>
    <row r="1925" spans="3:5" x14ac:dyDescent="0.25">
      <c r="C1925" t="s">
        <v>3158</v>
      </c>
      <c r="D1925" t="s">
        <v>3159</v>
      </c>
      <c r="E1925" t="str">
        <f>HYPERLINK("https://worldwide.espacenet.com/publicationDetails/biblio?II=82&amp;ND=3&amp;adjacent=true&amp;locale=en_EP&amp;FT=D&amp;date=20180515&amp;CC=CN&amp;NR=108032292A&amp;KC=A")</f>
        <v>https://worldwide.espacenet.com/publicationDetails/biblio?II=82&amp;ND=3&amp;adjacent=true&amp;locale=en_EP&amp;FT=D&amp;date=20180515&amp;CC=CN&amp;NR=108032292A&amp;KC=A</v>
      </c>
    </row>
    <row r="1926" spans="3:5" x14ac:dyDescent="0.25">
      <c r="C1926" t="s">
        <v>3160</v>
      </c>
      <c r="D1926" t="s">
        <v>3161</v>
      </c>
      <c r="E1926" t="str">
        <f>HYPERLINK("https://worldwide.espacenet.com/publicationDetails/biblio?II=83&amp;ND=3&amp;adjacent=true&amp;locale=en_EP&amp;FT=D&amp;date=20180515&amp;CC=CN&amp;NR=108037758A&amp;KC=A")</f>
        <v>https://worldwide.espacenet.com/publicationDetails/biblio?II=83&amp;ND=3&amp;adjacent=true&amp;locale=en_EP&amp;FT=D&amp;date=20180515&amp;CC=CN&amp;NR=108037758A&amp;KC=A</v>
      </c>
    </row>
    <row r="1927" spans="3:5" x14ac:dyDescent="0.25">
      <c r="C1927" t="s">
        <v>3162</v>
      </c>
      <c r="D1927" t="s">
        <v>3163</v>
      </c>
      <c r="E1927" t="str">
        <f>HYPERLINK("https://worldwide.espacenet.com/publicationDetails/biblio?II=84&amp;ND=3&amp;adjacent=true&amp;locale=en_EP&amp;FT=D&amp;date=20180515&amp;CC=CN&amp;NR=108034861A&amp;KC=A")</f>
        <v>https://worldwide.espacenet.com/publicationDetails/biblio?II=84&amp;ND=3&amp;adjacent=true&amp;locale=en_EP&amp;FT=D&amp;date=20180515&amp;CC=CN&amp;NR=108034861A&amp;KC=A</v>
      </c>
    </row>
    <row r="1928" spans="3:5" x14ac:dyDescent="0.25">
      <c r="C1928" t="s">
        <v>3164</v>
      </c>
      <c r="D1928" t="s">
        <v>3165</v>
      </c>
      <c r="E1928" t="str">
        <f>HYPERLINK("https://worldwide.espacenet.com/publicationDetails/biblio?II=85&amp;ND=3&amp;adjacent=true&amp;locale=en_EP&amp;FT=D&amp;date=20180511&amp;CC=CN&amp;NR=108015807A&amp;KC=A")</f>
        <v>https://worldwide.espacenet.com/publicationDetails/biblio?II=85&amp;ND=3&amp;adjacent=true&amp;locale=en_EP&amp;FT=D&amp;date=20180511&amp;CC=CN&amp;NR=108015807A&amp;KC=A</v>
      </c>
    </row>
    <row r="1929" spans="3:5" x14ac:dyDescent="0.25">
      <c r="C1929" t="s">
        <v>3166</v>
      </c>
      <c r="D1929" t="s">
        <v>3167</v>
      </c>
      <c r="E1929" t="str">
        <f>HYPERLINK("https://worldwide.espacenet.com/publicationDetails/biblio?II=86&amp;ND=3&amp;adjacent=true&amp;locale=en_EP&amp;FT=D&amp;date=20180508&amp;CC=CN&amp;NR=108000556A&amp;KC=A")</f>
        <v>https://worldwide.espacenet.com/publicationDetails/biblio?II=86&amp;ND=3&amp;adjacent=true&amp;locale=en_EP&amp;FT=D&amp;date=20180508&amp;CC=CN&amp;NR=108000556A&amp;KC=A</v>
      </c>
    </row>
    <row r="1930" spans="3:5" x14ac:dyDescent="0.25">
      <c r="C1930" t="s">
        <v>3168</v>
      </c>
      <c r="D1930" t="s">
        <v>3169</v>
      </c>
      <c r="E1930" t="str">
        <f>HYPERLINK("https://worldwide.espacenet.com/publicationDetails/biblio?II=87&amp;ND=3&amp;adjacent=true&amp;locale=en_EP&amp;FT=D&amp;date=20180504&amp;CC=CN&amp;NR=107992060A&amp;KC=A")</f>
        <v>https://worldwide.espacenet.com/publicationDetails/biblio?II=87&amp;ND=3&amp;adjacent=true&amp;locale=en_EP&amp;FT=D&amp;date=20180504&amp;CC=CN&amp;NR=107992060A&amp;KC=A</v>
      </c>
    </row>
    <row r="1931" spans="3:5" x14ac:dyDescent="0.25">
      <c r="C1931" t="s">
        <v>3170</v>
      </c>
      <c r="D1931" t="s">
        <v>3171</v>
      </c>
      <c r="E1931" t="str">
        <f>HYPERLINK("https://worldwide.espacenet.com/publicationDetails/biblio?II=88&amp;ND=3&amp;adjacent=true&amp;locale=en_EP&amp;FT=D&amp;date=20180504&amp;CC=CN&amp;NR=107994504A&amp;KC=A")</f>
        <v>https://worldwide.espacenet.com/publicationDetails/biblio?II=88&amp;ND=3&amp;adjacent=true&amp;locale=en_EP&amp;FT=D&amp;date=20180504&amp;CC=CN&amp;NR=107994504A&amp;KC=A</v>
      </c>
    </row>
    <row r="1932" spans="3:5" x14ac:dyDescent="0.25">
      <c r="C1932" t="s">
        <v>3172</v>
      </c>
      <c r="D1932" t="s">
        <v>3173</v>
      </c>
      <c r="E1932" t="str">
        <f>HYPERLINK("https://worldwide.espacenet.com/publicationDetails/biblio?II=89&amp;ND=3&amp;adjacent=true&amp;locale=en_EP&amp;FT=D&amp;date=20180427&amp;CC=CN&amp;NR=107962595A&amp;KC=A")</f>
        <v>https://worldwide.espacenet.com/publicationDetails/biblio?II=89&amp;ND=3&amp;adjacent=true&amp;locale=en_EP&amp;FT=D&amp;date=20180427&amp;CC=CN&amp;NR=107962595A&amp;KC=A</v>
      </c>
    </row>
    <row r="1933" spans="3:5" x14ac:dyDescent="0.25">
      <c r="C1933" t="s">
        <v>3174</v>
      </c>
      <c r="D1933" t="s">
        <v>3175</v>
      </c>
      <c r="E1933" t="str">
        <f>HYPERLINK("https://worldwide.espacenet.com/publicationDetails/biblio?II=90&amp;ND=3&amp;adjacent=true&amp;locale=en_EP&amp;FT=D&amp;date=20180427&amp;CC=CN&amp;NR=107963142A&amp;KC=A")</f>
        <v>https://worldwide.espacenet.com/publicationDetails/biblio?II=90&amp;ND=3&amp;adjacent=true&amp;locale=en_EP&amp;FT=D&amp;date=20180427&amp;CC=CN&amp;NR=107963142A&amp;KC=A</v>
      </c>
    </row>
    <row r="1934" spans="3:5" x14ac:dyDescent="0.25">
      <c r="C1934" t="s">
        <v>3176</v>
      </c>
      <c r="D1934" t="s">
        <v>3177</v>
      </c>
      <c r="E1934" t="str">
        <f>HYPERLINK("https://worldwide.espacenet.com/publicationDetails/biblio?II=91&amp;ND=3&amp;adjacent=true&amp;locale=en_EP&amp;FT=D&amp;date=20180427&amp;CC=CN&amp;NR=207273260U&amp;KC=U")</f>
        <v>https://worldwide.espacenet.com/publicationDetails/biblio?II=91&amp;ND=3&amp;adjacent=true&amp;locale=en_EP&amp;FT=D&amp;date=20180427&amp;CC=CN&amp;NR=207273260U&amp;KC=U</v>
      </c>
    </row>
    <row r="1935" spans="3:5" x14ac:dyDescent="0.25">
      <c r="C1935" t="s">
        <v>3178</v>
      </c>
      <c r="D1935" t="s">
        <v>3179</v>
      </c>
      <c r="E1935" t="str">
        <f>HYPERLINK("https://worldwide.espacenet.com/publicationDetails/biblio?II=92&amp;ND=3&amp;adjacent=true&amp;locale=en_EP&amp;FT=D&amp;date=20180424&amp;CC=CN&amp;NR=107953937A&amp;KC=A")</f>
        <v>https://worldwide.espacenet.com/publicationDetails/biblio?II=92&amp;ND=3&amp;adjacent=true&amp;locale=en_EP&amp;FT=D&amp;date=20180424&amp;CC=CN&amp;NR=107953937A&amp;KC=A</v>
      </c>
    </row>
    <row r="1936" spans="3:5" x14ac:dyDescent="0.25">
      <c r="C1936" t="s">
        <v>3180</v>
      </c>
      <c r="D1936" t="s">
        <v>3181</v>
      </c>
      <c r="E1936" t="str">
        <f>HYPERLINK("https://worldwide.espacenet.com/publicationDetails/biblio?II=93&amp;ND=3&amp;adjacent=true&amp;locale=en_EP&amp;FT=D&amp;date=20180424&amp;CC=CN&amp;NR=107953938A&amp;KC=A")</f>
        <v>https://worldwide.espacenet.com/publicationDetails/biblio?II=93&amp;ND=3&amp;adjacent=true&amp;locale=en_EP&amp;FT=D&amp;date=20180424&amp;CC=CN&amp;NR=107953938A&amp;KC=A</v>
      </c>
    </row>
    <row r="1937" spans="3:5" x14ac:dyDescent="0.25">
      <c r="C1937" t="s">
        <v>3182</v>
      </c>
      <c r="D1937" t="s">
        <v>3183</v>
      </c>
      <c r="E1937" t="str">
        <f>HYPERLINK("https://worldwide.espacenet.com/publicationDetails/biblio?II=94&amp;ND=3&amp;adjacent=true&amp;locale=en_EP&amp;FT=D&amp;date=20180420&amp;CC=CN&amp;NR=107929121A&amp;KC=A")</f>
        <v>https://worldwide.espacenet.com/publicationDetails/biblio?II=94&amp;ND=3&amp;adjacent=true&amp;locale=en_EP&amp;FT=D&amp;date=20180420&amp;CC=CN&amp;NR=107929121A&amp;KC=A</v>
      </c>
    </row>
    <row r="1938" spans="3:5" x14ac:dyDescent="0.25">
      <c r="C1938" t="s">
        <v>3184</v>
      </c>
      <c r="D1938" t="s">
        <v>3185</v>
      </c>
      <c r="E1938" t="str">
        <f>HYPERLINK("https://worldwide.espacenet.com/publicationDetails/biblio?II=95&amp;ND=3&amp;adjacent=true&amp;locale=en_EP&amp;FT=D&amp;date=20180420&amp;CC=CN&amp;NR=107943065A&amp;KC=A")</f>
        <v>https://worldwide.espacenet.com/publicationDetails/biblio?II=95&amp;ND=3&amp;adjacent=true&amp;locale=en_EP&amp;FT=D&amp;date=20180420&amp;CC=CN&amp;NR=107943065A&amp;KC=A</v>
      </c>
    </row>
    <row r="1939" spans="3:5" x14ac:dyDescent="0.25">
      <c r="C1939" t="s">
        <v>3186</v>
      </c>
      <c r="D1939" t="s">
        <v>3187</v>
      </c>
      <c r="E1939" t="str">
        <f>HYPERLINK("https://worldwide.espacenet.com/publicationDetails/biblio?II=96&amp;ND=3&amp;adjacent=true&amp;locale=en_EP&amp;FT=D&amp;date=20180420&amp;CC=CN&amp;NR=107932489A&amp;KC=A")</f>
        <v>https://worldwide.espacenet.com/publicationDetails/biblio?II=96&amp;ND=3&amp;adjacent=true&amp;locale=en_EP&amp;FT=D&amp;date=20180420&amp;CC=CN&amp;NR=107932489A&amp;KC=A</v>
      </c>
    </row>
    <row r="1940" spans="3:5" x14ac:dyDescent="0.25">
      <c r="C1940" t="s">
        <v>3188</v>
      </c>
      <c r="D1940" t="s">
        <v>3189</v>
      </c>
      <c r="E1940" t="str">
        <f>HYPERLINK("https://worldwide.espacenet.com/publicationDetails/biblio?II=97&amp;ND=3&amp;adjacent=true&amp;locale=en_EP&amp;FT=D&amp;date=20180420&amp;CC=CN&amp;NR=107928535A&amp;KC=A")</f>
        <v>https://worldwide.espacenet.com/publicationDetails/biblio?II=97&amp;ND=3&amp;adjacent=true&amp;locale=en_EP&amp;FT=D&amp;date=20180420&amp;CC=CN&amp;NR=107928535A&amp;KC=A</v>
      </c>
    </row>
    <row r="1941" spans="3:5" x14ac:dyDescent="0.25">
      <c r="C1941" t="s">
        <v>3190</v>
      </c>
      <c r="D1941" t="s">
        <v>3191</v>
      </c>
      <c r="E1941" t="str">
        <f>HYPERLINK("https://worldwide.espacenet.com/publicationDetails/biblio?II=98&amp;ND=3&amp;adjacent=true&amp;locale=en_EP&amp;FT=D&amp;date=20180420&amp;CC=CN&amp;NR=107945224A&amp;KC=A")</f>
        <v>https://worldwide.espacenet.com/publicationDetails/biblio?II=98&amp;ND=3&amp;adjacent=true&amp;locale=en_EP&amp;FT=D&amp;date=20180420&amp;CC=CN&amp;NR=107945224A&amp;KC=A</v>
      </c>
    </row>
    <row r="1942" spans="3:5" x14ac:dyDescent="0.25">
      <c r="C1942" t="s">
        <v>3192</v>
      </c>
      <c r="D1942" t="s">
        <v>3193</v>
      </c>
      <c r="E1942" t="str">
        <f>HYPERLINK("https://worldwide.espacenet.com/publicationDetails/biblio?II=99&amp;ND=3&amp;adjacent=true&amp;locale=en_EP&amp;FT=D&amp;date=20180420&amp;CC=CN&amp;NR=107930924A&amp;KC=A")</f>
        <v>https://worldwide.espacenet.com/publicationDetails/biblio?II=99&amp;ND=3&amp;adjacent=true&amp;locale=en_EP&amp;FT=D&amp;date=20180420&amp;CC=CN&amp;NR=107930924A&amp;KC=A</v>
      </c>
    </row>
    <row r="1943" spans="3:5" x14ac:dyDescent="0.25">
      <c r="C1943" t="s">
        <v>3194</v>
      </c>
      <c r="D1943" t="s">
        <v>3195</v>
      </c>
      <c r="E1943" t="str">
        <f>HYPERLINK("https://worldwide.espacenet.com/publicationDetails/biblio?II=100&amp;ND=3&amp;adjacent=true&amp;locale=en_EP&amp;FT=D&amp;date=20180420&amp;CC=CN&amp;NR=207257818U&amp;KC=U")</f>
        <v>https://worldwide.espacenet.com/publicationDetails/biblio?II=100&amp;ND=3&amp;adjacent=true&amp;locale=en_EP&amp;FT=D&amp;date=20180420&amp;CC=CN&amp;NR=207257818U&amp;KC=U</v>
      </c>
    </row>
    <row r="1944" spans="3:5" x14ac:dyDescent="0.25">
      <c r="C1944" t="s">
        <v>3196</v>
      </c>
      <c r="D1944" t="s">
        <v>3197</v>
      </c>
      <c r="E1944" t="str">
        <f>HYPERLINK("https://worldwide.espacenet.com/publicationDetails/biblio?II=101&amp;ND=3&amp;adjacent=true&amp;locale=en_EP&amp;FT=D&amp;date=20180417&amp;CC=CN&amp;NR=107914277A&amp;KC=A")</f>
        <v>https://worldwide.espacenet.com/publicationDetails/biblio?II=101&amp;ND=3&amp;adjacent=true&amp;locale=en_EP&amp;FT=D&amp;date=20180417&amp;CC=CN&amp;NR=107914277A&amp;KC=A</v>
      </c>
    </row>
    <row r="1945" spans="3:5" x14ac:dyDescent="0.25">
      <c r="C1945" t="s">
        <v>3198</v>
      </c>
      <c r="D1945" t="s">
        <v>3199</v>
      </c>
      <c r="E1945" t="str">
        <f>HYPERLINK("https://worldwide.espacenet.com/publicationDetails/biblio?II=102&amp;ND=3&amp;adjacent=true&amp;locale=en_EP&amp;FT=D&amp;date=20180417&amp;CC=CN&amp;NR=107916611A&amp;KC=A")</f>
        <v>https://worldwide.espacenet.com/publicationDetails/biblio?II=102&amp;ND=3&amp;adjacent=true&amp;locale=en_EP&amp;FT=D&amp;date=20180417&amp;CC=CN&amp;NR=107916611A&amp;KC=A</v>
      </c>
    </row>
    <row r="1946" spans="3:5" x14ac:dyDescent="0.25">
      <c r="C1946" t="s">
        <v>3200</v>
      </c>
      <c r="D1946" t="s">
        <v>3201</v>
      </c>
      <c r="E1946" t="str">
        <f>HYPERLINK("https://worldwide.espacenet.com/publicationDetails/biblio?II=103&amp;ND=3&amp;adjacent=true&amp;locale=en_EP&amp;FT=D&amp;date=20180413&amp;CC=CN&amp;NR=107901081A&amp;KC=A")</f>
        <v>https://worldwide.espacenet.com/publicationDetails/biblio?II=103&amp;ND=3&amp;adjacent=true&amp;locale=en_EP&amp;FT=D&amp;date=20180413&amp;CC=CN&amp;NR=107901081A&amp;KC=A</v>
      </c>
    </row>
    <row r="1947" spans="3:5" x14ac:dyDescent="0.25">
      <c r="C1947" t="s">
        <v>3202</v>
      </c>
      <c r="D1947" t="s">
        <v>3203</v>
      </c>
      <c r="E1947" t="str">
        <f>HYPERLINK("https://worldwide.espacenet.com/publicationDetails/biblio?II=104&amp;ND=3&amp;adjacent=true&amp;locale=en_EP&amp;FT=D&amp;date=20180413&amp;CC=CN&amp;NR=207223373U&amp;KC=U")</f>
        <v>https://worldwide.espacenet.com/publicationDetails/biblio?II=104&amp;ND=3&amp;adjacent=true&amp;locale=en_EP&amp;FT=D&amp;date=20180413&amp;CC=CN&amp;NR=207223373U&amp;KC=U</v>
      </c>
    </row>
    <row r="1948" spans="3:5" x14ac:dyDescent="0.25">
      <c r="C1948" t="s">
        <v>3204</v>
      </c>
      <c r="D1948" t="s">
        <v>3205</v>
      </c>
      <c r="E1948" t="str">
        <f>HYPERLINK("https://worldwide.espacenet.com/publicationDetails/biblio?II=105&amp;ND=3&amp;adjacent=true&amp;locale=en_EP&amp;FT=D&amp;date=20180413&amp;CC=CN&amp;NR=207225506U&amp;KC=U")</f>
        <v>https://worldwide.espacenet.com/publicationDetails/biblio?II=105&amp;ND=3&amp;adjacent=true&amp;locale=en_EP&amp;FT=D&amp;date=20180413&amp;CC=CN&amp;NR=207225506U&amp;KC=U</v>
      </c>
    </row>
    <row r="1949" spans="3:5" x14ac:dyDescent="0.25">
      <c r="C1949" t="s">
        <v>3206</v>
      </c>
      <c r="D1949" t="s">
        <v>3207</v>
      </c>
      <c r="E1949" t="str">
        <f>HYPERLINK("https://worldwide.espacenet.com/publicationDetails/biblio?II=106&amp;ND=3&amp;adjacent=true&amp;locale=en_EP&amp;FT=D&amp;date=20180413&amp;CC=CN&amp;NR=207229680U&amp;KC=U")</f>
        <v>https://worldwide.espacenet.com/publicationDetails/biblio?II=106&amp;ND=3&amp;adjacent=true&amp;locale=en_EP&amp;FT=D&amp;date=20180413&amp;CC=CN&amp;NR=207229680U&amp;KC=U</v>
      </c>
    </row>
    <row r="1950" spans="3:5" x14ac:dyDescent="0.25">
      <c r="C1950" t="s">
        <v>3208</v>
      </c>
      <c r="D1950" t="s">
        <v>3209</v>
      </c>
      <c r="E1950" t="str">
        <f>HYPERLINK("https://worldwide.espacenet.com/publicationDetails/biblio?II=107&amp;ND=3&amp;adjacent=true&amp;locale=en_EP&amp;FT=D&amp;date=20180413&amp;CC=CN&amp;NR=107897137A&amp;KC=A")</f>
        <v>https://worldwide.espacenet.com/publicationDetails/biblio?II=107&amp;ND=3&amp;adjacent=true&amp;locale=en_EP&amp;FT=D&amp;date=20180413&amp;CC=CN&amp;NR=107897137A&amp;KC=A</v>
      </c>
    </row>
    <row r="1951" spans="3:5" x14ac:dyDescent="0.25">
      <c r="C1951" t="s">
        <v>3210</v>
      </c>
      <c r="D1951" t="s">
        <v>3211</v>
      </c>
      <c r="E1951" t="str">
        <f>HYPERLINK("https://worldwide.espacenet.com/publicationDetails/biblio?II=108&amp;ND=3&amp;adjacent=true&amp;locale=en_EP&amp;FT=D&amp;date=20180413&amp;CC=CN&amp;NR=107901078A&amp;KC=A")</f>
        <v>https://worldwide.espacenet.com/publicationDetails/biblio?II=108&amp;ND=3&amp;adjacent=true&amp;locale=en_EP&amp;FT=D&amp;date=20180413&amp;CC=CN&amp;NR=107901078A&amp;KC=A</v>
      </c>
    </row>
    <row r="1952" spans="3:5" x14ac:dyDescent="0.25">
      <c r="C1952" t="s">
        <v>3212</v>
      </c>
      <c r="D1952" t="s">
        <v>3213</v>
      </c>
      <c r="E1952" t="str">
        <f>HYPERLINK("https://worldwide.espacenet.com/publicationDetails/biblio?II=109&amp;ND=3&amp;adjacent=true&amp;locale=en_EP&amp;FT=D&amp;date=20180413&amp;CC=CN&amp;NR=107904450A&amp;KC=A")</f>
        <v>https://worldwide.espacenet.com/publicationDetails/biblio?II=109&amp;ND=3&amp;adjacent=true&amp;locale=en_EP&amp;FT=D&amp;date=20180413&amp;CC=CN&amp;NR=107904450A&amp;KC=A</v>
      </c>
    </row>
    <row r="1953" spans="3:5" x14ac:dyDescent="0.25">
      <c r="C1953" t="s">
        <v>3214</v>
      </c>
      <c r="D1953" t="s">
        <v>3215</v>
      </c>
      <c r="E1953" t="str">
        <f>HYPERLINK("https://worldwide.espacenet.com/publicationDetails/biblio?II=110&amp;ND=3&amp;adjacent=true&amp;locale=en_EP&amp;FT=D&amp;date=20180413&amp;CC=CN&amp;NR=107904449A&amp;KC=A")</f>
        <v>https://worldwide.espacenet.com/publicationDetails/biblio?II=110&amp;ND=3&amp;adjacent=true&amp;locale=en_EP&amp;FT=D&amp;date=20180413&amp;CC=CN&amp;NR=107904449A&amp;KC=A</v>
      </c>
    </row>
    <row r="1954" spans="3:5" x14ac:dyDescent="0.25">
      <c r="C1954" t="s">
        <v>3216</v>
      </c>
      <c r="D1954" t="s">
        <v>3217</v>
      </c>
      <c r="E1954" t="str">
        <f>HYPERLINK("https://worldwide.espacenet.com/publicationDetails/biblio?II=111&amp;ND=3&amp;adjacent=true&amp;locale=en_EP&amp;FT=D&amp;date=20180410&amp;CC=CN&amp;NR=107894715A&amp;KC=A")</f>
        <v>https://worldwide.espacenet.com/publicationDetails/biblio?II=111&amp;ND=3&amp;adjacent=true&amp;locale=en_EP&amp;FT=D&amp;date=20180410&amp;CC=CN&amp;NR=107894715A&amp;KC=A</v>
      </c>
    </row>
    <row r="1955" spans="3:5" x14ac:dyDescent="0.25">
      <c r="C1955" t="s">
        <v>3218</v>
      </c>
      <c r="D1955" t="s">
        <v>3219</v>
      </c>
      <c r="E1955" t="str">
        <f>HYPERLINK("https://worldwide.espacenet.com/publicationDetails/biblio?II=112&amp;ND=3&amp;adjacent=true&amp;locale=en_EP&amp;FT=D&amp;date=20180406&amp;CC=CN&amp;NR=207186797U&amp;KC=U")</f>
        <v>https://worldwide.espacenet.com/publicationDetails/biblio?II=112&amp;ND=3&amp;adjacent=true&amp;locale=en_EP&amp;FT=D&amp;date=20180406&amp;CC=CN&amp;NR=207186797U&amp;KC=U</v>
      </c>
    </row>
    <row r="1956" spans="3:5" x14ac:dyDescent="0.25">
      <c r="C1956" t="s">
        <v>3220</v>
      </c>
      <c r="D1956" t="s">
        <v>3221</v>
      </c>
      <c r="E1956" t="str">
        <f>HYPERLINK("https://worldwide.espacenet.com/publicationDetails/biblio?II=113&amp;ND=3&amp;adjacent=true&amp;locale=en_EP&amp;FT=D&amp;date=20180406&amp;CC=CN&amp;NR=107877519A&amp;KC=A")</f>
        <v>https://worldwide.espacenet.com/publicationDetails/biblio?II=113&amp;ND=3&amp;adjacent=true&amp;locale=en_EP&amp;FT=D&amp;date=20180406&amp;CC=CN&amp;NR=107877519A&amp;KC=A</v>
      </c>
    </row>
    <row r="1957" spans="3:5" x14ac:dyDescent="0.25">
      <c r="C1957" t="s">
        <v>3222</v>
      </c>
      <c r="D1957" t="s">
        <v>3223</v>
      </c>
      <c r="E1957" t="str">
        <f>HYPERLINK("https://worldwide.espacenet.com/publicationDetails/biblio?II=114&amp;ND=3&amp;adjacent=true&amp;locale=en_EP&amp;FT=D&amp;date=20180403&amp;CC=CN&amp;NR=107867656A&amp;KC=A")</f>
        <v>https://worldwide.espacenet.com/publicationDetails/biblio?II=114&amp;ND=3&amp;adjacent=true&amp;locale=en_EP&amp;FT=D&amp;date=20180403&amp;CC=CN&amp;NR=107867656A&amp;KC=A</v>
      </c>
    </row>
    <row r="1958" spans="3:5" x14ac:dyDescent="0.25">
      <c r="C1958" t="s">
        <v>3224</v>
      </c>
      <c r="D1958" t="s">
        <v>3225</v>
      </c>
      <c r="E1958" t="str">
        <f>HYPERLINK("https://worldwide.espacenet.com/publicationDetails/biblio?II=115&amp;ND=3&amp;adjacent=true&amp;locale=en_EP&amp;FT=D&amp;date=20180403&amp;CC=CN&amp;NR=207174752U&amp;KC=U")</f>
        <v>https://worldwide.espacenet.com/publicationDetails/biblio?II=115&amp;ND=3&amp;adjacent=true&amp;locale=en_EP&amp;FT=D&amp;date=20180403&amp;CC=CN&amp;NR=207174752U&amp;KC=U</v>
      </c>
    </row>
    <row r="1959" spans="3:5" x14ac:dyDescent="0.25">
      <c r="C1959" t="s">
        <v>3226</v>
      </c>
      <c r="D1959" t="s">
        <v>3227</v>
      </c>
      <c r="E1959" t="str">
        <f>HYPERLINK("https://worldwide.espacenet.com/publicationDetails/biblio?II=116&amp;ND=3&amp;adjacent=true&amp;locale=en_EP&amp;FT=D&amp;date=20180330&amp;CC=CN&amp;NR=207166259U&amp;KC=U")</f>
        <v>https://worldwide.espacenet.com/publicationDetails/biblio?II=116&amp;ND=3&amp;adjacent=true&amp;locale=en_EP&amp;FT=D&amp;date=20180330&amp;CC=CN&amp;NR=207166259U&amp;KC=U</v>
      </c>
    </row>
    <row r="1960" spans="3:5" x14ac:dyDescent="0.25">
      <c r="C1960" t="s">
        <v>3228</v>
      </c>
      <c r="D1960" t="s">
        <v>3229</v>
      </c>
      <c r="E1960" t="str">
        <f>HYPERLINK("https://worldwide.espacenet.com/publicationDetails/biblio?II=117&amp;ND=3&amp;adjacent=true&amp;locale=en_EP&amp;FT=D&amp;date=20180330&amp;CC=CN&amp;NR=207155808U&amp;KC=U")</f>
        <v>https://worldwide.espacenet.com/publicationDetails/biblio?II=117&amp;ND=3&amp;adjacent=true&amp;locale=en_EP&amp;FT=D&amp;date=20180330&amp;CC=CN&amp;NR=207155808U&amp;KC=U</v>
      </c>
    </row>
    <row r="1961" spans="3:5" x14ac:dyDescent="0.25">
      <c r="C1961" t="s">
        <v>3230</v>
      </c>
      <c r="D1961" t="s">
        <v>3231</v>
      </c>
      <c r="E1961" t="str">
        <f>HYPERLINK("https://worldwide.espacenet.com/publicationDetails/biblio?II=118&amp;ND=3&amp;adjacent=true&amp;locale=en_EP&amp;FT=D&amp;date=20180330&amp;CC=CN&amp;NR=107856058A&amp;KC=A")</f>
        <v>https://worldwide.espacenet.com/publicationDetails/biblio?II=118&amp;ND=3&amp;adjacent=true&amp;locale=en_EP&amp;FT=D&amp;date=20180330&amp;CC=CN&amp;NR=107856058A&amp;KC=A</v>
      </c>
    </row>
    <row r="1962" spans="3:5" x14ac:dyDescent="0.25">
      <c r="C1962" t="s">
        <v>3232</v>
      </c>
      <c r="D1962" t="s">
        <v>3233</v>
      </c>
      <c r="E1962" t="str">
        <f>HYPERLINK("https://worldwide.espacenet.com/publicationDetails/biblio?II=119&amp;ND=3&amp;adjacent=true&amp;locale=en_EP&amp;FT=D&amp;date=20180330&amp;CC=CN&amp;NR=107856762A&amp;KC=A")</f>
        <v>https://worldwide.espacenet.com/publicationDetails/biblio?II=119&amp;ND=3&amp;adjacent=true&amp;locale=en_EP&amp;FT=D&amp;date=20180330&amp;CC=CN&amp;NR=107856762A&amp;KC=A</v>
      </c>
    </row>
    <row r="1963" spans="3:5" x14ac:dyDescent="0.25">
      <c r="C1963" t="s">
        <v>3234</v>
      </c>
      <c r="D1963" t="s">
        <v>3235</v>
      </c>
      <c r="E1963" t="str">
        <f>HYPERLINK("https://worldwide.espacenet.com/publicationDetails/biblio?II=120&amp;ND=3&amp;adjacent=true&amp;locale=en_EP&amp;FT=D&amp;date=20180327&amp;CC=CN&amp;NR=107842571A&amp;KC=A")</f>
        <v>https://worldwide.espacenet.com/publicationDetails/biblio?II=120&amp;ND=3&amp;adjacent=true&amp;locale=en_EP&amp;FT=D&amp;date=20180327&amp;CC=CN&amp;NR=107842571A&amp;KC=A</v>
      </c>
    </row>
    <row r="1964" spans="3:5" x14ac:dyDescent="0.25">
      <c r="C1964" t="s">
        <v>3236</v>
      </c>
      <c r="D1964" t="s">
        <v>3237</v>
      </c>
      <c r="E1964" t="str">
        <f>HYPERLINK("https://worldwide.espacenet.com/publicationDetails/biblio?II=121&amp;ND=3&amp;adjacent=true&amp;locale=en_EP&amp;FT=D&amp;date=20180327&amp;CC=CN&amp;NR=207139782U&amp;KC=U")</f>
        <v>https://worldwide.espacenet.com/publicationDetails/biblio?II=121&amp;ND=3&amp;adjacent=true&amp;locale=en_EP&amp;FT=D&amp;date=20180327&amp;CC=CN&amp;NR=207139782U&amp;KC=U</v>
      </c>
    </row>
    <row r="1965" spans="3:5" x14ac:dyDescent="0.25">
      <c r="C1965" t="s">
        <v>3238</v>
      </c>
      <c r="D1965" t="s">
        <v>3239</v>
      </c>
      <c r="E1965" t="str">
        <f>HYPERLINK("https://worldwide.espacenet.com/publicationDetails/biblio?II=122&amp;ND=3&amp;adjacent=true&amp;locale=en_EP&amp;FT=D&amp;date=20180323&amp;CC=CN&amp;NR=107826654A&amp;KC=A")</f>
        <v>https://worldwide.espacenet.com/publicationDetails/biblio?II=122&amp;ND=3&amp;adjacent=true&amp;locale=en_EP&amp;FT=D&amp;date=20180323&amp;CC=CN&amp;NR=107826654A&amp;KC=A</v>
      </c>
    </row>
    <row r="1966" spans="3:5" x14ac:dyDescent="0.25">
      <c r="C1966" t="s">
        <v>3240</v>
      </c>
      <c r="D1966" t="s">
        <v>3241</v>
      </c>
      <c r="E1966" t="str">
        <f>HYPERLINK("https://worldwide.espacenet.com/publicationDetails/biblio?II=123&amp;ND=3&amp;adjacent=true&amp;locale=en_EP&amp;FT=D&amp;date=20180323&amp;CC=CN&amp;NR=107822973A&amp;KC=A")</f>
        <v>https://worldwide.espacenet.com/publicationDetails/biblio?II=123&amp;ND=3&amp;adjacent=true&amp;locale=en_EP&amp;FT=D&amp;date=20180323&amp;CC=CN&amp;NR=107822973A&amp;KC=A</v>
      </c>
    </row>
    <row r="1967" spans="3:5" x14ac:dyDescent="0.25">
      <c r="C1967" t="s">
        <v>3242</v>
      </c>
      <c r="D1967" t="s">
        <v>3243</v>
      </c>
      <c r="E1967" t="str">
        <f>HYPERLINK("https://worldwide.espacenet.com/publicationDetails/biblio?II=124&amp;ND=3&amp;adjacent=true&amp;locale=en_EP&amp;FT=D&amp;date=20180323&amp;CC=CN&amp;NR=107824735A&amp;KC=A")</f>
        <v>https://worldwide.espacenet.com/publicationDetails/biblio?II=124&amp;ND=3&amp;adjacent=true&amp;locale=en_EP&amp;FT=D&amp;date=20180323&amp;CC=CN&amp;NR=107824735A&amp;KC=A</v>
      </c>
    </row>
    <row r="1968" spans="3:5" x14ac:dyDescent="0.25">
      <c r="C1968" t="s">
        <v>3244</v>
      </c>
      <c r="D1968" t="s">
        <v>3245</v>
      </c>
      <c r="E1968" t="str">
        <f>HYPERLINK("https://worldwide.espacenet.com/publicationDetails/biblio?II=125&amp;ND=3&amp;adjacent=true&amp;locale=en_EP&amp;FT=D&amp;date=20180323&amp;CC=CN&amp;NR=107828990A&amp;KC=A")</f>
        <v>https://worldwide.espacenet.com/publicationDetails/biblio?II=125&amp;ND=3&amp;adjacent=true&amp;locale=en_EP&amp;FT=D&amp;date=20180323&amp;CC=CN&amp;NR=107828990A&amp;KC=A</v>
      </c>
    </row>
    <row r="1969" spans="3:5" x14ac:dyDescent="0.25">
      <c r="C1969" t="s">
        <v>3246</v>
      </c>
      <c r="D1969" t="s">
        <v>3247</v>
      </c>
      <c r="E1969" t="str">
        <f>HYPERLINK("https://worldwide.espacenet.com/publicationDetails/biblio?II=126&amp;ND=3&amp;adjacent=true&amp;locale=en_EP&amp;FT=D&amp;date=20180323&amp;CC=CN&amp;NR=107825469A&amp;KC=A")</f>
        <v>https://worldwide.espacenet.com/publicationDetails/biblio?II=126&amp;ND=3&amp;adjacent=true&amp;locale=en_EP&amp;FT=D&amp;date=20180323&amp;CC=CN&amp;NR=107825469A&amp;KC=A</v>
      </c>
    </row>
    <row r="1970" spans="3:5" x14ac:dyDescent="0.25">
      <c r="C1970" t="s">
        <v>3248</v>
      </c>
      <c r="D1970" t="s">
        <v>3249</v>
      </c>
      <c r="E1970" t="str">
        <f>HYPERLINK("https://worldwide.espacenet.com/publicationDetails/biblio?II=127&amp;ND=3&amp;adjacent=true&amp;locale=en_EP&amp;FT=D&amp;date=20180323&amp;CC=CN&amp;NR=207129072U&amp;KC=U")</f>
        <v>https://worldwide.espacenet.com/publicationDetails/biblio?II=127&amp;ND=3&amp;adjacent=true&amp;locale=en_EP&amp;FT=D&amp;date=20180323&amp;CC=CN&amp;NR=207129072U&amp;KC=U</v>
      </c>
    </row>
    <row r="1971" spans="3:5" x14ac:dyDescent="0.25">
      <c r="C1971" t="s">
        <v>3250</v>
      </c>
      <c r="D1971" t="s">
        <v>3251</v>
      </c>
      <c r="E1971" t="str">
        <f>HYPERLINK("https://worldwide.espacenet.com/publicationDetails/biblio?II=128&amp;ND=3&amp;adjacent=true&amp;locale=en_EP&amp;FT=D&amp;date=20180320&amp;CC=CN&amp;NR=107813907A&amp;KC=A")</f>
        <v>https://worldwide.espacenet.com/publicationDetails/biblio?II=128&amp;ND=3&amp;adjacent=true&amp;locale=en_EP&amp;FT=D&amp;date=20180320&amp;CC=CN&amp;NR=107813907A&amp;KC=A</v>
      </c>
    </row>
    <row r="1972" spans="3:5" x14ac:dyDescent="0.25">
      <c r="C1972" t="s">
        <v>3252</v>
      </c>
      <c r="D1972" t="s">
        <v>3253</v>
      </c>
      <c r="E1972" t="str">
        <f>HYPERLINK("https://worldwide.espacenet.com/publicationDetails/biblio?II=129&amp;ND=3&amp;adjacent=true&amp;locale=en_EP&amp;FT=D&amp;date=20180320&amp;CC=CN&amp;NR=207120810U&amp;KC=U")</f>
        <v>https://worldwide.espacenet.com/publicationDetails/biblio?II=129&amp;ND=3&amp;adjacent=true&amp;locale=en_EP&amp;FT=D&amp;date=20180320&amp;CC=CN&amp;NR=207120810U&amp;KC=U</v>
      </c>
    </row>
    <row r="1973" spans="3:5" x14ac:dyDescent="0.25">
      <c r="C1973" t="s">
        <v>3254</v>
      </c>
      <c r="D1973" t="s">
        <v>3255</v>
      </c>
      <c r="E1973" t="str">
        <f>HYPERLINK("https://worldwide.espacenet.com/publicationDetails/biblio?II=130&amp;ND=3&amp;adjacent=true&amp;locale=en_EP&amp;FT=D&amp;date=20180320&amp;CC=CN&amp;NR=107813341A&amp;KC=A")</f>
        <v>https://worldwide.espacenet.com/publicationDetails/biblio?II=130&amp;ND=3&amp;adjacent=true&amp;locale=en_EP&amp;FT=D&amp;date=20180320&amp;CC=CN&amp;NR=107813341A&amp;KC=A</v>
      </c>
    </row>
    <row r="1974" spans="3:5" x14ac:dyDescent="0.25">
      <c r="C1974" t="s">
        <v>3256</v>
      </c>
      <c r="D1974" t="s">
        <v>3257</v>
      </c>
      <c r="E1974" t="str">
        <f>HYPERLINK("https://worldwide.espacenet.com/publicationDetails/biblio?II=131&amp;ND=3&amp;adjacent=true&amp;locale=en_EP&amp;FT=D&amp;date=20180320&amp;CC=CN&amp;NR=107813340A&amp;KC=A")</f>
        <v>https://worldwide.espacenet.com/publicationDetails/biblio?II=131&amp;ND=3&amp;adjacent=true&amp;locale=en_EP&amp;FT=D&amp;date=20180320&amp;CC=CN&amp;NR=107813340A&amp;KC=A</v>
      </c>
    </row>
    <row r="1975" spans="3:5" x14ac:dyDescent="0.25">
      <c r="C1975" t="s">
        <v>3258</v>
      </c>
      <c r="D1975" t="s">
        <v>3259</v>
      </c>
      <c r="E1975" t="str">
        <f>HYPERLINK("https://worldwide.espacenet.com/publicationDetails/biblio?II=132&amp;ND=3&amp;adjacent=true&amp;locale=en_EP&amp;FT=D&amp;date=20180320&amp;CC=CN&amp;NR=107813339A&amp;KC=A")</f>
        <v>https://worldwide.espacenet.com/publicationDetails/biblio?II=132&amp;ND=3&amp;adjacent=true&amp;locale=en_EP&amp;FT=D&amp;date=20180320&amp;CC=CN&amp;NR=107813339A&amp;KC=A</v>
      </c>
    </row>
    <row r="1976" spans="3:5" x14ac:dyDescent="0.25">
      <c r="C1976" t="s">
        <v>3194</v>
      </c>
      <c r="D1976" t="s">
        <v>3260</v>
      </c>
      <c r="E1976" t="str">
        <f>HYPERLINK("https://worldwide.espacenet.com/publicationDetails/biblio?II=133&amp;ND=3&amp;adjacent=true&amp;locale=en_EP&amp;FT=D&amp;date=20180316&amp;CC=CN&amp;NR=207106679U&amp;KC=U")</f>
        <v>https://worldwide.espacenet.com/publicationDetails/biblio?II=133&amp;ND=3&amp;adjacent=true&amp;locale=en_EP&amp;FT=D&amp;date=20180316&amp;CC=CN&amp;NR=207106679U&amp;KC=U</v>
      </c>
    </row>
    <row r="1977" spans="3:5" x14ac:dyDescent="0.25">
      <c r="C1977" t="s">
        <v>3261</v>
      </c>
      <c r="D1977" t="s">
        <v>3262</v>
      </c>
      <c r="E1977" t="str">
        <f>HYPERLINK("https://worldwide.espacenet.com/publicationDetails/biblio?II=134&amp;ND=3&amp;adjacent=true&amp;locale=en_EP&amp;FT=D&amp;date=20180313&amp;CC=CN&amp;NR=207087140U&amp;KC=U")</f>
        <v>https://worldwide.espacenet.com/publicationDetails/biblio?II=134&amp;ND=3&amp;adjacent=true&amp;locale=en_EP&amp;FT=D&amp;date=20180313&amp;CC=CN&amp;NR=207087140U&amp;KC=U</v>
      </c>
    </row>
    <row r="1978" spans="3:5" x14ac:dyDescent="0.25">
      <c r="C1978" t="s">
        <v>3263</v>
      </c>
      <c r="D1978" t="s">
        <v>3264</v>
      </c>
      <c r="E1978" t="str">
        <f>HYPERLINK("https://worldwide.espacenet.com/publicationDetails/biblio?II=135&amp;ND=3&amp;adjacent=true&amp;locale=en_EP&amp;FT=D&amp;date=20180313&amp;CC=CN&amp;NR=207098810U&amp;KC=U")</f>
        <v>https://worldwide.espacenet.com/publicationDetails/biblio?II=135&amp;ND=3&amp;adjacent=true&amp;locale=en_EP&amp;FT=D&amp;date=20180313&amp;CC=CN&amp;NR=207098810U&amp;KC=U</v>
      </c>
    </row>
    <row r="1979" spans="3:5" x14ac:dyDescent="0.25">
      <c r="C1979" t="s">
        <v>3265</v>
      </c>
      <c r="D1979" t="s">
        <v>3266</v>
      </c>
      <c r="E1979" t="str">
        <f>HYPERLINK("https://worldwide.espacenet.com/publicationDetails/biblio?II=136&amp;ND=3&amp;adjacent=true&amp;locale=en_EP&amp;FT=D&amp;date=20180313&amp;CC=CN&amp;NR=107791274A&amp;KC=A")</f>
        <v>https://worldwide.espacenet.com/publicationDetails/biblio?II=136&amp;ND=3&amp;adjacent=true&amp;locale=en_EP&amp;FT=D&amp;date=20180313&amp;CC=CN&amp;NR=107791274A&amp;KC=A</v>
      </c>
    </row>
    <row r="1980" spans="3:5" x14ac:dyDescent="0.25">
      <c r="C1980" t="s">
        <v>3267</v>
      </c>
      <c r="D1980" t="s">
        <v>3268</v>
      </c>
      <c r="E1980" t="str">
        <f>HYPERLINK("https://worldwide.espacenet.com/publicationDetails/biblio?II=137&amp;ND=3&amp;adjacent=true&amp;locale=en_EP&amp;FT=D&amp;date=20180302&amp;CC=CN&amp;NR=207056917U&amp;KC=U")</f>
        <v>https://worldwide.espacenet.com/publicationDetails/biblio?II=137&amp;ND=3&amp;adjacent=true&amp;locale=en_EP&amp;FT=D&amp;date=20180302&amp;CC=CN&amp;NR=207056917U&amp;KC=U</v>
      </c>
    </row>
    <row r="1981" spans="3:5" x14ac:dyDescent="0.25">
      <c r="C1981" t="s">
        <v>3269</v>
      </c>
      <c r="D1981" t="s">
        <v>3270</v>
      </c>
      <c r="E1981" t="str">
        <f>HYPERLINK("https://worldwide.espacenet.com/publicationDetails/biblio?II=138&amp;ND=3&amp;adjacent=true&amp;locale=en_EP&amp;FT=D&amp;date=20180227&amp;CC=CN&amp;NR=207053048U&amp;KC=U")</f>
        <v>https://worldwide.espacenet.com/publicationDetails/biblio?II=138&amp;ND=3&amp;adjacent=true&amp;locale=en_EP&amp;FT=D&amp;date=20180227&amp;CC=CN&amp;NR=207053048U&amp;KC=U</v>
      </c>
    </row>
    <row r="1982" spans="3:5" x14ac:dyDescent="0.25">
      <c r="C1982" t="s">
        <v>3271</v>
      </c>
      <c r="D1982" t="s">
        <v>3272</v>
      </c>
      <c r="E1982" t="str">
        <f>HYPERLINK("https://worldwide.espacenet.com/publicationDetails/biblio?II=139&amp;ND=3&amp;adjacent=true&amp;locale=en_EP&amp;FT=D&amp;date=20180227&amp;CC=CN&amp;NR=207053050U&amp;KC=U")</f>
        <v>https://worldwide.espacenet.com/publicationDetails/biblio?II=139&amp;ND=3&amp;adjacent=true&amp;locale=en_EP&amp;FT=D&amp;date=20180227&amp;CC=CN&amp;NR=207053050U&amp;KC=U</v>
      </c>
    </row>
    <row r="1983" spans="3:5" x14ac:dyDescent="0.25">
      <c r="C1983" t="s">
        <v>3273</v>
      </c>
      <c r="D1983" t="s">
        <v>3274</v>
      </c>
      <c r="E1983" t="str">
        <f>HYPERLINK("https://worldwide.espacenet.com/publicationDetails/biblio?II=140&amp;ND=3&amp;adjacent=true&amp;locale=en_EP&amp;FT=D&amp;date=20180216&amp;CC=CN&amp;NR=207015829U&amp;KC=U")</f>
        <v>https://worldwide.espacenet.com/publicationDetails/biblio?II=140&amp;ND=3&amp;adjacent=true&amp;locale=en_EP&amp;FT=D&amp;date=20180216&amp;CC=CN&amp;NR=207015829U&amp;KC=U</v>
      </c>
    </row>
    <row r="1984" spans="3:5" x14ac:dyDescent="0.25">
      <c r="C1984" t="s">
        <v>3275</v>
      </c>
      <c r="D1984" t="s">
        <v>3276</v>
      </c>
      <c r="E1984" t="str">
        <f>HYPERLINK("https://worldwide.espacenet.com/publicationDetails/biblio?II=141&amp;ND=3&amp;adjacent=true&amp;locale=en_EP&amp;FT=D&amp;date=20180216&amp;CC=CN&amp;NR=207015825U&amp;KC=U")</f>
        <v>https://worldwide.espacenet.com/publicationDetails/biblio?II=141&amp;ND=3&amp;adjacent=true&amp;locale=en_EP&amp;FT=D&amp;date=20180216&amp;CC=CN&amp;NR=207015825U&amp;KC=U</v>
      </c>
    </row>
    <row r="1985" spans="3:5" x14ac:dyDescent="0.25">
      <c r="C1985" t="s">
        <v>3277</v>
      </c>
      <c r="D1985" t="s">
        <v>3278</v>
      </c>
      <c r="E1985" t="str">
        <f>HYPERLINK("https://worldwide.espacenet.com/publicationDetails/biblio?II=142&amp;ND=3&amp;adjacent=true&amp;locale=en_EP&amp;FT=D&amp;date=20180216&amp;CC=CN&amp;NR=207022368U&amp;KC=U")</f>
        <v>https://worldwide.espacenet.com/publicationDetails/biblio?II=142&amp;ND=3&amp;adjacent=true&amp;locale=en_EP&amp;FT=D&amp;date=20180216&amp;CC=CN&amp;NR=207022368U&amp;KC=U</v>
      </c>
    </row>
    <row r="1986" spans="3:5" x14ac:dyDescent="0.25">
      <c r="C1986" t="s">
        <v>3279</v>
      </c>
      <c r="D1986" t="s">
        <v>3280</v>
      </c>
      <c r="E1986" t="str">
        <f>HYPERLINK("https://worldwide.espacenet.com/publicationDetails/biblio?II=143&amp;ND=3&amp;adjacent=true&amp;locale=en_EP&amp;FT=D&amp;date=20180223&amp;CC=CN&amp;NR=207029663U&amp;KC=U")</f>
        <v>https://worldwide.espacenet.com/publicationDetails/biblio?II=143&amp;ND=3&amp;adjacent=true&amp;locale=en_EP&amp;FT=D&amp;date=20180223&amp;CC=CN&amp;NR=207029663U&amp;KC=U</v>
      </c>
    </row>
    <row r="1987" spans="3:5" x14ac:dyDescent="0.25">
      <c r="C1987" t="s">
        <v>3281</v>
      </c>
      <c r="D1987" t="s">
        <v>3282</v>
      </c>
      <c r="E1987" t="str">
        <f>HYPERLINK("https://worldwide.espacenet.com/publicationDetails/biblio?II=144&amp;ND=3&amp;adjacent=true&amp;locale=en_EP&amp;FT=D&amp;date=20180223&amp;CC=CN&amp;NR=207039062U&amp;KC=U")</f>
        <v>https://worldwide.espacenet.com/publicationDetails/biblio?II=144&amp;ND=3&amp;adjacent=true&amp;locale=en_EP&amp;FT=D&amp;date=20180223&amp;CC=CN&amp;NR=207039062U&amp;KC=U</v>
      </c>
    </row>
    <row r="1988" spans="3:5" x14ac:dyDescent="0.25">
      <c r="C1988" t="s">
        <v>3283</v>
      </c>
      <c r="D1988" t="s">
        <v>3284</v>
      </c>
      <c r="E1988" t="str">
        <f>HYPERLINK("https://worldwide.espacenet.com/publicationDetails/biblio?II=145&amp;ND=3&amp;adjacent=true&amp;locale=en_EP&amp;FT=D&amp;date=20180213&amp;CC=CN&amp;NR=206998642U&amp;KC=U")</f>
        <v>https://worldwide.espacenet.com/publicationDetails/biblio?II=145&amp;ND=3&amp;adjacent=true&amp;locale=en_EP&amp;FT=D&amp;date=20180213&amp;CC=CN&amp;NR=206998642U&amp;KC=U</v>
      </c>
    </row>
    <row r="1989" spans="3:5" x14ac:dyDescent="0.25">
      <c r="C1989" t="s">
        <v>3285</v>
      </c>
      <c r="D1989" t="s">
        <v>3286</v>
      </c>
      <c r="E1989" t="str">
        <f>HYPERLINK("https://worldwide.espacenet.com/publicationDetails/biblio?II=146&amp;ND=3&amp;adjacent=true&amp;locale=en_EP&amp;FT=D&amp;date=20180309&amp;CC=CN&amp;NR=107775653A&amp;KC=A")</f>
        <v>https://worldwide.espacenet.com/publicationDetails/biblio?II=146&amp;ND=3&amp;adjacent=true&amp;locale=en_EP&amp;FT=D&amp;date=20180309&amp;CC=CN&amp;NR=107775653A&amp;KC=A</v>
      </c>
    </row>
    <row r="1990" spans="3:5" x14ac:dyDescent="0.25">
      <c r="C1990" t="s">
        <v>3287</v>
      </c>
      <c r="D1990" t="s">
        <v>3288</v>
      </c>
      <c r="E1990" t="str">
        <f>HYPERLINK("https://worldwide.espacenet.com/publicationDetails/biblio?II=147&amp;ND=3&amp;adjacent=true&amp;locale=en_EP&amp;FT=D&amp;date=20180309&amp;CC=CN&amp;NR=207080506U&amp;KC=U")</f>
        <v>https://worldwide.espacenet.com/publicationDetails/biblio?II=147&amp;ND=3&amp;adjacent=true&amp;locale=en_EP&amp;FT=D&amp;date=20180309&amp;CC=CN&amp;NR=207080506U&amp;KC=U</v>
      </c>
    </row>
    <row r="1991" spans="3:5" x14ac:dyDescent="0.25">
      <c r="C1991" t="s">
        <v>3289</v>
      </c>
      <c r="D1991" t="s">
        <v>3290</v>
      </c>
      <c r="E1991" t="str">
        <f>HYPERLINK("https://worldwide.espacenet.com/publicationDetails/biblio?II=148&amp;ND=3&amp;adjacent=true&amp;locale=en_EP&amp;FT=D&amp;date=20180309&amp;CC=CN&amp;NR=107773306A&amp;KC=A")</f>
        <v>https://worldwide.espacenet.com/publicationDetails/biblio?II=148&amp;ND=3&amp;adjacent=true&amp;locale=en_EP&amp;FT=D&amp;date=20180309&amp;CC=CN&amp;NR=107773306A&amp;KC=A</v>
      </c>
    </row>
    <row r="1992" spans="3:5" x14ac:dyDescent="0.25">
      <c r="C1992" t="s">
        <v>3291</v>
      </c>
      <c r="D1992" t="s">
        <v>3292</v>
      </c>
      <c r="E1992" t="str">
        <f>HYPERLINK("https://worldwide.espacenet.com/publicationDetails/biblio?II=149&amp;ND=3&amp;adjacent=true&amp;locale=en_EP&amp;FT=D&amp;date=20180309&amp;CC=CN&amp;NR=107775337A&amp;KC=A")</f>
        <v>https://worldwide.espacenet.com/publicationDetails/biblio?II=149&amp;ND=3&amp;adjacent=true&amp;locale=en_EP&amp;FT=D&amp;date=20180309&amp;CC=CN&amp;NR=107775337A&amp;KC=A</v>
      </c>
    </row>
    <row r="1993" spans="3:5" x14ac:dyDescent="0.25">
      <c r="C1993" t="s">
        <v>473</v>
      </c>
      <c r="D1993" t="s">
        <v>474</v>
      </c>
      <c r="E1993" t="str">
        <f>HYPERLINK("https://worldwide.espacenet.com/publicationDetails/biblio?II=150&amp;ND=3&amp;adjacent=true&amp;locale=en_EP&amp;FT=D&amp;date=20180206&amp;CC=CN&amp;NR=206968889U&amp;KC=U")</f>
        <v>https://worldwide.espacenet.com/publicationDetails/biblio?II=150&amp;ND=3&amp;adjacent=true&amp;locale=en_EP&amp;FT=D&amp;date=20180206&amp;CC=CN&amp;NR=206968889U&amp;KC=U</v>
      </c>
    </row>
    <row r="1994" spans="3:5" x14ac:dyDescent="0.25">
      <c r="C1994" t="s">
        <v>3293</v>
      </c>
      <c r="D1994" t="s">
        <v>3294</v>
      </c>
      <c r="E1994" t="str">
        <f>HYPERLINK("https://worldwide.espacenet.com/publicationDetails/biblio?II=151&amp;ND=3&amp;adjacent=true&amp;locale=en_EP&amp;FT=D&amp;date=20180202&amp;CC=CN&amp;NR=206954342U&amp;KC=U")</f>
        <v>https://worldwide.espacenet.com/publicationDetails/biblio?II=151&amp;ND=3&amp;adjacent=true&amp;locale=en_EP&amp;FT=D&amp;date=20180202&amp;CC=CN&amp;NR=206954342U&amp;KC=U</v>
      </c>
    </row>
    <row r="1995" spans="3:5" x14ac:dyDescent="0.25">
      <c r="C1995" t="s">
        <v>3295</v>
      </c>
      <c r="D1995" t="s">
        <v>3296</v>
      </c>
      <c r="E1995" t="str">
        <f>HYPERLINK("https://worldwide.espacenet.com/publicationDetails/biblio?II=152&amp;ND=3&amp;adjacent=true&amp;locale=en_EP&amp;FT=D&amp;date=20180130&amp;CC=CN&amp;NR=206945009U&amp;KC=U")</f>
        <v>https://worldwide.espacenet.com/publicationDetails/biblio?II=152&amp;ND=3&amp;adjacent=true&amp;locale=en_EP&amp;FT=D&amp;date=20180130&amp;CC=CN&amp;NR=206945009U&amp;KC=U</v>
      </c>
    </row>
    <row r="1996" spans="3:5" x14ac:dyDescent="0.25">
      <c r="C1996" t="s">
        <v>3297</v>
      </c>
      <c r="D1996" t="s">
        <v>3298</v>
      </c>
      <c r="E1996" t="str">
        <f>HYPERLINK("https://worldwide.espacenet.com/publicationDetails/biblio?II=153&amp;ND=3&amp;adjacent=true&amp;locale=en_EP&amp;FT=D&amp;date=20180112&amp;CC=CN&amp;NR=206869915U&amp;KC=U")</f>
        <v>https://worldwide.espacenet.com/publicationDetails/biblio?II=153&amp;ND=3&amp;adjacent=true&amp;locale=en_EP&amp;FT=D&amp;date=20180112&amp;CC=CN&amp;NR=206869915U&amp;KC=U</v>
      </c>
    </row>
    <row r="1997" spans="3:5" x14ac:dyDescent="0.25">
      <c r="C1997" t="s">
        <v>3299</v>
      </c>
      <c r="D1997" t="s">
        <v>3300</v>
      </c>
      <c r="E1997" t="str">
        <f>HYPERLINK("https://worldwide.espacenet.com/publicationDetails/biblio?II=154&amp;ND=3&amp;adjacent=true&amp;locale=en_EP&amp;FT=D&amp;date=20180123&amp;CC=CN&amp;NR=206917361U&amp;KC=U")</f>
        <v>https://worldwide.espacenet.com/publicationDetails/biblio?II=154&amp;ND=3&amp;adjacent=true&amp;locale=en_EP&amp;FT=D&amp;date=20180123&amp;CC=CN&amp;NR=206917361U&amp;KC=U</v>
      </c>
    </row>
    <row r="1998" spans="3:5" x14ac:dyDescent="0.25">
      <c r="C1998" t="s">
        <v>3301</v>
      </c>
      <c r="D1998" t="s">
        <v>3302</v>
      </c>
      <c r="E1998" t="str">
        <f>HYPERLINK("https://worldwide.espacenet.com/publicationDetails/biblio?II=155&amp;ND=3&amp;adjacent=true&amp;locale=en_EP&amp;FT=D&amp;date=20180308&amp;CC=WO&amp;NR=2018043647A1&amp;KC=A1")</f>
        <v>https://worldwide.espacenet.com/publicationDetails/biblio?II=155&amp;ND=3&amp;adjacent=true&amp;locale=en_EP&amp;FT=D&amp;date=20180308&amp;CC=WO&amp;NR=2018043647A1&amp;KC=A1</v>
      </c>
    </row>
    <row r="1999" spans="3:5" x14ac:dyDescent="0.25">
      <c r="C1999" t="s">
        <v>3303</v>
      </c>
      <c r="D1999" t="s">
        <v>3304</v>
      </c>
      <c r="E1999" t="str">
        <f>HYPERLINK("https://worldwide.espacenet.com/publicationDetails/biblio?II=156&amp;ND=3&amp;adjacent=true&amp;locale=en_EP&amp;FT=D&amp;date=20180119&amp;CC=CN&amp;NR=206903974U&amp;KC=U")</f>
        <v>https://worldwide.espacenet.com/publicationDetails/biblio?II=156&amp;ND=3&amp;adjacent=true&amp;locale=en_EP&amp;FT=D&amp;date=20180119&amp;CC=CN&amp;NR=206903974U&amp;KC=U</v>
      </c>
    </row>
    <row r="2000" spans="3:5" x14ac:dyDescent="0.25">
      <c r="C2000" t="s">
        <v>3305</v>
      </c>
      <c r="D2000" t="s">
        <v>3306</v>
      </c>
      <c r="E2000" t="str">
        <f>HYPERLINK("https://worldwide.espacenet.com/publicationDetails/biblio?II=157&amp;ND=3&amp;adjacent=true&amp;locale=en_EP&amp;FT=D&amp;date=20180119&amp;CC=CN&amp;NR=206900749U&amp;KC=U")</f>
        <v>https://worldwide.espacenet.com/publicationDetails/biblio?II=157&amp;ND=3&amp;adjacent=true&amp;locale=en_EP&amp;FT=D&amp;date=20180119&amp;CC=CN&amp;NR=206900749U&amp;KC=U</v>
      </c>
    </row>
    <row r="2001" spans="3:5" x14ac:dyDescent="0.25">
      <c r="C2001" t="s">
        <v>3307</v>
      </c>
      <c r="D2001" t="s">
        <v>3308</v>
      </c>
      <c r="E2001" t="str">
        <f>HYPERLINK("https://worldwide.espacenet.com/publicationDetails/biblio?II=158&amp;ND=3&amp;adjacent=true&amp;locale=en_EP&amp;FT=D&amp;date=20180306&amp;CC=CN&amp;NR=107756386A&amp;KC=A")</f>
        <v>https://worldwide.espacenet.com/publicationDetails/biblio?II=158&amp;ND=3&amp;adjacent=true&amp;locale=en_EP&amp;FT=D&amp;date=20180306&amp;CC=CN&amp;NR=107756386A&amp;KC=A</v>
      </c>
    </row>
    <row r="2002" spans="3:5" x14ac:dyDescent="0.25">
      <c r="C2002" t="s">
        <v>3309</v>
      </c>
      <c r="D2002" t="s">
        <v>3310</v>
      </c>
      <c r="E2002" t="str">
        <f>HYPERLINK("https://worldwide.espacenet.com/publicationDetails/biblio?II=159&amp;ND=3&amp;adjacent=true&amp;locale=en_EP&amp;FT=D&amp;date=20180306&amp;CC=CN&amp;NR=107756436A&amp;KC=A")</f>
        <v>https://worldwide.espacenet.com/publicationDetails/biblio?II=159&amp;ND=3&amp;adjacent=true&amp;locale=en_EP&amp;FT=D&amp;date=20180306&amp;CC=CN&amp;NR=107756436A&amp;KC=A</v>
      </c>
    </row>
    <row r="2003" spans="3:5" x14ac:dyDescent="0.25">
      <c r="C2003" t="s">
        <v>3311</v>
      </c>
      <c r="D2003" t="s">
        <v>3312</v>
      </c>
      <c r="E2003" t="str">
        <f>HYPERLINK("https://worldwide.espacenet.com/publicationDetails/biblio?II=160&amp;ND=3&amp;adjacent=true&amp;locale=en_EP&amp;FT=D&amp;date=20180306&amp;CC=CN&amp;NR=107765729A&amp;KC=A")</f>
        <v>https://worldwide.espacenet.com/publicationDetails/biblio?II=160&amp;ND=3&amp;adjacent=true&amp;locale=en_EP&amp;FT=D&amp;date=20180306&amp;CC=CN&amp;NR=107765729A&amp;KC=A</v>
      </c>
    </row>
    <row r="2004" spans="3:5" x14ac:dyDescent="0.25">
      <c r="C2004" t="s">
        <v>3313</v>
      </c>
      <c r="D2004" t="s">
        <v>3314</v>
      </c>
      <c r="E2004" t="str">
        <f>HYPERLINK("https://worldwide.espacenet.com/publicationDetails/biblio?II=161&amp;ND=3&amp;adjacent=true&amp;locale=en_EP&amp;FT=D&amp;date=20180302&amp;CC=CN&amp;NR=107747594A&amp;KC=A")</f>
        <v>https://worldwide.espacenet.com/publicationDetails/biblio?II=161&amp;ND=3&amp;adjacent=true&amp;locale=en_EP&amp;FT=D&amp;date=20180302&amp;CC=CN&amp;NR=107747594A&amp;KC=A</v>
      </c>
    </row>
    <row r="2005" spans="3:5" x14ac:dyDescent="0.25">
      <c r="C2005" t="s">
        <v>3315</v>
      </c>
      <c r="D2005" t="s">
        <v>3316</v>
      </c>
      <c r="E2005" t="str">
        <f>HYPERLINK("https://worldwide.espacenet.com/publicationDetails/biblio?II=162&amp;ND=3&amp;adjacent=true&amp;locale=en_EP&amp;FT=D&amp;date=20180302&amp;CC=CN&amp;NR=107745392A&amp;KC=A")</f>
        <v>https://worldwide.espacenet.com/publicationDetails/biblio?II=162&amp;ND=3&amp;adjacent=true&amp;locale=en_EP&amp;FT=D&amp;date=20180302&amp;CC=CN&amp;NR=107745392A&amp;KC=A</v>
      </c>
    </row>
    <row r="2006" spans="3:5" x14ac:dyDescent="0.25">
      <c r="C2006" t="s">
        <v>3317</v>
      </c>
      <c r="D2006" t="s">
        <v>3318</v>
      </c>
      <c r="E2006" t="str">
        <f>HYPERLINK("https://worldwide.espacenet.com/publicationDetails/biblio?II=163&amp;ND=3&amp;adjacent=true&amp;locale=en_EP&amp;FT=D&amp;date=20180301&amp;CC=US&amp;NR=2018056515A1&amp;KC=A1")</f>
        <v>https://worldwide.espacenet.com/publicationDetails/biblio?II=163&amp;ND=3&amp;adjacent=true&amp;locale=en_EP&amp;FT=D&amp;date=20180301&amp;CC=US&amp;NR=2018056515A1&amp;KC=A1</v>
      </c>
    </row>
    <row r="2007" spans="3:5" x14ac:dyDescent="0.25">
      <c r="C2007" t="s">
        <v>3319</v>
      </c>
      <c r="D2007" t="s">
        <v>3320</v>
      </c>
      <c r="E2007" t="str">
        <f>HYPERLINK("https://worldwide.espacenet.com/publicationDetails/biblio?II=164&amp;ND=3&amp;adjacent=true&amp;locale=en_EP&amp;FT=D&amp;date=20180227&amp;CC=CN&amp;NR=107737032A&amp;KC=A")</f>
        <v>https://worldwide.espacenet.com/publicationDetails/biblio?II=164&amp;ND=3&amp;adjacent=true&amp;locale=en_EP&amp;FT=D&amp;date=20180227&amp;CC=CN&amp;NR=107737032A&amp;KC=A</v>
      </c>
    </row>
    <row r="2008" spans="3:5" x14ac:dyDescent="0.25">
      <c r="C2008" t="s">
        <v>3321</v>
      </c>
      <c r="D2008" t="s">
        <v>3322</v>
      </c>
      <c r="E2008" t="str">
        <f>HYPERLINK("https://worldwide.espacenet.com/publicationDetails/biblio?II=165&amp;ND=3&amp;adjacent=true&amp;locale=en_EP&amp;FT=D&amp;date=20180227&amp;CC=CN&amp;NR=107739931A&amp;KC=A")</f>
        <v>https://worldwide.espacenet.com/publicationDetails/biblio?II=165&amp;ND=3&amp;adjacent=true&amp;locale=en_EP&amp;FT=D&amp;date=20180227&amp;CC=CN&amp;NR=107739931A&amp;KC=A</v>
      </c>
    </row>
    <row r="2009" spans="3:5" x14ac:dyDescent="0.25">
      <c r="C2009" t="s">
        <v>3323</v>
      </c>
      <c r="D2009" t="s">
        <v>3324</v>
      </c>
      <c r="E2009" t="str">
        <f>HYPERLINK("https://worldwide.espacenet.com/publicationDetails/biblio?II=166&amp;ND=3&amp;adjacent=true&amp;locale=en_EP&amp;FT=D&amp;date=20180223&amp;CC=CN&amp;NR=107718012A&amp;KC=A")</f>
        <v>https://worldwide.espacenet.com/publicationDetails/biblio?II=166&amp;ND=3&amp;adjacent=true&amp;locale=en_EP&amp;FT=D&amp;date=20180223&amp;CC=CN&amp;NR=107718012A&amp;KC=A</v>
      </c>
    </row>
    <row r="2010" spans="3:5" x14ac:dyDescent="0.25">
      <c r="C2010" t="s">
        <v>3325</v>
      </c>
      <c r="D2010" t="s">
        <v>3326</v>
      </c>
      <c r="E2010" t="str">
        <f>HYPERLINK("https://worldwide.espacenet.com/publicationDetails/biblio?II=167&amp;ND=3&amp;adjacent=true&amp;locale=en_EP&amp;FT=D&amp;date=20180223&amp;CC=CN&amp;NR=107728635A&amp;KC=A")</f>
        <v>https://worldwide.espacenet.com/publicationDetails/biblio?II=167&amp;ND=3&amp;adjacent=true&amp;locale=en_EP&amp;FT=D&amp;date=20180223&amp;CC=CN&amp;NR=107728635A&amp;KC=A</v>
      </c>
    </row>
    <row r="2011" spans="3:5" x14ac:dyDescent="0.25">
      <c r="C2011" t="s">
        <v>549</v>
      </c>
      <c r="D2011" t="s">
        <v>550</v>
      </c>
      <c r="E2011" t="str">
        <f>HYPERLINK("https://worldwide.espacenet.com/publicationDetails/biblio?II=168&amp;ND=3&amp;adjacent=true&amp;locale=en_EP&amp;FT=D&amp;date=20180223&amp;CC=CN&amp;NR=107717942A&amp;KC=A")</f>
        <v>https://worldwide.espacenet.com/publicationDetails/biblio?II=168&amp;ND=3&amp;adjacent=true&amp;locale=en_EP&amp;FT=D&amp;date=20180223&amp;CC=CN&amp;NR=107717942A&amp;KC=A</v>
      </c>
    </row>
    <row r="2012" spans="3:5" x14ac:dyDescent="0.25">
      <c r="C2012" t="s">
        <v>1131</v>
      </c>
      <c r="D2012" t="s">
        <v>3327</v>
      </c>
      <c r="E2012" t="str">
        <f>HYPERLINK("https://worldwide.espacenet.com/publicationDetails/biblio?II=169&amp;ND=3&amp;adjacent=true&amp;locale=en_EP&amp;FT=D&amp;date=20180223&amp;CC=CN&amp;NR=107717957A&amp;KC=A")</f>
        <v>https://worldwide.espacenet.com/publicationDetails/biblio?II=169&amp;ND=3&amp;adjacent=true&amp;locale=en_EP&amp;FT=D&amp;date=20180223&amp;CC=CN&amp;NR=107717957A&amp;KC=A</v>
      </c>
    </row>
    <row r="2013" spans="3:5" x14ac:dyDescent="0.25">
      <c r="C2013" t="s">
        <v>3328</v>
      </c>
      <c r="D2013" t="s">
        <v>3329</v>
      </c>
      <c r="E2013" t="str">
        <f>HYPERLINK("https://worldwide.espacenet.com/publicationDetails/biblio?II=170&amp;ND=3&amp;adjacent=true&amp;locale=en_EP&amp;FT=D&amp;date=20180223&amp;CC=CN&amp;NR=107717283A&amp;KC=A")</f>
        <v>https://worldwide.espacenet.com/publicationDetails/biblio?II=170&amp;ND=3&amp;adjacent=true&amp;locale=en_EP&amp;FT=D&amp;date=20180223&amp;CC=CN&amp;NR=107717283A&amp;KC=A</v>
      </c>
    </row>
    <row r="2014" spans="3:5" x14ac:dyDescent="0.25">
      <c r="C2014" t="s">
        <v>3330</v>
      </c>
      <c r="D2014" t="s">
        <v>3331</v>
      </c>
      <c r="E2014" t="str">
        <f>HYPERLINK("https://worldwide.espacenet.com/publicationDetails/biblio?II=171&amp;ND=3&amp;adjacent=true&amp;locale=en_EP&amp;FT=D&amp;date=20180216&amp;CC=CN&amp;NR=107696066A&amp;KC=A")</f>
        <v>https://worldwide.espacenet.com/publicationDetails/biblio?II=171&amp;ND=3&amp;adjacent=true&amp;locale=en_EP&amp;FT=D&amp;date=20180216&amp;CC=CN&amp;NR=107696066A&amp;KC=A</v>
      </c>
    </row>
    <row r="2015" spans="3:5" x14ac:dyDescent="0.25">
      <c r="C2015" t="s">
        <v>3332</v>
      </c>
      <c r="D2015" t="s">
        <v>3333</v>
      </c>
      <c r="E2015" t="str">
        <f>HYPERLINK("https://worldwide.espacenet.com/publicationDetails/biblio?II=172&amp;ND=3&amp;adjacent=true&amp;locale=en_EP&amp;FT=D&amp;date=20180216&amp;CC=CN&amp;NR=107696048A&amp;KC=A")</f>
        <v>https://worldwide.espacenet.com/publicationDetails/biblio?II=172&amp;ND=3&amp;adjacent=true&amp;locale=en_EP&amp;FT=D&amp;date=20180216&amp;CC=CN&amp;NR=107696048A&amp;KC=A</v>
      </c>
    </row>
    <row r="2016" spans="3:5" x14ac:dyDescent="0.25">
      <c r="C2016" t="s">
        <v>3334</v>
      </c>
      <c r="D2016" t="s">
        <v>3335</v>
      </c>
      <c r="E2016" t="str">
        <f>HYPERLINK("https://worldwide.espacenet.com/publicationDetails/biblio?II=173&amp;ND=3&amp;adjacent=true&amp;locale=en_EP&amp;FT=D&amp;date=20180216&amp;CC=CN&amp;NR=107696914A&amp;KC=A")</f>
        <v>https://worldwide.espacenet.com/publicationDetails/biblio?II=173&amp;ND=3&amp;adjacent=true&amp;locale=en_EP&amp;FT=D&amp;date=20180216&amp;CC=CN&amp;NR=107696914A&amp;KC=A</v>
      </c>
    </row>
    <row r="2017" spans="3:5" x14ac:dyDescent="0.25">
      <c r="C2017" t="s">
        <v>3336</v>
      </c>
      <c r="D2017" t="s">
        <v>3337</v>
      </c>
      <c r="E2017" t="str">
        <f>HYPERLINK("https://worldwide.espacenet.com/publicationDetails/biblio?II=174&amp;ND=3&amp;adjacent=true&amp;locale=en_EP&amp;FT=D&amp;date=20180216&amp;CC=CN&amp;NR=107696012A&amp;KC=A")</f>
        <v>https://worldwide.espacenet.com/publicationDetails/biblio?II=174&amp;ND=3&amp;adjacent=true&amp;locale=en_EP&amp;FT=D&amp;date=20180216&amp;CC=CN&amp;NR=107696012A&amp;KC=A</v>
      </c>
    </row>
    <row r="2018" spans="3:5" x14ac:dyDescent="0.25">
      <c r="C2018" t="s">
        <v>3338</v>
      </c>
      <c r="D2018" t="s">
        <v>3339</v>
      </c>
      <c r="E2018" t="str">
        <f>HYPERLINK("https://worldwide.espacenet.com/publicationDetails/biblio?II=175&amp;ND=3&amp;adjacent=true&amp;locale=en_EP&amp;FT=D&amp;date=20180216&amp;CC=CN&amp;NR=107699758A&amp;KC=A")</f>
        <v>https://worldwide.espacenet.com/publicationDetails/biblio?II=175&amp;ND=3&amp;adjacent=true&amp;locale=en_EP&amp;FT=D&amp;date=20180216&amp;CC=CN&amp;NR=107699758A&amp;KC=A</v>
      </c>
    </row>
    <row r="2019" spans="3:5" x14ac:dyDescent="0.25">
      <c r="C2019" t="s">
        <v>3340</v>
      </c>
      <c r="D2019" t="s">
        <v>3341</v>
      </c>
      <c r="E2019" t="str">
        <f>HYPERLINK("https://worldwide.espacenet.com/publicationDetails/biblio?II=176&amp;ND=3&amp;adjacent=true&amp;locale=en_EP&amp;FT=D&amp;date=20180216&amp;CC=CN&amp;NR=107697174A&amp;KC=A")</f>
        <v>https://worldwide.espacenet.com/publicationDetails/biblio?II=176&amp;ND=3&amp;adjacent=true&amp;locale=en_EP&amp;FT=D&amp;date=20180216&amp;CC=CN&amp;NR=107697174A&amp;KC=A</v>
      </c>
    </row>
    <row r="2020" spans="3:5" x14ac:dyDescent="0.25">
      <c r="C2020" t="s">
        <v>3342</v>
      </c>
      <c r="D2020" t="s">
        <v>3343</v>
      </c>
      <c r="E2020" t="str">
        <f>HYPERLINK("https://worldwide.espacenet.com/publicationDetails/biblio?II=177&amp;ND=3&amp;adjacent=true&amp;locale=en_EP&amp;FT=D&amp;date=20180213&amp;CC=CN&amp;NR=107686780A&amp;KC=A")</f>
        <v>https://worldwide.espacenet.com/publicationDetails/biblio?II=177&amp;ND=3&amp;adjacent=true&amp;locale=en_EP&amp;FT=D&amp;date=20180213&amp;CC=CN&amp;NR=107686780A&amp;KC=A</v>
      </c>
    </row>
    <row r="2021" spans="3:5" x14ac:dyDescent="0.25">
      <c r="C2021" t="s">
        <v>3344</v>
      </c>
      <c r="D2021" t="s">
        <v>3345</v>
      </c>
      <c r="E2021" t="str">
        <f>HYPERLINK("https://worldwide.espacenet.com/publicationDetails/biblio?II=178&amp;ND=3&amp;adjacent=true&amp;locale=en_EP&amp;FT=D&amp;date=20180213&amp;CC=CN&amp;NR=107685321A&amp;KC=A")</f>
        <v>https://worldwide.espacenet.com/publicationDetails/biblio?II=178&amp;ND=3&amp;adjacent=true&amp;locale=en_EP&amp;FT=D&amp;date=20180213&amp;CC=CN&amp;NR=107685321A&amp;KC=A</v>
      </c>
    </row>
    <row r="2022" spans="3:5" x14ac:dyDescent="0.25">
      <c r="C2022" t="s">
        <v>3346</v>
      </c>
      <c r="D2022" t="s">
        <v>3347</v>
      </c>
      <c r="E2022" t="str">
        <f>HYPERLINK("https://worldwide.espacenet.com/publicationDetails/biblio?II=179&amp;ND=3&amp;adjacent=true&amp;locale=en_EP&amp;FT=D&amp;date=20180209&amp;CC=CN&amp;NR=107681971A&amp;KC=A")</f>
        <v>https://worldwide.espacenet.com/publicationDetails/biblio?II=179&amp;ND=3&amp;adjacent=true&amp;locale=en_EP&amp;FT=D&amp;date=20180209&amp;CC=CN&amp;NR=107681971A&amp;KC=A</v>
      </c>
    </row>
    <row r="2023" spans="3:5" x14ac:dyDescent="0.25">
      <c r="C2023" t="s">
        <v>3348</v>
      </c>
      <c r="D2023" t="s">
        <v>3349</v>
      </c>
      <c r="E2023" t="str">
        <f>HYPERLINK("https://worldwide.espacenet.com/publicationDetails/biblio?II=180&amp;ND=3&amp;adjacent=true&amp;locale=en_EP&amp;FT=D&amp;date=20180206&amp;CC=CN&amp;NR=107661631A&amp;KC=A")</f>
        <v>https://worldwide.espacenet.com/publicationDetails/biblio?II=180&amp;ND=3&amp;adjacent=true&amp;locale=en_EP&amp;FT=D&amp;date=20180206&amp;CC=CN&amp;NR=107661631A&amp;KC=A</v>
      </c>
    </row>
    <row r="2024" spans="3:5" x14ac:dyDescent="0.25">
      <c r="C2024" t="s">
        <v>3350</v>
      </c>
      <c r="D2024" t="s">
        <v>3351</v>
      </c>
      <c r="E2024" t="str">
        <f>HYPERLINK("https://worldwide.espacenet.com/publicationDetails/biblio?II=181&amp;ND=3&amp;adjacent=true&amp;locale=en_EP&amp;FT=D&amp;date=20180209&amp;CC=CN&amp;NR=107672685A&amp;KC=A")</f>
        <v>https://worldwide.espacenet.com/publicationDetails/biblio?II=181&amp;ND=3&amp;adjacent=true&amp;locale=en_EP&amp;FT=D&amp;date=20180209&amp;CC=CN&amp;NR=107672685A&amp;KC=A</v>
      </c>
    </row>
    <row r="2025" spans="3:5" x14ac:dyDescent="0.25">
      <c r="C2025" t="s">
        <v>3352</v>
      </c>
      <c r="D2025" t="s">
        <v>3353</v>
      </c>
      <c r="E2025" t="str">
        <f>HYPERLINK("https://worldwide.espacenet.com/publicationDetails/biblio?II=182&amp;ND=3&amp;adjacent=true&amp;locale=en_EP&amp;FT=D&amp;date=20180202&amp;CC=CN&amp;NR=107651566A&amp;KC=A")</f>
        <v>https://worldwide.espacenet.com/publicationDetails/biblio?II=182&amp;ND=3&amp;adjacent=true&amp;locale=en_EP&amp;FT=D&amp;date=20180202&amp;CC=CN&amp;NR=107651566A&amp;KC=A</v>
      </c>
    </row>
    <row r="2026" spans="3:5" x14ac:dyDescent="0.25">
      <c r="C2026" t="s">
        <v>3354</v>
      </c>
      <c r="D2026" t="s">
        <v>3355</v>
      </c>
      <c r="E2026" t="str">
        <f>HYPERLINK("https://worldwide.espacenet.com/publicationDetails/biblio?II=183&amp;ND=3&amp;adjacent=true&amp;locale=en_EP&amp;FT=D&amp;date=20180126&amp;CC=CN&amp;NR=107627306A&amp;KC=A")</f>
        <v>https://worldwide.espacenet.com/publicationDetails/biblio?II=183&amp;ND=3&amp;adjacent=true&amp;locale=en_EP&amp;FT=D&amp;date=20180126&amp;CC=CN&amp;NR=107627306A&amp;KC=A</v>
      </c>
    </row>
    <row r="2027" spans="3:5" x14ac:dyDescent="0.25">
      <c r="C2027" t="s">
        <v>3356</v>
      </c>
      <c r="D2027" t="s">
        <v>3357</v>
      </c>
      <c r="E2027" t="str">
        <f>HYPERLINK("https://worldwide.espacenet.com/publicationDetails/biblio?II=184&amp;ND=3&amp;adjacent=true&amp;locale=en_EP&amp;FT=D&amp;date=20180130&amp;CC=CN&amp;NR=107643760A&amp;KC=A")</f>
        <v>https://worldwide.espacenet.com/publicationDetails/biblio?II=184&amp;ND=3&amp;adjacent=true&amp;locale=en_EP&amp;FT=D&amp;date=20180130&amp;CC=CN&amp;NR=107643760A&amp;KC=A</v>
      </c>
    </row>
    <row r="2028" spans="3:5" x14ac:dyDescent="0.25">
      <c r="C2028" t="s">
        <v>3358</v>
      </c>
      <c r="D2028" t="s">
        <v>3359</v>
      </c>
      <c r="E2028" t="str">
        <f>HYPERLINK("https://worldwide.espacenet.com/publicationDetails/biblio?II=185&amp;ND=3&amp;adjacent=true&amp;locale=en_EP&amp;FT=D&amp;date=20180126&amp;CC=CN&amp;NR=107627175A&amp;KC=A")</f>
        <v>https://worldwide.espacenet.com/publicationDetails/biblio?II=185&amp;ND=3&amp;adjacent=true&amp;locale=en_EP&amp;FT=D&amp;date=20180126&amp;CC=CN&amp;NR=107627175A&amp;KC=A</v>
      </c>
    </row>
    <row r="2029" spans="3:5" x14ac:dyDescent="0.25">
      <c r="C2029" t="s">
        <v>602</v>
      </c>
      <c r="D2029" t="s">
        <v>603</v>
      </c>
      <c r="E2029" t="str">
        <f>HYPERLINK("https://worldwide.espacenet.com/publicationDetails/biblio?II=186&amp;ND=3&amp;adjacent=true&amp;locale=en_EP&amp;FT=D&amp;date=20180122&amp;CC=KR&amp;NR=20180007208A&amp;KC=A")</f>
        <v>https://worldwide.espacenet.com/publicationDetails/biblio?II=186&amp;ND=3&amp;adjacent=true&amp;locale=en_EP&amp;FT=D&amp;date=20180122&amp;CC=KR&amp;NR=20180007208A&amp;KC=A</v>
      </c>
    </row>
    <row r="2030" spans="3:5" x14ac:dyDescent="0.25">
      <c r="C2030" t="s">
        <v>3360</v>
      </c>
      <c r="D2030" t="s">
        <v>3361</v>
      </c>
      <c r="E2030" t="str">
        <f>HYPERLINK("https://worldwide.espacenet.com/publicationDetails/biblio?II=187&amp;ND=3&amp;adjacent=true&amp;locale=en_EP&amp;FT=D&amp;date=20180123&amp;CC=CN&amp;NR=107621333A&amp;KC=A")</f>
        <v>https://worldwide.espacenet.com/publicationDetails/biblio?II=187&amp;ND=3&amp;adjacent=true&amp;locale=en_EP&amp;FT=D&amp;date=20180123&amp;CC=CN&amp;NR=107621333A&amp;KC=A</v>
      </c>
    </row>
    <row r="2031" spans="3:5" x14ac:dyDescent="0.25">
      <c r="C2031" t="s">
        <v>3362</v>
      </c>
      <c r="D2031" t="s">
        <v>3363</v>
      </c>
      <c r="E2031" t="str">
        <f>HYPERLINK("https://worldwide.espacenet.com/publicationDetails/biblio?II=188&amp;ND=3&amp;adjacent=true&amp;locale=en_EP&amp;FT=D&amp;date=20180119&amp;CC=CN&amp;NR=107607465A&amp;KC=A")</f>
        <v>https://worldwide.espacenet.com/publicationDetails/biblio?II=188&amp;ND=3&amp;adjacent=true&amp;locale=en_EP&amp;FT=D&amp;date=20180119&amp;CC=CN&amp;NR=107607465A&amp;KC=A</v>
      </c>
    </row>
    <row r="2032" spans="3:5" x14ac:dyDescent="0.25">
      <c r="C2032" t="s">
        <v>3364</v>
      </c>
      <c r="D2032" t="s">
        <v>3365</v>
      </c>
      <c r="E2032" t="str">
        <f>HYPERLINK("https://worldwide.espacenet.com/publicationDetails/biblio?II=189&amp;ND=3&amp;adjacent=true&amp;locale=en_EP&amp;FT=D&amp;date=20180119&amp;CC=CN&amp;NR=107598938A&amp;KC=A")</f>
        <v>https://worldwide.espacenet.com/publicationDetails/biblio?II=189&amp;ND=3&amp;adjacent=true&amp;locale=en_EP&amp;FT=D&amp;date=20180119&amp;CC=CN&amp;NR=107598938A&amp;KC=A</v>
      </c>
    </row>
    <row r="2033" spans="3:5" x14ac:dyDescent="0.25">
      <c r="C2033" t="s">
        <v>3366</v>
      </c>
      <c r="D2033" t="s">
        <v>3367</v>
      </c>
      <c r="E2033" t="str">
        <f>HYPERLINK("https://worldwide.espacenet.com/publicationDetails/biblio?II=190&amp;ND=3&amp;adjacent=true&amp;locale=en_EP&amp;FT=D&amp;date=20180119&amp;CC=CN&amp;NR=107598969A&amp;KC=A")</f>
        <v>https://worldwide.espacenet.com/publicationDetails/biblio?II=190&amp;ND=3&amp;adjacent=true&amp;locale=en_EP&amp;FT=D&amp;date=20180119&amp;CC=CN&amp;NR=107598969A&amp;KC=A</v>
      </c>
    </row>
    <row r="2034" spans="3:5" x14ac:dyDescent="0.25">
      <c r="C2034" t="s">
        <v>3368</v>
      </c>
      <c r="D2034" t="s">
        <v>3369</v>
      </c>
      <c r="E2034" t="str">
        <f>HYPERLINK("https://worldwide.espacenet.com/publicationDetails/biblio?II=191&amp;ND=3&amp;adjacent=true&amp;locale=en_EP&amp;FT=D&amp;date=20180112&amp;CC=CN&amp;NR=107571983A&amp;KC=A")</f>
        <v>https://worldwide.espacenet.com/publicationDetails/biblio?II=191&amp;ND=3&amp;adjacent=true&amp;locale=en_EP&amp;FT=D&amp;date=20180112&amp;CC=CN&amp;NR=107571983A&amp;KC=A</v>
      </c>
    </row>
    <row r="2035" spans="3:5" x14ac:dyDescent="0.25">
      <c r="C2035" t="s">
        <v>3370</v>
      </c>
      <c r="D2035" t="s">
        <v>3371</v>
      </c>
      <c r="E2035" t="str">
        <f>HYPERLINK("https://worldwide.espacenet.com/publicationDetails/biblio?II=192&amp;ND=3&amp;adjacent=true&amp;locale=en_EP&amp;FT=D&amp;date=20180116&amp;CC=CN&amp;NR=107589312A&amp;KC=A")</f>
        <v>https://worldwide.espacenet.com/publicationDetails/biblio?II=192&amp;ND=3&amp;adjacent=true&amp;locale=en_EP&amp;FT=D&amp;date=20180116&amp;CC=CN&amp;NR=107589312A&amp;KC=A</v>
      </c>
    </row>
    <row r="2036" spans="3:5" x14ac:dyDescent="0.25">
      <c r="C2036" t="s">
        <v>3372</v>
      </c>
      <c r="D2036" t="s">
        <v>3373</v>
      </c>
      <c r="E2036" t="str">
        <f>HYPERLINK("https://worldwide.espacenet.com/publicationDetails/biblio?II=193&amp;ND=3&amp;adjacent=true&amp;locale=en_EP&amp;FT=D&amp;date=20180112&amp;CC=CN&amp;NR=107577168A&amp;KC=A")</f>
        <v>https://worldwide.espacenet.com/publicationDetails/biblio?II=193&amp;ND=3&amp;adjacent=true&amp;locale=en_EP&amp;FT=D&amp;date=20180112&amp;CC=CN&amp;NR=107577168A&amp;KC=A</v>
      </c>
    </row>
    <row r="2037" spans="3:5" x14ac:dyDescent="0.25">
      <c r="C2037" t="s">
        <v>3374</v>
      </c>
      <c r="D2037" t="s">
        <v>3375</v>
      </c>
      <c r="E2037" t="str">
        <f>HYPERLINK("https://worldwide.espacenet.com/publicationDetails/biblio?II=194&amp;ND=3&amp;adjacent=true&amp;locale=en_EP&amp;FT=D&amp;date=20180109&amp;CC=CN&amp;NR=107553504A&amp;KC=A")</f>
        <v>https://worldwide.espacenet.com/publicationDetails/biblio?II=194&amp;ND=3&amp;adjacent=true&amp;locale=en_EP&amp;FT=D&amp;date=20180109&amp;CC=CN&amp;NR=107553504A&amp;KC=A</v>
      </c>
    </row>
    <row r="2038" spans="3:5" x14ac:dyDescent="0.25">
      <c r="C2038" t="s">
        <v>3376</v>
      </c>
      <c r="D2038" t="s">
        <v>3377</v>
      </c>
      <c r="E2038" t="str">
        <f>HYPERLINK("https://worldwide.espacenet.com/publicationDetails/biblio?II=195&amp;ND=3&amp;adjacent=true&amp;locale=en_EP&amp;FT=D&amp;date=20180109&amp;CC=CN&amp;NR=107562063A&amp;KC=A")</f>
        <v>https://worldwide.espacenet.com/publicationDetails/biblio?II=195&amp;ND=3&amp;adjacent=true&amp;locale=en_EP&amp;FT=D&amp;date=20180109&amp;CC=CN&amp;NR=107562063A&amp;KC=A</v>
      </c>
    </row>
    <row r="2039" spans="3:5" x14ac:dyDescent="0.25">
      <c r="C2039" t="s">
        <v>3378</v>
      </c>
      <c r="D2039" t="s">
        <v>3379</v>
      </c>
      <c r="E2039" t="str">
        <f>HYPERLINK("https://worldwide.espacenet.com/publicationDetails/biblio?II=196&amp;ND=3&amp;adjacent=true&amp;locale=en_EP&amp;FT=D&amp;date=20171213&amp;CC=KR&amp;NR=20170137469A&amp;KC=A")</f>
        <v>https://worldwide.espacenet.com/publicationDetails/biblio?II=196&amp;ND=3&amp;adjacent=true&amp;locale=en_EP&amp;FT=D&amp;date=20171213&amp;CC=KR&amp;NR=20170137469A&amp;KC=A</v>
      </c>
    </row>
    <row r="2040" spans="3:5" x14ac:dyDescent="0.25">
      <c r="C2040" t="s">
        <v>3380</v>
      </c>
      <c r="D2040" t="s">
        <v>3381</v>
      </c>
      <c r="E2040" t="str">
        <f>HYPERLINK("https://worldwide.espacenet.com/publicationDetails/biblio?II=197&amp;ND=3&amp;adjacent=true&amp;locale=en_EP&amp;FT=D&amp;date=20171218&amp;CC=KR&amp;NR=20170138623A&amp;KC=A")</f>
        <v>https://worldwide.espacenet.com/publicationDetails/biblio?II=197&amp;ND=3&amp;adjacent=true&amp;locale=en_EP&amp;FT=D&amp;date=20171218&amp;CC=KR&amp;NR=20170138623A&amp;KC=A</v>
      </c>
    </row>
    <row r="2041" spans="3:5" x14ac:dyDescent="0.25">
      <c r="C2041" t="s">
        <v>3382</v>
      </c>
      <c r="D2041" t="s">
        <v>3383</v>
      </c>
      <c r="E2041" t="str">
        <f>HYPERLINK("https://worldwide.espacenet.com/publicationDetails/biblio?II=198&amp;ND=3&amp;adjacent=true&amp;locale=en_EP&amp;FT=D&amp;date=20180109&amp;CC=CN&amp;NR=206855432U&amp;KC=U")</f>
        <v>https://worldwide.espacenet.com/publicationDetails/biblio?II=198&amp;ND=3&amp;adjacent=true&amp;locale=en_EP&amp;FT=D&amp;date=20180109&amp;CC=CN&amp;NR=206855432U&amp;KC=U</v>
      </c>
    </row>
    <row r="2042" spans="3:5" x14ac:dyDescent="0.25">
      <c r="C2042" t="s">
        <v>3384</v>
      </c>
      <c r="D2042" t="s">
        <v>3385</v>
      </c>
      <c r="E2042" t="str">
        <f>HYPERLINK("https://worldwide.espacenet.com/publicationDetails/biblio?II=199&amp;ND=3&amp;adjacent=true&amp;locale=en_EP&amp;FT=D&amp;date=20171130&amp;CC=KR&amp;NR=20170131747A&amp;KC=A")</f>
        <v>https://worldwide.espacenet.com/publicationDetails/biblio?II=199&amp;ND=3&amp;adjacent=true&amp;locale=en_EP&amp;FT=D&amp;date=20171130&amp;CC=KR&amp;NR=20170131747A&amp;KC=A</v>
      </c>
    </row>
    <row r="2043" spans="3:5" x14ac:dyDescent="0.25">
      <c r="C2043" t="s">
        <v>3386</v>
      </c>
      <c r="D2043" t="s">
        <v>3387</v>
      </c>
      <c r="E2043" t="str">
        <f>HYPERLINK("https://worldwide.espacenet.com/publicationDetails/biblio?II=200&amp;ND=3&amp;adjacent=true&amp;locale=en_EP&amp;FT=D&amp;date=20180105&amp;CC=CN&amp;NR=206846212U&amp;KC=U")</f>
        <v>https://worldwide.espacenet.com/publicationDetails/biblio?II=200&amp;ND=3&amp;adjacent=true&amp;locale=en_EP&amp;FT=D&amp;date=20180105&amp;CC=CN&amp;NR=206846212U&amp;KC=U</v>
      </c>
    </row>
    <row r="2044" spans="3:5" x14ac:dyDescent="0.25">
      <c r="C2044" t="s">
        <v>3388</v>
      </c>
      <c r="D2044" t="s">
        <v>3389</v>
      </c>
      <c r="E2044" t="str">
        <f>HYPERLINK("https://worldwide.espacenet.com/publicationDetails/biblio?II=201&amp;ND=3&amp;adjacent=true&amp;locale=en_EP&amp;FT=D&amp;date=20180105&amp;CC=CN&amp;NR=206840064U&amp;KC=U")</f>
        <v>https://worldwide.espacenet.com/publicationDetails/biblio?II=201&amp;ND=3&amp;adjacent=true&amp;locale=en_EP&amp;FT=D&amp;date=20180105&amp;CC=CN&amp;NR=206840064U&amp;KC=U</v>
      </c>
    </row>
    <row r="2045" spans="3:5" x14ac:dyDescent="0.25">
      <c r="C2045" t="s">
        <v>3390</v>
      </c>
      <c r="D2045" t="s">
        <v>3391</v>
      </c>
      <c r="E2045" t="str">
        <f>HYPERLINK("https://worldwide.espacenet.com/publicationDetails/biblio?II=202&amp;ND=3&amp;adjacent=true&amp;locale=en_EP&amp;FT=D&amp;date=20180104&amp;CC=WO&amp;NR=2018003080A1&amp;KC=A1")</f>
        <v>https://worldwide.espacenet.com/publicationDetails/biblio?II=202&amp;ND=3&amp;adjacent=true&amp;locale=en_EP&amp;FT=D&amp;date=20180104&amp;CC=WO&amp;NR=2018003080A1&amp;KC=A1</v>
      </c>
    </row>
    <row r="2046" spans="3:5" x14ac:dyDescent="0.25">
      <c r="C2046" t="s">
        <v>3392</v>
      </c>
      <c r="D2046" t="s">
        <v>3393</v>
      </c>
      <c r="E2046" t="str">
        <f>HYPERLINK("https://worldwide.espacenet.com/publicationDetails/biblio?II=203&amp;ND=3&amp;adjacent=true&amp;locale=en_EP&amp;FT=D&amp;date=20180102&amp;CC=CN&amp;NR=206835267U&amp;KC=U")</f>
        <v>https://worldwide.espacenet.com/publicationDetails/biblio?II=203&amp;ND=3&amp;adjacent=true&amp;locale=en_EP&amp;FT=D&amp;date=20180102&amp;CC=CN&amp;NR=206835267U&amp;KC=U</v>
      </c>
    </row>
    <row r="2047" spans="3:5" x14ac:dyDescent="0.25">
      <c r="C2047" t="s">
        <v>3394</v>
      </c>
      <c r="D2047" t="s">
        <v>3395</v>
      </c>
      <c r="E2047" t="str">
        <f>HYPERLINK("https://worldwide.espacenet.com/publicationDetails/biblio?II=204&amp;ND=3&amp;adjacent=true&amp;locale=en_EP&amp;FT=D&amp;date=20171226&amp;CC=CN&amp;NR=206794943U&amp;KC=U")</f>
        <v>https://worldwide.espacenet.com/publicationDetails/biblio?II=204&amp;ND=3&amp;adjacent=true&amp;locale=en_EP&amp;FT=D&amp;date=20171226&amp;CC=CN&amp;NR=206794943U&amp;KC=U</v>
      </c>
    </row>
    <row r="2048" spans="3:5" x14ac:dyDescent="0.25">
      <c r="C2048" t="s">
        <v>3396</v>
      </c>
      <c r="D2048" t="s">
        <v>3397</v>
      </c>
      <c r="E2048" t="str">
        <f>HYPERLINK("https://worldwide.espacenet.com/publicationDetails/biblio?II=205&amp;ND=3&amp;adjacent=true&amp;locale=en_EP&amp;FT=D&amp;date=20171226&amp;CC=CN&amp;NR=206804124U&amp;KC=U")</f>
        <v>https://worldwide.espacenet.com/publicationDetails/biblio?II=205&amp;ND=3&amp;adjacent=true&amp;locale=en_EP&amp;FT=D&amp;date=20171226&amp;CC=CN&amp;NR=206804124U&amp;KC=U</v>
      </c>
    </row>
    <row r="2049" spans="3:5" x14ac:dyDescent="0.25">
      <c r="C2049" t="s">
        <v>3398</v>
      </c>
      <c r="D2049" t="s">
        <v>3399</v>
      </c>
      <c r="E2049" t="str">
        <f>HYPERLINK("https://worldwide.espacenet.com/publicationDetails/biblio?II=206&amp;ND=3&amp;adjacent=true&amp;locale=en_EP&amp;FT=D&amp;date=20171222&amp;CC=CN&amp;NR=107496082A&amp;KC=A")</f>
        <v>https://worldwide.espacenet.com/publicationDetails/biblio?II=206&amp;ND=3&amp;adjacent=true&amp;locale=en_EP&amp;FT=D&amp;date=20171222&amp;CC=CN&amp;NR=107496082A&amp;KC=A</v>
      </c>
    </row>
    <row r="2050" spans="3:5" x14ac:dyDescent="0.25">
      <c r="C2050" t="s">
        <v>3400</v>
      </c>
      <c r="D2050" t="s">
        <v>3401</v>
      </c>
      <c r="E2050" t="str">
        <f>HYPERLINK("https://worldwide.espacenet.com/publicationDetails/biblio?II=207&amp;ND=3&amp;adjacent=true&amp;locale=en_EP&amp;FT=D&amp;date=20171222&amp;CC=CN&amp;NR=107499406A&amp;KC=A")</f>
        <v>https://worldwide.espacenet.com/publicationDetails/biblio?II=207&amp;ND=3&amp;adjacent=true&amp;locale=en_EP&amp;FT=D&amp;date=20171222&amp;CC=CN&amp;NR=107499406A&amp;KC=A</v>
      </c>
    </row>
    <row r="2051" spans="3:5" x14ac:dyDescent="0.25">
      <c r="C2051" t="s">
        <v>3402</v>
      </c>
      <c r="D2051" t="s">
        <v>3403</v>
      </c>
      <c r="E2051" t="str">
        <f>HYPERLINK("https://worldwide.espacenet.com/publicationDetails/biblio?II=208&amp;ND=3&amp;adjacent=true&amp;locale=en_EP&amp;FT=D&amp;date=20171222&amp;CC=CN&amp;NR=107509360A&amp;KC=A")</f>
        <v>https://worldwide.espacenet.com/publicationDetails/biblio?II=208&amp;ND=3&amp;adjacent=true&amp;locale=en_EP&amp;FT=D&amp;date=20171222&amp;CC=CN&amp;NR=107509360A&amp;KC=A</v>
      </c>
    </row>
    <row r="2052" spans="3:5" x14ac:dyDescent="0.25">
      <c r="C2052" t="s">
        <v>3404</v>
      </c>
      <c r="D2052" t="s">
        <v>3405</v>
      </c>
      <c r="E2052" t="str">
        <f>HYPERLINK("https://worldwide.espacenet.com/publicationDetails/biblio?II=209&amp;ND=3&amp;adjacent=true&amp;locale=en_EP&amp;FT=D&amp;date=20171221&amp;CC=US&amp;NR=2017360512A1&amp;KC=A1")</f>
        <v>https://worldwide.espacenet.com/publicationDetails/biblio?II=209&amp;ND=3&amp;adjacent=true&amp;locale=en_EP&amp;FT=D&amp;date=20171221&amp;CC=US&amp;NR=2017360512A1&amp;KC=A1</v>
      </c>
    </row>
    <row r="2053" spans="3:5" x14ac:dyDescent="0.25">
      <c r="C2053" t="s">
        <v>739</v>
      </c>
      <c r="D2053" t="s">
        <v>740</v>
      </c>
      <c r="E2053" t="str">
        <f>HYPERLINK("https://worldwide.espacenet.com/publicationDetails/biblio?II=210&amp;ND=3&amp;adjacent=true&amp;locale=en_EP&amp;FT=D&amp;date=20171219&amp;CC=CN&amp;NR=206764791U&amp;KC=U")</f>
        <v>https://worldwide.espacenet.com/publicationDetails/biblio?II=210&amp;ND=3&amp;adjacent=true&amp;locale=en_EP&amp;FT=D&amp;date=20171219&amp;CC=CN&amp;NR=206764791U&amp;KC=U</v>
      </c>
    </row>
    <row r="2054" spans="3:5" x14ac:dyDescent="0.25">
      <c r="C2054" t="s">
        <v>3406</v>
      </c>
      <c r="D2054" t="s">
        <v>3407</v>
      </c>
      <c r="E2054" t="str">
        <f>HYPERLINK("https://worldwide.espacenet.com/publicationDetails/biblio?II=211&amp;ND=3&amp;adjacent=true&amp;locale=en_EP&amp;FT=D&amp;date=20171215&amp;CC=CN&amp;NR=107479173A&amp;KC=A")</f>
        <v>https://worldwide.espacenet.com/publicationDetails/biblio?II=211&amp;ND=3&amp;adjacent=true&amp;locale=en_EP&amp;FT=D&amp;date=20171215&amp;CC=CN&amp;NR=107479173A&amp;KC=A</v>
      </c>
    </row>
    <row r="2055" spans="3:5" x14ac:dyDescent="0.25">
      <c r="C2055" t="s">
        <v>3408</v>
      </c>
      <c r="D2055" t="s">
        <v>3409</v>
      </c>
      <c r="E2055" t="str">
        <f>HYPERLINK("https://worldwide.espacenet.com/publicationDetails/biblio?II=212&amp;ND=3&amp;adjacent=true&amp;locale=en_EP&amp;FT=D&amp;date=20171215&amp;CC=CN&amp;NR=107473163A&amp;KC=A")</f>
        <v>https://worldwide.espacenet.com/publicationDetails/biblio?II=212&amp;ND=3&amp;adjacent=true&amp;locale=en_EP&amp;FT=D&amp;date=20171215&amp;CC=CN&amp;NR=107473163A&amp;KC=A</v>
      </c>
    </row>
    <row r="2056" spans="3:5" x14ac:dyDescent="0.25">
      <c r="C2056" t="s">
        <v>3410</v>
      </c>
      <c r="D2056" t="s">
        <v>3411</v>
      </c>
      <c r="E2056" t="str">
        <f>HYPERLINK("https://worldwide.espacenet.com/publicationDetails/biblio?II=213&amp;ND=3&amp;adjacent=true&amp;locale=en_EP&amp;FT=D&amp;date=20171212&amp;CC=CN&amp;NR=206738541U&amp;KC=U")</f>
        <v>https://worldwide.espacenet.com/publicationDetails/biblio?II=213&amp;ND=3&amp;adjacent=true&amp;locale=en_EP&amp;FT=D&amp;date=20171212&amp;CC=CN&amp;NR=206738541U&amp;KC=U</v>
      </c>
    </row>
    <row r="2057" spans="3:5" x14ac:dyDescent="0.25">
      <c r="C2057" t="s">
        <v>3412</v>
      </c>
      <c r="D2057" t="s">
        <v>3413</v>
      </c>
      <c r="E2057" t="str">
        <f>HYPERLINK("https://worldwide.espacenet.com/publicationDetails/biblio?II=214&amp;ND=3&amp;adjacent=true&amp;locale=en_EP&amp;FT=D&amp;date=20171212&amp;CC=CN&amp;NR=107458496A&amp;KC=A")</f>
        <v>https://worldwide.espacenet.com/publicationDetails/biblio?II=214&amp;ND=3&amp;adjacent=true&amp;locale=en_EP&amp;FT=D&amp;date=20171212&amp;CC=CN&amp;NR=107458496A&amp;KC=A</v>
      </c>
    </row>
    <row r="2058" spans="3:5" x14ac:dyDescent="0.25">
      <c r="C2058" t="s">
        <v>3414</v>
      </c>
      <c r="D2058" t="s">
        <v>3415</v>
      </c>
      <c r="E2058" t="str">
        <f>HYPERLINK("https://worldwide.espacenet.com/publicationDetails/biblio?II=215&amp;ND=3&amp;adjacent=true&amp;locale=en_EP&amp;FT=D&amp;date=20171208&amp;CC=CN&amp;NR=206716285U&amp;KC=U")</f>
        <v>https://worldwide.espacenet.com/publicationDetails/biblio?II=215&amp;ND=3&amp;adjacent=true&amp;locale=en_EP&amp;FT=D&amp;date=20171208&amp;CC=CN&amp;NR=206716285U&amp;KC=U</v>
      </c>
    </row>
    <row r="2059" spans="3:5" x14ac:dyDescent="0.25">
      <c r="C2059" t="s">
        <v>3416</v>
      </c>
      <c r="D2059" t="s">
        <v>3417</v>
      </c>
      <c r="E2059" t="str">
        <f>HYPERLINK("https://worldwide.espacenet.com/publicationDetails/biblio?II=216&amp;ND=3&amp;adjacent=true&amp;locale=en_EP&amp;FT=D&amp;date=20171208&amp;CC=CN&amp;NR=107444595A&amp;KC=A")</f>
        <v>https://worldwide.espacenet.com/publicationDetails/biblio?II=216&amp;ND=3&amp;adjacent=true&amp;locale=en_EP&amp;FT=D&amp;date=20171208&amp;CC=CN&amp;NR=107444595A&amp;KC=A</v>
      </c>
    </row>
    <row r="2060" spans="3:5" x14ac:dyDescent="0.25">
      <c r="C2060" t="s">
        <v>3418</v>
      </c>
      <c r="D2060" t="s">
        <v>3419</v>
      </c>
      <c r="E2060" t="str">
        <f>HYPERLINK("https://worldwide.espacenet.com/publicationDetails/biblio?II=217&amp;ND=3&amp;adjacent=true&amp;locale=en_EP&amp;FT=D&amp;date=20171208&amp;CC=CN&amp;NR=107446723A&amp;KC=A")</f>
        <v>https://worldwide.espacenet.com/publicationDetails/biblio?II=217&amp;ND=3&amp;adjacent=true&amp;locale=en_EP&amp;FT=D&amp;date=20171208&amp;CC=CN&amp;NR=107446723A&amp;KC=A</v>
      </c>
    </row>
    <row r="2061" spans="3:5" x14ac:dyDescent="0.25">
      <c r="C2061" t="s">
        <v>3420</v>
      </c>
      <c r="D2061" t="s">
        <v>3421</v>
      </c>
      <c r="E2061" t="str">
        <f>HYPERLINK("https://worldwide.espacenet.com/publicationDetails/biblio?II=218&amp;ND=3&amp;adjacent=true&amp;locale=en_EP&amp;FT=D&amp;date=20171208&amp;CC=CN&amp;NR=107443357A&amp;KC=A")</f>
        <v>https://worldwide.espacenet.com/publicationDetails/biblio?II=218&amp;ND=3&amp;adjacent=true&amp;locale=en_EP&amp;FT=D&amp;date=20171208&amp;CC=CN&amp;NR=107443357A&amp;KC=A</v>
      </c>
    </row>
    <row r="2062" spans="3:5" x14ac:dyDescent="0.25">
      <c r="C2062" t="s">
        <v>3422</v>
      </c>
      <c r="D2062" t="s">
        <v>3423</v>
      </c>
      <c r="E2062" t="str">
        <f>HYPERLINK("https://worldwide.espacenet.com/publicationDetails/biblio?II=219&amp;ND=3&amp;adjacent=true&amp;locale=en_EP&amp;FT=D&amp;date=20171208&amp;CC=CN&amp;NR=107444507A&amp;KC=A")</f>
        <v>https://worldwide.espacenet.com/publicationDetails/biblio?II=219&amp;ND=3&amp;adjacent=true&amp;locale=en_EP&amp;FT=D&amp;date=20171208&amp;CC=CN&amp;NR=107444507A&amp;KC=A</v>
      </c>
    </row>
    <row r="2063" spans="3:5" x14ac:dyDescent="0.25">
      <c r="C2063" t="s">
        <v>3424</v>
      </c>
      <c r="D2063" t="s">
        <v>3425</v>
      </c>
      <c r="E2063" t="str">
        <f>HYPERLINK("https://worldwide.espacenet.com/publicationDetails/biblio?II=220&amp;ND=3&amp;adjacent=true&amp;locale=en_EP&amp;FT=D&amp;date=20171208&amp;CC=CN&amp;NR=107448730A&amp;KC=A")</f>
        <v>https://worldwide.espacenet.com/publicationDetails/biblio?II=220&amp;ND=3&amp;adjacent=true&amp;locale=en_EP&amp;FT=D&amp;date=20171208&amp;CC=CN&amp;NR=107448730A&amp;KC=A</v>
      </c>
    </row>
    <row r="2064" spans="3:5" x14ac:dyDescent="0.25">
      <c r="C2064" t="s">
        <v>1131</v>
      </c>
      <c r="D2064" t="s">
        <v>3426</v>
      </c>
      <c r="E2064" t="str">
        <f>HYPERLINK("https://worldwide.espacenet.com/publicationDetails/biblio?II=221&amp;ND=3&amp;adjacent=true&amp;locale=en_EP&amp;FT=D&amp;date=20171208&amp;CC=CN&amp;NR=107443390A&amp;KC=A")</f>
        <v>https://worldwide.espacenet.com/publicationDetails/biblio?II=221&amp;ND=3&amp;adjacent=true&amp;locale=en_EP&amp;FT=D&amp;date=20171208&amp;CC=CN&amp;NR=107443390A&amp;KC=A</v>
      </c>
    </row>
    <row r="2065" spans="3:5" x14ac:dyDescent="0.25">
      <c r="C2065" t="s">
        <v>3427</v>
      </c>
      <c r="D2065" t="s">
        <v>3428</v>
      </c>
      <c r="E2065" t="str">
        <f>HYPERLINK("https://worldwide.espacenet.com/publicationDetails/biblio?II=222&amp;ND=3&amp;adjacent=true&amp;locale=en_EP&amp;FT=D&amp;date=20171205&amp;CC=CN&amp;NR=206705277U&amp;KC=U")</f>
        <v>https://worldwide.espacenet.com/publicationDetails/biblio?II=222&amp;ND=3&amp;adjacent=true&amp;locale=en_EP&amp;FT=D&amp;date=20171205&amp;CC=CN&amp;NR=206705277U&amp;KC=U</v>
      </c>
    </row>
    <row r="2066" spans="3:5" x14ac:dyDescent="0.25">
      <c r="C2066" t="s">
        <v>3429</v>
      </c>
      <c r="D2066" t="s">
        <v>3430</v>
      </c>
      <c r="E2066" t="str">
        <f>HYPERLINK("https://worldwide.espacenet.com/publicationDetails/biblio?II=223&amp;ND=3&amp;adjacent=true&amp;locale=en_EP&amp;FT=D&amp;date=20171201&amp;CC=CN&amp;NR=206695879U&amp;KC=U")</f>
        <v>https://worldwide.espacenet.com/publicationDetails/biblio?II=223&amp;ND=3&amp;adjacent=true&amp;locale=en_EP&amp;FT=D&amp;date=20171201&amp;CC=CN&amp;NR=206695879U&amp;KC=U</v>
      </c>
    </row>
    <row r="2067" spans="3:5" x14ac:dyDescent="0.25">
      <c r="C2067" t="s">
        <v>3431</v>
      </c>
      <c r="D2067" t="s">
        <v>3432</v>
      </c>
      <c r="E2067" t="str">
        <f>HYPERLINK("https://worldwide.espacenet.com/publicationDetails/biblio?II=224&amp;ND=3&amp;adjacent=true&amp;locale=en_EP&amp;FT=D&amp;date=20171201&amp;CC=CN&amp;NR=107414631A&amp;KC=A")</f>
        <v>https://worldwide.espacenet.com/publicationDetails/biblio?II=224&amp;ND=3&amp;adjacent=true&amp;locale=en_EP&amp;FT=D&amp;date=20171201&amp;CC=CN&amp;NR=107414631A&amp;KC=A</v>
      </c>
    </row>
    <row r="2068" spans="3:5" x14ac:dyDescent="0.25">
      <c r="C2068" t="s">
        <v>3433</v>
      </c>
      <c r="D2068" t="s">
        <v>3434</v>
      </c>
      <c r="E2068" t="str">
        <f>HYPERLINK("https://worldwide.espacenet.com/publicationDetails/biblio?II=225&amp;ND=3&amp;adjacent=true&amp;locale=en_EP&amp;FT=D&amp;date=20171201&amp;CC=CN&amp;NR=107414823A&amp;KC=A")</f>
        <v>https://worldwide.espacenet.com/publicationDetails/biblio?II=225&amp;ND=3&amp;adjacent=true&amp;locale=en_EP&amp;FT=D&amp;date=20171201&amp;CC=CN&amp;NR=107414823A&amp;KC=A</v>
      </c>
    </row>
    <row r="2069" spans="3:5" x14ac:dyDescent="0.25">
      <c r="C2069" t="s">
        <v>3435</v>
      </c>
      <c r="D2069" t="s">
        <v>3436</v>
      </c>
      <c r="E2069" t="str">
        <f>HYPERLINK("https://worldwide.espacenet.com/publicationDetails/biblio?II=226&amp;ND=3&amp;adjacent=true&amp;locale=en_EP&amp;FT=D&amp;date=20171128&amp;CC=CN&amp;NR=206677953U&amp;KC=U")</f>
        <v>https://worldwide.espacenet.com/publicationDetails/biblio?II=226&amp;ND=3&amp;adjacent=true&amp;locale=en_EP&amp;FT=D&amp;date=20171128&amp;CC=CN&amp;NR=206677953U&amp;KC=U</v>
      </c>
    </row>
    <row r="2070" spans="3:5" x14ac:dyDescent="0.25">
      <c r="C2070" t="s">
        <v>3437</v>
      </c>
      <c r="D2070" t="s">
        <v>3438</v>
      </c>
      <c r="E2070" t="str">
        <f>HYPERLINK("https://worldwide.espacenet.com/publicationDetails/biblio?II=227&amp;ND=3&amp;adjacent=true&amp;locale=en_EP&amp;FT=D&amp;date=20171124&amp;CC=CN&amp;NR=206663255U&amp;KC=U")</f>
        <v>https://worldwide.espacenet.com/publicationDetails/biblio?II=227&amp;ND=3&amp;adjacent=true&amp;locale=en_EP&amp;FT=D&amp;date=20171124&amp;CC=CN&amp;NR=206663255U&amp;KC=U</v>
      </c>
    </row>
    <row r="2071" spans="3:5" x14ac:dyDescent="0.25">
      <c r="C2071" t="s">
        <v>3439</v>
      </c>
      <c r="D2071" t="s">
        <v>3440</v>
      </c>
      <c r="E2071" t="str">
        <f>HYPERLINK("https://worldwide.espacenet.com/publicationDetails/biblio?II=228&amp;ND=3&amp;adjacent=true&amp;locale=en_EP&amp;FT=D&amp;date=20171124&amp;CC=CN&amp;NR=206663240U&amp;KC=U")</f>
        <v>https://worldwide.espacenet.com/publicationDetails/biblio?II=228&amp;ND=3&amp;adjacent=true&amp;locale=en_EP&amp;FT=D&amp;date=20171124&amp;CC=CN&amp;NR=206663240U&amp;KC=U</v>
      </c>
    </row>
    <row r="2072" spans="3:5" x14ac:dyDescent="0.25">
      <c r="C2072" t="s">
        <v>3441</v>
      </c>
      <c r="D2072" t="s">
        <v>3442</v>
      </c>
      <c r="E2072" t="str">
        <f>HYPERLINK("https://worldwide.espacenet.com/publicationDetails/biblio?II=229&amp;ND=3&amp;adjacent=true&amp;locale=en_EP&amp;FT=D&amp;date=20171013&amp;CC=CN&amp;NR=206554823U&amp;KC=U")</f>
        <v>https://worldwide.espacenet.com/publicationDetails/biblio?II=229&amp;ND=3&amp;adjacent=true&amp;locale=en_EP&amp;FT=D&amp;date=20171013&amp;CC=CN&amp;NR=206554823U&amp;KC=U</v>
      </c>
    </row>
    <row r="2073" spans="3:5" x14ac:dyDescent="0.25">
      <c r="C2073" t="s">
        <v>847</v>
      </c>
      <c r="D2073" t="s">
        <v>848</v>
      </c>
      <c r="E2073" t="str">
        <f>HYPERLINK("https://worldwide.espacenet.com/publicationDetails/biblio?II=230&amp;ND=3&amp;adjacent=true&amp;locale=en_EP&amp;FT=D&amp;date=20171124&amp;CC=CN&amp;NR=206664791U&amp;KC=U")</f>
        <v>https://worldwide.espacenet.com/publicationDetails/biblio?II=230&amp;ND=3&amp;adjacent=true&amp;locale=en_EP&amp;FT=D&amp;date=20171124&amp;CC=CN&amp;NR=206664791U&amp;KC=U</v>
      </c>
    </row>
    <row r="2074" spans="3:5" x14ac:dyDescent="0.25">
      <c r="C2074" t="s">
        <v>3443</v>
      </c>
      <c r="D2074" t="s">
        <v>3444</v>
      </c>
      <c r="E2074" t="str">
        <f>HYPERLINK("https://worldwide.espacenet.com/publicationDetails/biblio?II=231&amp;ND=3&amp;adjacent=true&amp;locale=en_EP&amp;FT=D&amp;date=20171124&amp;CC=CN&amp;NR=107380284A&amp;KC=A")</f>
        <v>https://worldwide.espacenet.com/publicationDetails/biblio?II=231&amp;ND=3&amp;adjacent=true&amp;locale=en_EP&amp;FT=D&amp;date=20171124&amp;CC=CN&amp;NR=107380284A&amp;KC=A</v>
      </c>
    </row>
    <row r="2075" spans="3:5" x14ac:dyDescent="0.25">
      <c r="C2075" t="s">
        <v>3445</v>
      </c>
      <c r="D2075" t="s">
        <v>3446</v>
      </c>
      <c r="E2075" t="str">
        <f>HYPERLINK("https://worldwide.espacenet.com/publicationDetails/biblio?II=232&amp;ND=3&amp;adjacent=true&amp;locale=en_EP&amp;FT=D&amp;date=20171124&amp;CC=CN&amp;NR=107390283A&amp;KC=A")</f>
        <v>https://worldwide.espacenet.com/publicationDetails/biblio?II=232&amp;ND=3&amp;adjacent=true&amp;locale=en_EP&amp;FT=D&amp;date=20171124&amp;CC=CN&amp;NR=107390283A&amp;KC=A</v>
      </c>
    </row>
    <row r="2076" spans="3:5" x14ac:dyDescent="0.25">
      <c r="C2076" t="s">
        <v>3447</v>
      </c>
      <c r="D2076" t="s">
        <v>3448</v>
      </c>
      <c r="E2076" t="str">
        <f>HYPERLINK("https://worldwide.espacenet.com/publicationDetails/biblio?II=233&amp;ND=3&amp;adjacent=true&amp;locale=en_EP&amp;FT=D&amp;date=20171121&amp;CC=CN&amp;NR=206653336U&amp;KC=U")</f>
        <v>https://worldwide.espacenet.com/publicationDetails/biblio?II=233&amp;ND=3&amp;adjacent=true&amp;locale=en_EP&amp;FT=D&amp;date=20171121&amp;CC=CN&amp;NR=206653336U&amp;KC=U</v>
      </c>
    </row>
    <row r="2077" spans="3:5" x14ac:dyDescent="0.25">
      <c r="C2077" t="s">
        <v>3449</v>
      </c>
      <c r="D2077" t="s">
        <v>3450</v>
      </c>
      <c r="E2077" t="str">
        <f>HYPERLINK("https://worldwide.espacenet.com/publicationDetails/biblio?II=234&amp;ND=3&amp;adjacent=true&amp;locale=en_EP&amp;FT=D&amp;date=20171121&amp;CC=CN&amp;NR=206653149U&amp;KC=U")</f>
        <v>https://worldwide.espacenet.com/publicationDetails/biblio?II=234&amp;ND=3&amp;adjacent=true&amp;locale=en_EP&amp;FT=D&amp;date=20171121&amp;CC=CN&amp;NR=206653149U&amp;KC=U</v>
      </c>
    </row>
    <row r="2078" spans="3:5" x14ac:dyDescent="0.25">
      <c r="C2078" t="s">
        <v>3451</v>
      </c>
      <c r="D2078" t="s">
        <v>3452</v>
      </c>
      <c r="E2078" t="str">
        <f>HYPERLINK("https://worldwide.espacenet.com/publicationDetails/biblio?II=235&amp;ND=3&amp;adjacent=true&amp;locale=en_EP&amp;FT=D&amp;date=20171121&amp;CC=CN&amp;NR=107361845A&amp;KC=A")</f>
        <v>https://worldwide.espacenet.com/publicationDetails/biblio?II=235&amp;ND=3&amp;adjacent=true&amp;locale=en_EP&amp;FT=D&amp;date=20171121&amp;CC=CN&amp;NR=107361845A&amp;KC=A</v>
      </c>
    </row>
    <row r="2079" spans="3:5" x14ac:dyDescent="0.25">
      <c r="C2079" t="s">
        <v>3453</v>
      </c>
      <c r="D2079" t="s">
        <v>3454</v>
      </c>
      <c r="E2079" t="str">
        <f>HYPERLINK("https://worldwide.espacenet.com/publicationDetails/biblio?II=236&amp;ND=3&amp;adjacent=true&amp;locale=en_EP&amp;FT=D&amp;date=20171121&amp;CC=CN&amp;NR=107363852A&amp;KC=A")</f>
        <v>https://worldwide.espacenet.com/publicationDetails/biblio?II=236&amp;ND=3&amp;adjacent=true&amp;locale=en_EP&amp;FT=D&amp;date=20171121&amp;CC=CN&amp;NR=107363852A&amp;KC=A</v>
      </c>
    </row>
    <row r="2080" spans="3:5" x14ac:dyDescent="0.25">
      <c r="C2080" t="s">
        <v>3455</v>
      </c>
      <c r="D2080" t="s">
        <v>3456</v>
      </c>
      <c r="E2080" t="str">
        <f>HYPERLINK("https://worldwide.espacenet.com/publicationDetails/biblio?II=237&amp;ND=3&amp;adjacent=true&amp;locale=en_EP&amp;FT=D&amp;date=20171117&amp;CC=CN&amp;NR=107351124A&amp;KC=A")</f>
        <v>https://worldwide.espacenet.com/publicationDetails/biblio?II=237&amp;ND=3&amp;adjacent=true&amp;locale=en_EP&amp;FT=D&amp;date=20171117&amp;CC=CN&amp;NR=107351124A&amp;KC=A</v>
      </c>
    </row>
    <row r="2081" spans="3:5" x14ac:dyDescent="0.25">
      <c r="C2081" t="s">
        <v>3457</v>
      </c>
      <c r="D2081" t="s">
        <v>3458</v>
      </c>
      <c r="E2081" t="str">
        <f>HYPERLINK("https://worldwide.espacenet.com/publicationDetails/biblio?II=238&amp;ND=3&amp;adjacent=true&amp;locale=en_EP&amp;FT=D&amp;date=20171114&amp;CC=CN&amp;NR=107344604A&amp;KC=A")</f>
        <v>https://worldwide.espacenet.com/publicationDetails/biblio?II=238&amp;ND=3&amp;adjacent=true&amp;locale=en_EP&amp;FT=D&amp;date=20171114&amp;CC=CN&amp;NR=107344604A&amp;KC=A</v>
      </c>
    </row>
    <row r="2082" spans="3:5" x14ac:dyDescent="0.25">
      <c r="C2082" t="s">
        <v>3459</v>
      </c>
      <c r="D2082" t="s">
        <v>3460</v>
      </c>
      <c r="E2082" t="str">
        <f>HYPERLINK("https://worldwide.espacenet.com/publicationDetails/biblio?II=239&amp;ND=3&amp;adjacent=true&amp;locale=en_EP&amp;FT=D&amp;date=20171114&amp;CC=CN&amp;NR=206634184U&amp;KC=U")</f>
        <v>https://worldwide.espacenet.com/publicationDetails/biblio?II=239&amp;ND=3&amp;adjacent=true&amp;locale=en_EP&amp;FT=D&amp;date=20171114&amp;CC=CN&amp;NR=206634184U&amp;KC=U</v>
      </c>
    </row>
    <row r="2083" spans="3:5" x14ac:dyDescent="0.25">
      <c r="C2083" t="s">
        <v>3461</v>
      </c>
      <c r="D2083" t="s">
        <v>3462</v>
      </c>
      <c r="E2083" t="str">
        <f>HYPERLINK("https://worldwide.espacenet.com/publicationDetails/biblio?II=240&amp;ND=3&amp;adjacent=true&amp;locale=en_EP&amp;FT=D&amp;date=20171107&amp;CC=CN&amp;NR=206615685U&amp;KC=U")</f>
        <v>https://worldwide.espacenet.com/publicationDetails/biblio?II=240&amp;ND=3&amp;adjacent=true&amp;locale=en_EP&amp;FT=D&amp;date=20171107&amp;CC=CN&amp;NR=206615685U&amp;KC=U</v>
      </c>
    </row>
    <row r="2084" spans="3:5" x14ac:dyDescent="0.25">
      <c r="C2084" t="s">
        <v>3463</v>
      </c>
      <c r="D2084" t="s">
        <v>3464</v>
      </c>
      <c r="E2084" t="str">
        <f>HYPERLINK("https://worldwide.espacenet.com/publicationDetails/biblio?II=241&amp;ND=3&amp;adjacent=true&amp;locale=en_EP&amp;FT=D&amp;date=20171107&amp;CC=CN&amp;NR=206615686U&amp;KC=U")</f>
        <v>https://worldwide.espacenet.com/publicationDetails/biblio?II=241&amp;ND=3&amp;adjacent=true&amp;locale=en_EP&amp;FT=D&amp;date=20171107&amp;CC=CN&amp;NR=206615686U&amp;KC=U</v>
      </c>
    </row>
    <row r="2085" spans="3:5" x14ac:dyDescent="0.25">
      <c r="C2085" t="s">
        <v>3465</v>
      </c>
      <c r="D2085" t="s">
        <v>3466</v>
      </c>
      <c r="E2085" t="str">
        <f>HYPERLINK("https://worldwide.espacenet.com/publicationDetails/biblio?II=242&amp;ND=3&amp;adjacent=true&amp;locale=en_EP&amp;FT=D&amp;date=20171107&amp;CC=CN&amp;NR=107320185A&amp;KC=A")</f>
        <v>https://worldwide.espacenet.com/publicationDetails/biblio?II=242&amp;ND=3&amp;adjacent=true&amp;locale=en_EP&amp;FT=D&amp;date=20171107&amp;CC=CN&amp;NR=107320185A&amp;KC=A</v>
      </c>
    </row>
    <row r="2086" spans="3:5" x14ac:dyDescent="0.25">
      <c r="C2086" t="s">
        <v>889</v>
      </c>
      <c r="D2086" t="s">
        <v>890</v>
      </c>
      <c r="E2086" t="str">
        <f>HYPERLINK("https://worldwide.espacenet.com/publicationDetails/biblio?II=243&amp;ND=3&amp;adjacent=true&amp;locale=en_EP&amp;FT=D&amp;date=20171107&amp;CC=CN&amp;NR=107321969A&amp;KC=A")</f>
        <v>https://worldwide.espacenet.com/publicationDetails/biblio?II=243&amp;ND=3&amp;adjacent=true&amp;locale=en_EP&amp;FT=D&amp;date=20171107&amp;CC=CN&amp;NR=107321969A&amp;KC=A</v>
      </c>
    </row>
    <row r="2087" spans="3:5" x14ac:dyDescent="0.25">
      <c r="C2087" t="s">
        <v>3467</v>
      </c>
      <c r="D2087" t="s">
        <v>3468</v>
      </c>
      <c r="E2087" t="str">
        <f>HYPERLINK("https://worldwide.espacenet.com/publicationDetails/biblio?II=244&amp;ND=3&amp;adjacent=true&amp;locale=en_EP&amp;FT=D&amp;date=20171103&amp;CC=CN&amp;NR=107309905A&amp;KC=A")</f>
        <v>https://worldwide.espacenet.com/publicationDetails/biblio?II=244&amp;ND=3&amp;adjacent=true&amp;locale=en_EP&amp;FT=D&amp;date=20171103&amp;CC=CN&amp;NR=107309905A&amp;KC=A</v>
      </c>
    </row>
    <row r="2088" spans="3:5" x14ac:dyDescent="0.25">
      <c r="C2088" t="s">
        <v>3469</v>
      </c>
      <c r="D2088" t="s">
        <v>3470</v>
      </c>
      <c r="E2088" t="str">
        <f>HYPERLINK("https://worldwide.espacenet.com/publicationDetails/biblio?II=245&amp;ND=3&amp;adjacent=true&amp;locale=en_EP&amp;FT=D&amp;date=20171103&amp;CC=CN&amp;NR=107311097A&amp;KC=A")</f>
        <v>https://worldwide.espacenet.com/publicationDetails/biblio?II=245&amp;ND=3&amp;adjacent=true&amp;locale=en_EP&amp;FT=D&amp;date=20171103&amp;CC=CN&amp;NR=107311097A&amp;KC=A</v>
      </c>
    </row>
    <row r="2089" spans="3:5" x14ac:dyDescent="0.25">
      <c r="C2089" t="s">
        <v>3471</v>
      </c>
      <c r="D2089" t="s">
        <v>3472</v>
      </c>
      <c r="E2089" t="str">
        <f>HYPERLINK("https://worldwide.espacenet.com/publicationDetails/biblio?II=246&amp;ND=3&amp;adjacent=true&amp;locale=en_EP&amp;FT=D&amp;date=20171103&amp;CC=CN&amp;NR=206607932U&amp;KC=U")</f>
        <v>https://worldwide.espacenet.com/publicationDetails/biblio?II=246&amp;ND=3&amp;adjacent=true&amp;locale=en_EP&amp;FT=D&amp;date=20171103&amp;CC=CN&amp;NR=206607932U&amp;KC=U</v>
      </c>
    </row>
    <row r="2090" spans="3:5" x14ac:dyDescent="0.25">
      <c r="C2090" t="s">
        <v>3473</v>
      </c>
      <c r="D2090" t="s">
        <v>3474</v>
      </c>
      <c r="E2090" t="str">
        <f>HYPERLINK("https://worldwide.espacenet.com/publicationDetails/biblio?II=247&amp;ND=3&amp;adjacent=true&amp;locale=en_EP&amp;FT=D&amp;date=20171103&amp;CC=CN&amp;NR=206605233U&amp;KC=U")</f>
        <v>https://worldwide.espacenet.com/publicationDetails/biblio?II=247&amp;ND=3&amp;adjacent=true&amp;locale=en_EP&amp;FT=D&amp;date=20171103&amp;CC=CN&amp;NR=206605233U&amp;KC=U</v>
      </c>
    </row>
    <row r="2091" spans="3:5" x14ac:dyDescent="0.25">
      <c r="C2091" t="s">
        <v>3475</v>
      </c>
      <c r="D2091" t="s">
        <v>3476</v>
      </c>
      <c r="E2091" t="str">
        <f>HYPERLINK("https://worldwide.espacenet.com/publicationDetails/biblio?II=248&amp;ND=3&amp;adjacent=true&amp;locale=en_EP&amp;FT=D&amp;date=20171027&amp;CC=CN&amp;NR=206588945U&amp;KC=U")</f>
        <v>https://worldwide.espacenet.com/publicationDetails/biblio?II=248&amp;ND=3&amp;adjacent=true&amp;locale=en_EP&amp;FT=D&amp;date=20171027&amp;CC=CN&amp;NR=206588945U&amp;KC=U</v>
      </c>
    </row>
    <row r="2092" spans="3:5" x14ac:dyDescent="0.25">
      <c r="C2092" t="s">
        <v>3477</v>
      </c>
      <c r="D2092" t="s">
        <v>3478</v>
      </c>
      <c r="E2092" t="str">
        <f>HYPERLINK("https://worldwide.espacenet.com/publicationDetails/biblio?II=249&amp;ND=3&amp;adjacent=true&amp;locale=en_EP&amp;FT=D&amp;date=20171024&amp;CC=CN&amp;NR=107283389A&amp;KC=A")</f>
        <v>https://worldwide.espacenet.com/publicationDetails/biblio?II=249&amp;ND=3&amp;adjacent=true&amp;locale=en_EP&amp;FT=D&amp;date=20171024&amp;CC=CN&amp;NR=107283389A&amp;KC=A</v>
      </c>
    </row>
    <row r="2093" spans="3:5" x14ac:dyDescent="0.25">
      <c r="C2093" t="s">
        <v>3479</v>
      </c>
      <c r="D2093" t="s">
        <v>3480</v>
      </c>
      <c r="E2093" t="str">
        <f>HYPERLINK("https://worldwide.espacenet.com/publicationDetails/biblio?II=250&amp;ND=3&amp;adjacent=true&amp;locale=en_EP&amp;FT=D&amp;date=20171024&amp;CC=CN&amp;NR=107292344A&amp;KC=A")</f>
        <v>https://worldwide.espacenet.com/publicationDetails/biblio?II=250&amp;ND=3&amp;adjacent=true&amp;locale=en_EP&amp;FT=D&amp;date=20171024&amp;CC=CN&amp;NR=107292344A&amp;KC=A</v>
      </c>
    </row>
    <row r="2094" spans="3:5" x14ac:dyDescent="0.25">
      <c r="C2094" t="s">
        <v>3481</v>
      </c>
      <c r="D2094" t="s">
        <v>3482</v>
      </c>
      <c r="E2094" t="str">
        <f>HYPERLINK("https://worldwide.espacenet.com/publicationDetails/biblio?II=251&amp;ND=3&amp;adjacent=true&amp;locale=en_EP&amp;FT=D&amp;date=20171020&amp;CC=CN&amp;NR=107263531A&amp;KC=A")</f>
        <v>https://worldwide.espacenet.com/publicationDetails/biblio?II=251&amp;ND=3&amp;adjacent=true&amp;locale=en_EP&amp;FT=D&amp;date=20171020&amp;CC=CN&amp;NR=107263531A&amp;KC=A</v>
      </c>
    </row>
    <row r="2095" spans="3:5" x14ac:dyDescent="0.25">
      <c r="C2095" t="s">
        <v>3483</v>
      </c>
      <c r="D2095" t="s">
        <v>3484</v>
      </c>
      <c r="E2095" t="str">
        <f>HYPERLINK("https://worldwide.espacenet.com/publicationDetails/biblio?II=252&amp;ND=3&amp;adjacent=true&amp;locale=en_EP&amp;FT=D&amp;date=20171020&amp;CC=CN&amp;NR=107270026A&amp;KC=A")</f>
        <v>https://worldwide.espacenet.com/publicationDetails/biblio?II=252&amp;ND=3&amp;adjacent=true&amp;locale=en_EP&amp;FT=D&amp;date=20171020&amp;CC=CN&amp;NR=107270026A&amp;KC=A</v>
      </c>
    </row>
    <row r="2096" spans="3:5" x14ac:dyDescent="0.25">
      <c r="C2096" t="s">
        <v>3485</v>
      </c>
      <c r="D2096" t="s">
        <v>3486</v>
      </c>
      <c r="E2096" t="str">
        <f>HYPERLINK("https://worldwide.espacenet.com/publicationDetails/biblio?II=253&amp;ND=3&amp;adjacent=true&amp;locale=en_EP&amp;FT=D&amp;date=20171020&amp;CC=CN&amp;NR=107263500A&amp;KC=A")</f>
        <v>https://worldwide.espacenet.com/publicationDetails/biblio?II=253&amp;ND=3&amp;adjacent=true&amp;locale=en_EP&amp;FT=D&amp;date=20171020&amp;CC=CN&amp;NR=107263500A&amp;KC=A</v>
      </c>
    </row>
    <row r="2097" spans="3:5" x14ac:dyDescent="0.25">
      <c r="C2097" t="s">
        <v>3487</v>
      </c>
      <c r="D2097" t="s">
        <v>3488</v>
      </c>
      <c r="E2097" t="str">
        <f>HYPERLINK("https://worldwide.espacenet.com/publicationDetails/biblio?II=254&amp;ND=3&amp;adjacent=true&amp;locale=en_EP&amp;FT=D&amp;date=20171020&amp;CC=CN&amp;NR=206575589U&amp;KC=U")</f>
        <v>https://worldwide.espacenet.com/publicationDetails/biblio?II=254&amp;ND=3&amp;adjacent=true&amp;locale=en_EP&amp;FT=D&amp;date=20171020&amp;CC=CN&amp;NR=206575589U&amp;KC=U</v>
      </c>
    </row>
    <row r="2098" spans="3:5" x14ac:dyDescent="0.25">
      <c r="C2098" t="s">
        <v>3489</v>
      </c>
      <c r="D2098" t="s">
        <v>3490</v>
      </c>
      <c r="E2098" t="str">
        <f>HYPERLINK("https://worldwide.espacenet.com/publicationDetails/biblio?II=255&amp;ND=3&amp;adjacent=true&amp;locale=en_EP&amp;FT=D&amp;date=20170925&amp;CC=KR&amp;NR=20170107197A&amp;KC=A")</f>
        <v>https://worldwide.espacenet.com/publicationDetails/biblio?II=255&amp;ND=3&amp;adjacent=true&amp;locale=en_EP&amp;FT=D&amp;date=20170925&amp;CC=KR&amp;NR=20170107197A&amp;KC=A</v>
      </c>
    </row>
    <row r="2099" spans="3:5" x14ac:dyDescent="0.25">
      <c r="C2099" t="s">
        <v>947</v>
      </c>
      <c r="D2099" t="s">
        <v>948</v>
      </c>
      <c r="E2099" t="str">
        <f>HYPERLINK("https://worldwide.espacenet.com/publicationDetails/biblio?II=256&amp;ND=3&amp;adjacent=true&amp;locale=en_EP&amp;FT=D&amp;date=20171017&amp;CC=CN&amp;NR=206561410U&amp;KC=U")</f>
        <v>https://worldwide.espacenet.com/publicationDetails/biblio?II=256&amp;ND=3&amp;adjacent=true&amp;locale=en_EP&amp;FT=D&amp;date=20171017&amp;CC=CN&amp;NR=206561410U&amp;KC=U</v>
      </c>
    </row>
    <row r="2100" spans="3:5" x14ac:dyDescent="0.25">
      <c r="C2100" t="s">
        <v>3491</v>
      </c>
      <c r="D2100" t="s">
        <v>3492</v>
      </c>
      <c r="E2100" t="str">
        <f>HYPERLINK("https://worldwide.espacenet.com/publicationDetails/biblio?II=257&amp;ND=3&amp;adjacent=true&amp;locale=en_EP&amp;FT=D&amp;date=20171017&amp;CC=CN&amp;NR=107255922A&amp;KC=A")</f>
        <v>https://worldwide.espacenet.com/publicationDetails/biblio?II=257&amp;ND=3&amp;adjacent=true&amp;locale=en_EP&amp;FT=D&amp;date=20171017&amp;CC=CN&amp;NR=107255922A&amp;KC=A</v>
      </c>
    </row>
    <row r="2101" spans="3:5" x14ac:dyDescent="0.25">
      <c r="C2101" t="s">
        <v>3493</v>
      </c>
      <c r="D2101" t="s">
        <v>3494</v>
      </c>
      <c r="E2101" t="str">
        <f>HYPERLINK("https://worldwide.espacenet.com/publicationDetails/biblio?II=258&amp;ND=3&amp;adjacent=true&amp;locale=en_EP&amp;FT=D&amp;date=20171017&amp;CC=CN&amp;NR=107257120A&amp;KC=A")</f>
        <v>https://worldwide.espacenet.com/publicationDetails/biblio?II=258&amp;ND=3&amp;adjacent=true&amp;locale=en_EP&amp;FT=D&amp;date=20171017&amp;CC=CN&amp;NR=107257120A&amp;KC=A</v>
      </c>
    </row>
    <row r="2102" spans="3:5" x14ac:dyDescent="0.25">
      <c r="C2102" t="s">
        <v>3495</v>
      </c>
      <c r="D2102" t="s">
        <v>3496</v>
      </c>
      <c r="E2102" t="str">
        <f>HYPERLINK("https://worldwide.espacenet.com/publicationDetails/biblio?II=259&amp;ND=3&amp;adjacent=true&amp;locale=en_EP&amp;FT=D&amp;date=20171013&amp;CC=CN&amp;NR=107243883A&amp;KC=A")</f>
        <v>https://worldwide.espacenet.com/publicationDetails/biblio?II=259&amp;ND=3&amp;adjacent=true&amp;locale=en_EP&amp;FT=D&amp;date=20171013&amp;CC=CN&amp;NR=107243883A&amp;KC=A</v>
      </c>
    </row>
    <row r="2103" spans="3:5" x14ac:dyDescent="0.25">
      <c r="C2103" t="s">
        <v>3497</v>
      </c>
      <c r="D2103" t="s">
        <v>3498</v>
      </c>
      <c r="E2103" t="str">
        <f>HYPERLINK("https://worldwide.espacenet.com/publicationDetails/biblio?II=260&amp;ND=3&amp;adjacent=true&amp;locale=en_EP&amp;FT=D&amp;date=20171013&amp;CC=CN&amp;NR=107243926A&amp;KC=A")</f>
        <v>https://worldwide.espacenet.com/publicationDetails/biblio?II=260&amp;ND=3&amp;adjacent=true&amp;locale=en_EP&amp;FT=D&amp;date=20171013&amp;CC=CN&amp;NR=107243926A&amp;KC=A</v>
      </c>
    </row>
    <row r="2104" spans="3:5" x14ac:dyDescent="0.25">
      <c r="C2104" t="s">
        <v>3499</v>
      </c>
      <c r="D2104" t="s">
        <v>3500</v>
      </c>
      <c r="E2104" t="str">
        <f>HYPERLINK("https://worldwide.espacenet.com/publicationDetails/biblio?II=261&amp;ND=3&amp;adjacent=true&amp;locale=en_EP&amp;FT=D&amp;date=20171013&amp;CC=CN&amp;NR=107243622A&amp;KC=A")</f>
        <v>https://worldwide.espacenet.com/publicationDetails/biblio?II=261&amp;ND=3&amp;adjacent=true&amp;locale=en_EP&amp;FT=D&amp;date=20171013&amp;CC=CN&amp;NR=107243622A&amp;KC=A</v>
      </c>
    </row>
    <row r="2105" spans="3:5" x14ac:dyDescent="0.25">
      <c r="C2105" t="s">
        <v>3501</v>
      </c>
      <c r="D2105" t="s">
        <v>3502</v>
      </c>
      <c r="E2105" t="str">
        <f>HYPERLINK("https://worldwide.espacenet.com/publicationDetails/biblio?II=262&amp;ND=3&amp;adjacent=true&amp;locale=en_EP&amp;FT=D&amp;date=20171010&amp;CC=CN&amp;NR=206544103U&amp;KC=U")</f>
        <v>https://worldwide.espacenet.com/publicationDetails/biblio?II=262&amp;ND=3&amp;adjacent=true&amp;locale=en_EP&amp;FT=D&amp;date=20171010&amp;CC=CN&amp;NR=206544103U&amp;KC=U</v>
      </c>
    </row>
    <row r="2106" spans="3:5" x14ac:dyDescent="0.25">
      <c r="C2106" t="s">
        <v>3503</v>
      </c>
      <c r="D2106" t="s">
        <v>3504</v>
      </c>
      <c r="E2106" t="str">
        <f>HYPERLINK("https://worldwide.espacenet.com/publicationDetails/biblio?II=263&amp;ND=3&amp;adjacent=true&amp;locale=en_EP&amp;FT=D&amp;date=20171010&amp;CC=CN&amp;NR=206544011U&amp;KC=U")</f>
        <v>https://worldwide.espacenet.com/publicationDetails/biblio?II=263&amp;ND=3&amp;adjacent=true&amp;locale=en_EP&amp;FT=D&amp;date=20171010&amp;CC=CN&amp;NR=206544011U&amp;KC=U</v>
      </c>
    </row>
    <row r="2107" spans="3:5" x14ac:dyDescent="0.25">
      <c r="C2107" t="s">
        <v>3505</v>
      </c>
      <c r="D2107" t="s">
        <v>3506</v>
      </c>
      <c r="E2107" t="str">
        <f>HYPERLINK("https://worldwide.espacenet.com/publicationDetails/biblio?II=264&amp;ND=3&amp;adjacent=true&amp;locale=en_EP&amp;FT=D&amp;date=20171010&amp;CC=CN&amp;NR=107235409A&amp;KC=A")</f>
        <v>https://worldwide.espacenet.com/publicationDetails/biblio?II=264&amp;ND=3&amp;adjacent=true&amp;locale=en_EP&amp;FT=D&amp;date=20171010&amp;CC=CN&amp;NR=107235409A&amp;KC=A</v>
      </c>
    </row>
    <row r="2108" spans="3:5" x14ac:dyDescent="0.25">
      <c r="C2108" t="s">
        <v>3507</v>
      </c>
      <c r="D2108" t="s">
        <v>3508</v>
      </c>
      <c r="E2108" t="str">
        <f>HYPERLINK("https://worldwide.espacenet.com/publicationDetails/biblio?II=265&amp;ND=3&amp;adjacent=true&amp;locale=en_EP&amp;FT=D&amp;date=20170929&amp;CC=CN&amp;NR=107221874A&amp;KC=A")</f>
        <v>https://worldwide.espacenet.com/publicationDetails/biblio?II=265&amp;ND=3&amp;adjacent=true&amp;locale=en_EP&amp;FT=D&amp;date=20170929&amp;CC=CN&amp;NR=107221874A&amp;KC=A</v>
      </c>
    </row>
    <row r="2109" spans="3:5" x14ac:dyDescent="0.25">
      <c r="C2109" t="s">
        <v>3509</v>
      </c>
      <c r="D2109" t="s">
        <v>3510</v>
      </c>
      <c r="E2109" t="str">
        <f>HYPERLINK("https://worldwide.espacenet.com/publicationDetails/biblio?II=266&amp;ND=3&amp;adjacent=true&amp;locale=en_EP&amp;FT=D&amp;date=20170929&amp;CC=CN&amp;NR=107218473A&amp;KC=A")</f>
        <v>https://worldwide.espacenet.com/publicationDetails/biblio?II=266&amp;ND=3&amp;adjacent=true&amp;locale=en_EP&amp;FT=D&amp;date=20170929&amp;CC=CN&amp;NR=107218473A&amp;KC=A</v>
      </c>
    </row>
    <row r="2110" spans="3:5" x14ac:dyDescent="0.25">
      <c r="C2110" t="s">
        <v>3511</v>
      </c>
      <c r="D2110" t="s">
        <v>3512</v>
      </c>
      <c r="E2110" t="str">
        <f>HYPERLINK("https://worldwide.espacenet.com/publicationDetails/biblio?II=267&amp;ND=3&amp;adjacent=true&amp;locale=en_EP&amp;FT=D&amp;date=20170929&amp;CC=CN&amp;NR=107215407A&amp;KC=A")</f>
        <v>https://worldwide.espacenet.com/publicationDetails/biblio?II=267&amp;ND=3&amp;adjacent=true&amp;locale=en_EP&amp;FT=D&amp;date=20170929&amp;CC=CN&amp;NR=107215407A&amp;KC=A</v>
      </c>
    </row>
    <row r="2111" spans="3:5" x14ac:dyDescent="0.25">
      <c r="C2111" t="s">
        <v>3513</v>
      </c>
      <c r="D2111" t="s">
        <v>3514</v>
      </c>
      <c r="E2111" t="str">
        <f>HYPERLINK("https://worldwide.espacenet.com/publicationDetails/biblio?II=268&amp;ND=3&amp;adjacent=true&amp;locale=en_EP&amp;FT=D&amp;date=20171003&amp;CC=CN&amp;NR=107229179A&amp;KC=A")</f>
        <v>https://worldwide.espacenet.com/publicationDetails/biblio?II=268&amp;ND=3&amp;adjacent=true&amp;locale=en_EP&amp;FT=D&amp;date=20171003&amp;CC=CN&amp;NR=107229179A&amp;KC=A</v>
      </c>
    </row>
    <row r="2112" spans="3:5" x14ac:dyDescent="0.25">
      <c r="C2112" t="s">
        <v>3515</v>
      </c>
      <c r="D2112" t="s">
        <v>3516</v>
      </c>
      <c r="E2112" t="str">
        <f>HYPERLINK("https://worldwide.espacenet.com/publicationDetails/biblio?II=269&amp;ND=3&amp;adjacent=true&amp;locale=en_EP&amp;FT=D&amp;date=20170929&amp;CC=CN&amp;NR=107219824A&amp;KC=A")</f>
        <v>https://worldwide.espacenet.com/publicationDetails/biblio?II=269&amp;ND=3&amp;adjacent=true&amp;locale=en_EP&amp;FT=D&amp;date=20170929&amp;CC=CN&amp;NR=107219824A&amp;KC=A</v>
      </c>
    </row>
    <row r="2113" spans="3:5" x14ac:dyDescent="0.25">
      <c r="C2113" t="s">
        <v>3517</v>
      </c>
      <c r="D2113" t="s">
        <v>3518</v>
      </c>
      <c r="E2113" t="str">
        <f>HYPERLINK("https://worldwide.espacenet.com/publicationDetails/biblio?II=270&amp;ND=3&amp;adjacent=true&amp;locale=en_EP&amp;FT=D&amp;date=20170901&amp;CC=KR&amp;NR=20170099683A&amp;KC=A")</f>
        <v>https://worldwide.espacenet.com/publicationDetails/biblio?II=270&amp;ND=3&amp;adjacent=true&amp;locale=en_EP&amp;FT=D&amp;date=20170901&amp;CC=KR&amp;NR=20170099683A&amp;KC=A</v>
      </c>
    </row>
    <row r="2114" spans="3:5" x14ac:dyDescent="0.25">
      <c r="C2114" t="s">
        <v>3519</v>
      </c>
      <c r="D2114" t="s">
        <v>3520</v>
      </c>
      <c r="E2114" t="str">
        <f>HYPERLINK("https://worldwide.espacenet.com/publicationDetails/biblio?II=271&amp;ND=3&amp;adjacent=true&amp;locale=en_EP&amp;FT=D&amp;date=20170926&amp;CC=CN&amp;NR=107203490A&amp;KC=A")</f>
        <v>https://worldwide.espacenet.com/publicationDetails/biblio?II=271&amp;ND=3&amp;adjacent=true&amp;locale=en_EP&amp;FT=D&amp;date=20170926&amp;CC=CN&amp;NR=107203490A&amp;KC=A</v>
      </c>
    </row>
    <row r="2115" spans="3:5" x14ac:dyDescent="0.25">
      <c r="C2115" t="s">
        <v>3521</v>
      </c>
      <c r="D2115" t="s">
        <v>3522</v>
      </c>
      <c r="E2115" t="str">
        <f>HYPERLINK("https://worldwide.espacenet.com/publicationDetails/biblio?II=272&amp;ND=3&amp;adjacent=true&amp;locale=en_EP&amp;FT=D&amp;date=20170926&amp;CC=CN&amp;NR=206520678U&amp;KC=U")</f>
        <v>https://worldwide.espacenet.com/publicationDetails/biblio?II=272&amp;ND=3&amp;adjacent=true&amp;locale=en_EP&amp;FT=D&amp;date=20170926&amp;CC=CN&amp;NR=206520678U&amp;KC=U</v>
      </c>
    </row>
    <row r="2116" spans="3:5" x14ac:dyDescent="0.25">
      <c r="C2116" t="s">
        <v>3523</v>
      </c>
      <c r="D2116" t="s">
        <v>3524</v>
      </c>
      <c r="E2116" t="str">
        <f>HYPERLINK("https://worldwide.espacenet.com/publicationDetails/biblio?II=273&amp;ND=3&amp;adjacent=true&amp;locale=en_EP&amp;FT=D&amp;date=20170922&amp;CC=CN&amp;NR=107196233A&amp;KC=A")</f>
        <v>https://worldwide.espacenet.com/publicationDetails/biblio?II=273&amp;ND=3&amp;adjacent=true&amp;locale=en_EP&amp;FT=D&amp;date=20170922&amp;CC=CN&amp;NR=107196233A&amp;KC=A</v>
      </c>
    </row>
    <row r="2117" spans="3:5" x14ac:dyDescent="0.25">
      <c r="C2117" t="s">
        <v>3525</v>
      </c>
      <c r="D2117" t="s">
        <v>3526</v>
      </c>
      <c r="E2117" t="str">
        <f>HYPERLINK("https://worldwide.espacenet.com/publicationDetails/biblio?II=274&amp;ND=3&amp;adjacent=true&amp;locale=en_EP&amp;FT=D&amp;date=20170922&amp;CC=CN&amp;NR=107186727A&amp;KC=A")</f>
        <v>https://worldwide.espacenet.com/publicationDetails/biblio?II=274&amp;ND=3&amp;adjacent=true&amp;locale=en_EP&amp;FT=D&amp;date=20170922&amp;CC=CN&amp;NR=107186727A&amp;KC=A</v>
      </c>
    </row>
    <row r="2118" spans="3:5" x14ac:dyDescent="0.25">
      <c r="C2118" t="s">
        <v>3527</v>
      </c>
      <c r="D2118" t="s">
        <v>3528</v>
      </c>
      <c r="E2118" t="str">
        <f>HYPERLINK("https://worldwide.espacenet.com/publicationDetails/biblio?II=275&amp;ND=3&amp;adjacent=true&amp;locale=en_EP&amp;FT=D&amp;date=20170922&amp;CC=CN&amp;NR=107194350A&amp;KC=A")</f>
        <v>https://worldwide.espacenet.com/publicationDetails/biblio?II=275&amp;ND=3&amp;adjacent=true&amp;locale=en_EP&amp;FT=D&amp;date=20170922&amp;CC=CN&amp;NR=107194350A&amp;KC=A</v>
      </c>
    </row>
    <row r="2119" spans="3:5" x14ac:dyDescent="0.25">
      <c r="C2119" t="s">
        <v>987</v>
      </c>
      <c r="D2119" t="s">
        <v>988</v>
      </c>
      <c r="E2119" t="str">
        <f>HYPERLINK("https://worldwide.espacenet.com/publicationDetails/biblio?II=276&amp;ND=3&amp;adjacent=true&amp;locale=en_EP&amp;FT=D&amp;date=20170922&amp;CC=CN&amp;NR=107186736A&amp;KC=A")</f>
        <v>https://worldwide.espacenet.com/publicationDetails/biblio?II=276&amp;ND=3&amp;adjacent=true&amp;locale=en_EP&amp;FT=D&amp;date=20170922&amp;CC=CN&amp;NR=107186736A&amp;KC=A</v>
      </c>
    </row>
    <row r="2120" spans="3:5" x14ac:dyDescent="0.25">
      <c r="C2120" t="s">
        <v>3529</v>
      </c>
      <c r="D2120" t="s">
        <v>3530</v>
      </c>
      <c r="E2120" t="str">
        <f>HYPERLINK("https://worldwide.espacenet.com/publicationDetails/biblio?II=277&amp;ND=3&amp;adjacent=true&amp;locale=en_EP&amp;FT=D&amp;date=20170922&amp;CC=CN&amp;NR=107187509A&amp;KC=A")</f>
        <v>https://worldwide.espacenet.com/publicationDetails/biblio?II=277&amp;ND=3&amp;adjacent=true&amp;locale=en_EP&amp;FT=D&amp;date=20170922&amp;CC=CN&amp;NR=107187509A&amp;KC=A</v>
      </c>
    </row>
    <row r="2121" spans="3:5" x14ac:dyDescent="0.25">
      <c r="C2121" t="s">
        <v>3531</v>
      </c>
      <c r="D2121" t="s">
        <v>3532</v>
      </c>
      <c r="E2121" t="str">
        <f>HYPERLINK("https://worldwide.espacenet.com/publicationDetails/biblio?II=278&amp;ND=3&amp;adjacent=true&amp;locale=en_EP&amp;FT=D&amp;date=20170922&amp;CC=CN&amp;NR=206510046U&amp;KC=U")</f>
        <v>https://worldwide.espacenet.com/publicationDetails/biblio?II=278&amp;ND=3&amp;adjacent=true&amp;locale=en_EP&amp;FT=D&amp;date=20170922&amp;CC=CN&amp;NR=206510046U&amp;KC=U</v>
      </c>
    </row>
    <row r="2122" spans="3:5" x14ac:dyDescent="0.25">
      <c r="C2122" t="s">
        <v>3533</v>
      </c>
      <c r="D2122" t="s">
        <v>3534</v>
      </c>
      <c r="E2122" t="str">
        <f>HYPERLINK("https://worldwide.espacenet.com/publicationDetails/biblio?II=279&amp;ND=3&amp;adjacent=true&amp;locale=en_EP&amp;FT=D&amp;date=20170922&amp;CC=CN&amp;NR=206507868U&amp;KC=U")</f>
        <v>https://worldwide.espacenet.com/publicationDetails/biblio?II=279&amp;ND=3&amp;adjacent=true&amp;locale=en_EP&amp;FT=D&amp;date=20170922&amp;CC=CN&amp;NR=206507868U&amp;KC=U</v>
      </c>
    </row>
    <row r="2123" spans="3:5" x14ac:dyDescent="0.25">
      <c r="C2123" t="s">
        <v>3535</v>
      </c>
      <c r="D2123" t="s">
        <v>3536</v>
      </c>
      <c r="E2123" t="str">
        <f>HYPERLINK("https://worldwide.espacenet.com/publicationDetails/biblio?II=280&amp;ND=3&amp;adjacent=true&amp;locale=en_EP&amp;FT=D&amp;date=20170919&amp;CC=CN&amp;NR=206501103U&amp;KC=U")</f>
        <v>https://worldwide.espacenet.com/publicationDetails/biblio?II=280&amp;ND=3&amp;adjacent=true&amp;locale=en_EP&amp;FT=D&amp;date=20170919&amp;CC=CN&amp;NR=206501103U&amp;KC=U</v>
      </c>
    </row>
    <row r="2124" spans="3:5" x14ac:dyDescent="0.25">
      <c r="C2124" t="s">
        <v>3537</v>
      </c>
      <c r="D2124" t="s">
        <v>3538</v>
      </c>
      <c r="E2124" t="str">
        <f>HYPERLINK("https://worldwide.espacenet.com/publicationDetails/biblio?II=281&amp;ND=3&amp;adjacent=true&amp;locale=en_EP&amp;FT=D&amp;date=20170915&amp;CC=CN&amp;NR=107161226A&amp;KC=A")</f>
        <v>https://worldwide.espacenet.com/publicationDetails/biblio?II=281&amp;ND=3&amp;adjacent=true&amp;locale=en_EP&amp;FT=D&amp;date=20170915&amp;CC=CN&amp;NR=107161226A&amp;KC=A</v>
      </c>
    </row>
    <row r="2125" spans="3:5" x14ac:dyDescent="0.25">
      <c r="C2125" t="s">
        <v>3539</v>
      </c>
      <c r="D2125" t="s">
        <v>3540</v>
      </c>
      <c r="E2125" t="str">
        <f>HYPERLINK("https://worldwide.espacenet.com/publicationDetails/biblio?II=282&amp;ND=3&amp;adjacent=true&amp;locale=en_EP&amp;FT=D&amp;date=20170915&amp;CC=CN&amp;NR=107155663A&amp;KC=A")</f>
        <v>https://worldwide.espacenet.com/publicationDetails/biblio?II=282&amp;ND=3&amp;adjacent=true&amp;locale=en_EP&amp;FT=D&amp;date=20170915&amp;CC=CN&amp;NR=107155663A&amp;KC=A</v>
      </c>
    </row>
    <row r="2126" spans="3:5" x14ac:dyDescent="0.25">
      <c r="C2126" t="s">
        <v>3541</v>
      </c>
      <c r="D2126" t="s">
        <v>3542</v>
      </c>
      <c r="E2126" t="str">
        <f>HYPERLINK("https://worldwide.espacenet.com/publicationDetails/biblio?II=283&amp;ND=3&amp;adjacent=true&amp;locale=en_EP&amp;FT=D&amp;date=20170915&amp;CC=CN&amp;NR=107160405A&amp;KC=A")</f>
        <v>https://worldwide.espacenet.com/publicationDetails/biblio?II=283&amp;ND=3&amp;adjacent=true&amp;locale=en_EP&amp;FT=D&amp;date=20170915&amp;CC=CN&amp;NR=107160405A&amp;KC=A</v>
      </c>
    </row>
    <row r="2127" spans="3:5" x14ac:dyDescent="0.25">
      <c r="C2127" t="s">
        <v>3543</v>
      </c>
      <c r="D2127" t="s">
        <v>3544</v>
      </c>
      <c r="E2127" t="str">
        <f>HYPERLINK("https://worldwide.espacenet.com/publicationDetails/biblio?II=284&amp;ND=3&amp;adjacent=true&amp;locale=en_EP&amp;FT=D&amp;date=20170915&amp;CC=CN&amp;NR=107157584A&amp;KC=A")</f>
        <v>https://worldwide.espacenet.com/publicationDetails/biblio?II=284&amp;ND=3&amp;adjacent=true&amp;locale=en_EP&amp;FT=D&amp;date=20170915&amp;CC=CN&amp;NR=107157584A&amp;KC=A</v>
      </c>
    </row>
    <row r="2128" spans="3:5" x14ac:dyDescent="0.25">
      <c r="C2128" t="s">
        <v>3545</v>
      </c>
      <c r="D2128" t="s">
        <v>3546</v>
      </c>
      <c r="E2128" t="str">
        <f>HYPERLINK("https://worldwide.espacenet.com/publicationDetails/biblio?II=285&amp;ND=3&amp;adjacent=true&amp;locale=en_EP&amp;FT=D&amp;date=20170915&amp;CC=CN&amp;NR=206493333U&amp;KC=U")</f>
        <v>https://worldwide.espacenet.com/publicationDetails/biblio?II=285&amp;ND=3&amp;adjacent=true&amp;locale=en_EP&amp;FT=D&amp;date=20170915&amp;CC=CN&amp;NR=206493333U&amp;KC=U</v>
      </c>
    </row>
    <row r="2129" spans="3:5" x14ac:dyDescent="0.25">
      <c r="C2129" t="s">
        <v>3547</v>
      </c>
      <c r="D2129" t="s">
        <v>3548</v>
      </c>
      <c r="E2129" t="str">
        <f>HYPERLINK("https://worldwide.espacenet.com/publicationDetails/biblio?II=286&amp;ND=3&amp;adjacent=true&amp;locale=en_EP&amp;FT=D&amp;date=20170908&amp;CC=CN&amp;NR=107139188A&amp;KC=A")</f>
        <v>https://worldwide.espacenet.com/publicationDetails/biblio?II=286&amp;ND=3&amp;adjacent=true&amp;locale=en_EP&amp;FT=D&amp;date=20170908&amp;CC=CN&amp;NR=107139188A&amp;KC=A</v>
      </c>
    </row>
    <row r="2130" spans="3:5" x14ac:dyDescent="0.25">
      <c r="C2130" t="s">
        <v>3549</v>
      </c>
      <c r="D2130" t="s">
        <v>3550</v>
      </c>
      <c r="E2130" t="str">
        <f>HYPERLINK("https://worldwide.espacenet.com/publicationDetails/biblio?II=287&amp;ND=3&amp;adjacent=true&amp;locale=en_EP&amp;FT=D&amp;date=20170908&amp;CC=CN&amp;NR=107139157A&amp;KC=A")</f>
        <v>https://worldwide.espacenet.com/publicationDetails/biblio?II=287&amp;ND=3&amp;adjacent=true&amp;locale=en_EP&amp;FT=D&amp;date=20170908&amp;CC=CN&amp;NR=107139157A&amp;KC=A</v>
      </c>
    </row>
    <row r="2131" spans="3:5" x14ac:dyDescent="0.25">
      <c r="C2131" t="s">
        <v>3533</v>
      </c>
      <c r="D2131" t="s">
        <v>3551</v>
      </c>
      <c r="E2131" t="str">
        <f>HYPERLINK("https://worldwide.espacenet.com/publicationDetails/biblio?II=288&amp;ND=3&amp;adjacent=true&amp;locale=en_EP&amp;FT=D&amp;date=20170912&amp;CC=CN&amp;NR=206482522U&amp;KC=U")</f>
        <v>https://worldwide.espacenet.com/publicationDetails/biblio?II=288&amp;ND=3&amp;adjacent=true&amp;locale=en_EP&amp;FT=D&amp;date=20170912&amp;CC=CN&amp;NR=206482522U&amp;KC=U</v>
      </c>
    </row>
    <row r="2132" spans="3:5" x14ac:dyDescent="0.25">
      <c r="C2132" t="s">
        <v>3552</v>
      </c>
      <c r="D2132" t="s">
        <v>3553</v>
      </c>
      <c r="E2132" t="str">
        <f>HYPERLINK("https://worldwide.espacenet.com/publicationDetails/biblio?II=289&amp;ND=3&amp;adjacent=true&amp;locale=en_EP&amp;FT=D&amp;date=20170912&amp;CC=CN&amp;NR=206484557U&amp;KC=U")</f>
        <v>https://worldwide.espacenet.com/publicationDetails/biblio?II=289&amp;ND=3&amp;adjacent=true&amp;locale=en_EP&amp;FT=D&amp;date=20170912&amp;CC=CN&amp;NR=206484557U&amp;KC=U</v>
      </c>
    </row>
    <row r="2133" spans="3:5" x14ac:dyDescent="0.25">
      <c r="C2133" t="s">
        <v>3554</v>
      </c>
      <c r="D2133" t="s">
        <v>3555</v>
      </c>
      <c r="E2133" t="str">
        <f>HYPERLINK("https://worldwide.espacenet.com/publicationDetails/biblio?II=290&amp;ND=3&amp;adjacent=true&amp;locale=en_EP&amp;FT=D&amp;date=20170908&amp;CC=CN&amp;NR=206475162U&amp;KC=U")</f>
        <v>https://worldwide.espacenet.com/publicationDetails/biblio?II=290&amp;ND=3&amp;adjacent=true&amp;locale=en_EP&amp;FT=D&amp;date=20170908&amp;CC=CN&amp;NR=206475162U&amp;KC=U</v>
      </c>
    </row>
    <row r="2134" spans="3:5" x14ac:dyDescent="0.25">
      <c r="C2134" t="s">
        <v>3556</v>
      </c>
      <c r="D2134" t="s">
        <v>3557</v>
      </c>
      <c r="E2134" t="str">
        <f>HYPERLINK("https://worldwide.espacenet.com/publicationDetails/biblio?II=291&amp;ND=3&amp;adjacent=true&amp;locale=en_EP&amp;FT=D&amp;date=20170901&amp;CC=CN&amp;NR=107117243A&amp;KC=A")</f>
        <v>https://worldwide.espacenet.com/publicationDetails/biblio?II=291&amp;ND=3&amp;adjacent=true&amp;locale=en_EP&amp;FT=D&amp;date=20170901&amp;CC=CN&amp;NR=107117243A&amp;KC=A</v>
      </c>
    </row>
    <row r="2135" spans="3:5" x14ac:dyDescent="0.25">
      <c r="C2135" t="s">
        <v>3558</v>
      </c>
      <c r="D2135" t="s">
        <v>3559</v>
      </c>
      <c r="E2135" t="str">
        <f>HYPERLINK("https://worldwide.espacenet.com/publicationDetails/biblio?II=292&amp;ND=3&amp;adjacent=true&amp;locale=en_EP&amp;FT=D&amp;date=20170905&amp;CC=CN&amp;NR=107134739A&amp;KC=A")</f>
        <v>https://worldwide.espacenet.com/publicationDetails/biblio?II=292&amp;ND=3&amp;adjacent=true&amp;locale=en_EP&amp;FT=D&amp;date=20170905&amp;CC=CN&amp;NR=107134739A&amp;KC=A</v>
      </c>
    </row>
    <row r="2136" spans="3:5" x14ac:dyDescent="0.25">
      <c r="C2136" t="s">
        <v>3560</v>
      </c>
      <c r="D2136" t="s">
        <v>3561</v>
      </c>
      <c r="E2136" t="str">
        <f>HYPERLINK("https://worldwide.espacenet.com/publicationDetails/biblio?II=293&amp;ND=3&amp;adjacent=true&amp;locale=en_EP&amp;FT=D&amp;date=20170831&amp;CC=WO&amp;NR=2017143569A1&amp;KC=A1")</f>
        <v>https://worldwide.espacenet.com/publicationDetails/biblio?II=293&amp;ND=3&amp;adjacent=true&amp;locale=en_EP&amp;FT=D&amp;date=20170831&amp;CC=WO&amp;NR=2017143569A1&amp;KC=A1</v>
      </c>
    </row>
    <row r="2137" spans="3:5" x14ac:dyDescent="0.25">
      <c r="C2137" t="s">
        <v>3562</v>
      </c>
      <c r="D2137" t="s">
        <v>3563</v>
      </c>
      <c r="E2137" t="str">
        <f>HYPERLINK("https://worldwide.espacenet.com/publicationDetails/biblio?II=294&amp;ND=3&amp;adjacent=true&amp;locale=en_EP&amp;FT=D&amp;date=20170829&amp;CC=CN&amp;NR=107097255A&amp;KC=A")</f>
        <v>https://worldwide.espacenet.com/publicationDetails/biblio?II=294&amp;ND=3&amp;adjacent=true&amp;locale=en_EP&amp;FT=D&amp;date=20170829&amp;CC=CN&amp;NR=107097255A&amp;KC=A</v>
      </c>
    </row>
    <row r="2138" spans="3:5" x14ac:dyDescent="0.25">
      <c r="C2138" t="s">
        <v>3564</v>
      </c>
      <c r="D2138" t="s">
        <v>3565</v>
      </c>
      <c r="E2138" t="str">
        <f>HYPERLINK("https://worldwide.espacenet.com/publicationDetails/biblio?II=295&amp;ND=3&amp;adjacent=true&amp;locale=en_EP&amp;FT=D&amp;date=20170829&amp;CC=CN&amp;NR=206445793U&amp;KC=U")</f>
        <v>https://worldwide.espacenet.com/publicationDetails/biblio?II=295&amp;ND=3&amp;adjacent=true&amp;locale=en_EP&amp;FT=D&amp;date=20170829&amp;CC=CN&amp;NR=206445793U&amp;KC=U</v>
      </c>
    </row>
    <row r="2139" spans="3:5" x14ac:dyDescent="0.25">
      <c r="C2139" t="s">
        <v>3566</v>
      </c>
      <c r="D2139" t="s">
        <v>3567</v>
      </c>
      <c r="E2139" t="str">
        <f>HYPERLINK("https://worldwide.espacenet.com/publicationDetails/biblio?II=296&amp;ND=3&amp;adjacent=true&amp;locale=en_EP&amp;FT=D&amp;date=20170829&amp;CC=CN&amp;NR=107097207A&amp;KC=A")</f>
        <v>https://worldwide.espacenet.com/publicationDetails/biblio?II=296&amp;ND=3&amp;adjacent=true&amp;locale=en_EP&amp;FT=D&amp;date=20170829&amp;CC=CN&amp;NR=107097207A&amp;KC=A</v>
      </c>
    </row>
    <row r="2140" spans="3:5" x14ac:dyDescent="0.25">
      <c r="C2140" t="s">
        <v>3568</v>
      </c>
      <c r="D2140" t="s">
        <v>3569</v>
      </c>
      <c r="E2140" t="str">
        <f>HYPERLINK("https://worldwide.espacenet.com/publicationDetails/biblio?II=297&amp;ND=3&amp;adjacent=true&amp;locale=en_EP&amp;FT=D&amp;date=20170829&amp;CC=CN&amp;NR=107097221A&amp;KC=A")</f>
        <v>https://worldwide.espacenet.com/publicationDetails/biblio?II=297&amp;ND=3&amp;adjacent=true&amp;locale=en_EP&amp;FT=D&amp;date=20170829&amp;CC=CN&amp;NR=107097221A&amp;KC=A</v>
      </c>
    </row>
    <row r="2141" spans="3:5" x14ac:dyDescent="0.25">
      <c r="C2141" t="s">
        <v>3570</v>
      </c>
      <c r="D2141" t="s">
        <v>3571</v>
      </c>
      <c r="E2141" t="str">
        <f>HYPERLINK("https://worldwide.espacenet.com/publicationDetails/biblio?II=298&amp;ND=3&amp;adjacent=true&amp;locale=en_EP&amp;FT=D&amp;date=20170829&amp;CC=CN&amp;NR=107097251A&amp;KC=A")</f>
        <v>https://worldwide.espacenet.com/publicationDetails/biblio?II=298&amp;ND=3&amp;adjacent=true&amp;locale=en_EP&amp;FT=D&amp;date=20170829&amp;CC=CN&amp;NR=107097251A&amp;KC=A</v>
      </c>
    </row>
    <row r="2142" spans="3:5" x14ac:dyDescent="0.25">
      <c r="C2142" t="s">
        <v>3572</v>
      </c>
      <c r="D2142" t="s">
        <v>3573</v>
      </c>
      <c r="E2142" t="str">
        <f>HYPERLINK("https://worldwide.espacenet.com/publicationDetails/biblio?II=299&amp;ND=3&amp;adjacent=true&amp;locale=en_EP&amp;FT=D&amp;date=20170829&amp;CC=CN&amp;NR=107098287A&amp;KC=A")</f>
        <v>https://worldwide.espacenet.com/publicationDetails/biblio?II=299&amp;ND=3&amp;adjacent=true&amp;locale=en_EP&amp;FT=D&amp;date=20170829&amp;CC=CN&amp;NR=107098287A&amp;KC=A</v>
      </c>
    </row>
    <row r="2143" spans="3:5" x14ac:dyDescent="0.25">
      <c r="C2143" t="s">
        <v>3574</v>
      </c>
      <c r="D2143" t="s">
        <v>3575</v>
      </c>
      <c r="E2143" t="str">
        <f>HYPERLINK("https://worldwide.espacenet.com/publicationDetails/biblio?II=300&amp;ND=3&amp;adjacent=true&amp;locale=en_EP&amp;FT=D&amp;date=20170829&amp;CC=CN&amp;NR=107097626A&amp;KC=A")</f>
        <v>https://worldwide.espacenet.com/publicationDetails/biblio?II=300&amp;ND=3&amp;adjacent=true&amp;locale=en_EP&amp;FT=D&amp;date=20170829&amp;CC=CN&amp;NR=107097626A&amp;KC=A</v>
      </c>
    </row>
    <row r="2144" spans="3:5" x14ac:dyDescent="0.25">
      <c r="C2144" t="s">
        <v>3576</v>
      </c>
      <c r="D2144" t="s">
        <v>3577</v>
      </c>
      <c r="E2144" t="str">
        <f>HYPERLINK("https://worldwide.espacenet.com/publicationDetails/biblio?II=301&amp;ND=3&amp;adjacent=true&amp;locale=en_EP&amp;FT=D&amp;date=20170822&amp;CC=CN&amp;NR=107081786A&amp;KC=A")</f>
        <v>https://worldwide.espacenet.com/publicationDetails/biblio?II=301&amp;ND=3&amp;adjacent=true&amp;locale=en_EP&amp;FT=D&amp;date=20170822&amp;CC=CN&amp;NR=107081786A&amp;KC=A</v>
      </c>
    </row>
    <row r="2145" spans="3:5" x14ac:dyDescent="0.25">
      <c r="C2145" t="s">
        <v>3578</v>
      </c>
      <c r="D2145" t="s">
        <v>3579</v>
      </c>
      <c r="E2145" t="str">
        <f>HYPERLINK("https://worldwide.espacenet.com/publicationDetails/biblio?II=302&amp;ND=3&amp;adjacent=true&amp;locale=en_EP&amp;FT=D&amp;date=20170818&amp;CC=CN&amp;NR=107053126A&amp;KC=A")</f>
        <v>https://worldwide.espacenet.com/publicationDetails/biblio?II=302&amp;ND=3&amp;adjacent=true&amp;locale=en_EP&amp;FT=D&amp;date=20170818&amp;CC=CN&amp;NR=107053126A&amp;KC=A</v>
      </c>
    </row>
    <row r="2146" spans="3:5" x14ac:dyDescent="0.25">
      <c r="C2146" t="s">
        <v>3580</v>
      </c>
      <c r="D2146" t="s">
        <v>3581</v>
      </c>
      <c r="E2146" t="str">
        <f>HYPERLINK("https://worldwide.espacenet.com/publicationDetails/biblio?II=303&amp;ND=3&amp;adjacent=true&amp;locale=en_EP&amp;FT=D&amp;date=20170822&amp;CC=CN&amp;NR=107081483A&amp;KC=A")</f>
        <v>https://worldwide.espacenet.com/publicationDetails/biblio?II=303&amp;ND=3&amp;adjacent=true&amp;locale=en_EP&amp;FT=D&amp;date=20170822&amp;CC=CN&amp;NR=107081483A&amp;KC=A</v>
      </c>
    </row>
    <row r="2147" spans="3:5" x14ac:dyDescent="0.25">
      <c r="C2147" t="s">
        <v>3582</v>
      </c>
      <c r="D2147" t="s">
        <v>3583</v>
      </c>
      <c r="E2147" t="str">
        <f>HYPERLINK("https://worldwide.espacenet.com/publicationDetails/biblio?II=304&amp;ND=3&amp;adjacent=true&amp;locale=en_EP&amp;FT=D&amp;date=20170818&amp;CC=CN&amp;NR=107065908A&amp;KC=A")</f>
        <v>https://worldwide.espacenet.com/publicationDetails/biblio?II=304&amp;ND=3&amp;adjacent=true&amp;locale=en_EP&amp;FT=D&amp;date=20170818&amp;CC=CN&amp;NR=107065908A&amp;KC=A</v>
      </c>
    </row>
    <row r="2148" spans="3:5" x14ac:dyDescent="0.25">
      <c r="C2148" t="s">
        <v>3584</v>
      </c>
      <c r="D2148" t="s">
        <v>3585</v>
      </c>
      <c r="E2148" t="str">
        <f>HYPERLINK("https://worldwide.espacenet.com/publicationDetails/biblio?II=305&amp;ND=3&amp;adjacent=true&amp;locale=en_EP&amp;FT=D&amp;date=20170818&amp;CC=CN&amp;NR=107066507A&amp;KC=A")</f>
        <v>https://worldwide.espacenet.com/publicationDetails/biblio?II=305&amp;ND=3&amp;adjacent=true&amp;locale=en_EP&amp;FT=D&amp;date=20170818&amp;CC=CN&amp;NR=107066507A&amp;KC=A</v>
      </c>
    </row>
    <row r="2149" spans="3:5" x14ac:dyDescent="0.25">
      <c r="C2149" t="s">
        <v>3586</v>
      </c>
      <c r="D2149" t="s">
        <v>3587</v>
      </c>
      <c r="E2149" t="str">
        <f>HYPERLINK("https://worldwide.espacenet.com/publicationDetails/biblio?II=306&amp;ND=3&amp;adjacent=true&amp;locale=en_EP&amp;FT=D&amp;date=20170818&amp;CC=CN&amp;NR=107049710A&amp;KC=A")</f>
        <v>https://worldwide.espacenet.com/publicationDetails/biblio?II=306&amp;ND=3&amp;adjacent=true&amp;locale=en_EP&amp;FT=D&amp;date=20170818&amp;CC=CN&amp;NR=107049710A&amp;KC=A</v>
      </c>
    </row>
    <row r="2150" spans="3:5" x14ac:dyDescent="0.25">
      <c r="C2150" t="s">
        <v>3588</v>
      </c>
      <c r="D2150" t="s">
        <v>3589</v>
      </c>
      <c r="E2150" t="str">
        <f>HYPERLINK("https://worldwide.espacenet.com/publicationDetails/biblio?II=307&amp;ND=3&amp;adjacent=true&amp;locale=en_EP&amp;FT=D&amp;date=20170822&amp;CC=CN&amp;NR=206429805U&amp;KC=U")</f>
        <v>https://worldwide.espacenet.com/publicationDetails/biblio?II=307&amp;ND=3&amp;adjacent=true&amp;locale=en_EP&amp;FT=D&amp;date=20170822&amp;CC=CN&amp;NR=206429805U&amp;KC=U</v>
      </c>
    </row>
    <row r="2151" spans="3:5" x14ac:dyDescent="0.25">
      <c r="C2151" t="s">
        <v>3590</v>
      </c>
      <c r="D2151" t="s">
        <v>3591</v>
      </c>
      <c r="E2151" t="str">
        <f>HYPERLINK("https://worldwide.espacenet.com/publicationDetails/biblio?II=308&amp;ND=3&amp;adjacent=true&amp;locale=en_EP&amp;FT=D&amp;date=20170815&amp;CC=CN&amp;NR=206407609U&amp;KC=U")</f>
        <v>https://worldwide.espacenet.com/publicationDetails/biblio?II=308&amp;ND=3&amp;adjacent=true&amp;locale=en_EP&amp;FT=D&amp;date=20170815&amp;CC=CN&amp;NR=206407609U&amp;KC=U</v>
      </c>
    </row>
    <row r="2152" spans="3:5" x14ac:dyDescent="0.25">
      <c r="C2152" t="s">
        <v>3592</v>
      </c>
      <c r="D2152" t="s">
        <v>3593</v>
      </c>
      <c r="E2152" t="str">
        <f>HYPERLINK("https://worldwide.espacenet.com/publicationDetails/biblio?II=309&amp;ND=3&amp;adjacent=true&amp;locale=en_EP&amp;FT=D&amp;date=20170815&amp;CC=CN&amp;NR=107041669A&amp;KC=A")</f>
        <v>https://worldwide.espacenet.com/publicationDetails/biblio?II=309&amp;ND=3&amp;adjacent=true&amp;locale=en_EP&amp;FT=D&amp;date=20170815&amp;CC=CN&amp;NR=107041669A&amp;KC=A</v>
      </c>
    </row>
    <row r="2153" spans="3:5" x14ac:dyDescent="0.25">
      <c r="C2153" t="s">
        <v>3594</v>
      </c>
      <c r="D2153" t="s">
        <v>3595</v>
      </c>
      <c r="E2153" t="str">
        <f>HYPERLINK("https://worldwide.espacenet.com/publicationDetails/biblio?II=310&amp;ND=3&amp;adjacent=true&amp;locale=en_EP&amp;FT=D&amp;date=20170811&amp;CC=CN&amp;NR=107030745A&amp;KC=A")</f>
        <v>https://worldwide.espacenet.com/publicationDetails/biblio?II=310&amp;ND=3&amp;adjacent=true&amp;locale=en_EP&amp;FT=D&amp;date=20170811&amp;CC=CN&amp;NR=107030745A&amp;KC=A</v>
      </c>
    </row>
    <row r="2154" spans="3:5" x14ac:dyDescent="0.25">
      <c r="C2154" t="s">
        <v>3596</v>
      </c>
      <c r="D2154" t="s">
        <v>3597</v>
      </c>
      <c r="E2154" t="str">
        <f>HYPERLINK("https://worldwide.espacenet.com/publicationDetails/biblio?II=311&amp;ND=3&amp;adjacent=true&amp;locale=en_EP&amp;FT=D&amp;date=20170811&amp;CC=CN&amp;NR=107031322A&amp;KC=A")</f>
        <v>https://worldwide.espacenet.com/publicationDetails/biblio?II=311&amp;ND=3&amp;adjacent=true&amp;locale=en_EP&amp;FT=D&amp;date=20170811&amp;CC=CN&amp;NR=107031322A&amp;KC=A</v>
      </c>
    </row>
    <row r="2155" spans="3:5" x14ac:dyDescent="0.25">
      <c r="C2155" t="s">
        <v>3598</v>
      </c>
      <c r="D2155" t="s">
        <v>3599</v>
      </c>
      <c r="E2155" t="str">
        <f>HYPERLINK("https://worldwide.espacenet.com/publicationDetails/biblio?II=312&amp;ND=3&amp;adjacent=true&amp;locale=en_EP&amp;FT=D&amp;date=20170808&amp;CC=CN&amp;NR=107019617A&amp;KC=A")</f>
        <v>https://worldwide.espacenet.com/publicationDetails/biblio?II=312&amp;ND=3&amp;adjacent=true&amp;locale=en_EP&amp;FT=D&amp;date=20170808&amp;CC=CN&amp;NR=107019617A&amp;KC=A</v>
      </c>
    </row>
    <row r="2156" spans="3:5" x14ac:dyDescent="0.25">
      <c r="C2156" t="s">
        <v>3600</v>
      </c>
      <c r="D2156" t="s">
        <v>3601</v>
      </c>
      <c r="E2156" t="str">
        <f>HYPERLINK("https://worldwide.espacenet.com/publicationDetails/biblio?II=313&amp;ND=3&amp;adjacent=true&amp;locale=en_EP&amp;FT=D&amp;date=20170808&amp;CC=CN&amp;NR=107024938A&amp;KC=A")</f>
        <v>https://worldwide.espacenet.com/publicationDetails/biblio?II=313&amp;ND=3&amp;adjacent=true&amp;locale=en_EP&amp;FT=D&amp;date=20170808&amp;CC=CN&amp;NR=107024938A&amp;KC=A</v>
      </c>
    </row>
    <row r="2157" spans="3:5" x14ac:dyDescent="0.25">
      <c r="C2157" t="s">
        <v>3602</v>
      </c>
      <c r="D2157" t="s">
        <v>3603</v>
      </c>
      <c r="E2157" t="str">
        <f>HYPERLINK("https://worldwide.espacenet.com/publicationDetails/biblio?II=314&amp;ND=3&amp;adjacent=true&amp;locale=en_EP&amp;FT=D&amp;date=20170811&amp;CC=CN&amp;NR=206394728U&amp;KC=U")</f>
        <v>https://worldwide.espacenet.com/publicationDetails/biblio?II=314&amp;ND=3&amp;adjacent=true&amp;locale=en_EP&amp;FT=D&amp;date=20170811&amp;CC=CN&amp;NR=206394728U&amp;KC=U</v>
      </c>
    </row>
    <row r="2158" spans="3:5" x14ac:dyDescent="0.25">
      <c r="C2158" t="s">
        <v>3604</v>
      </c>
      <c r="D2158" t="s">
        <v>3605</v>
      </c>
      <c r="E2158" t="str">
        <f>HYPERLINK("https://worldwide.espacenet.com/publicationDetails/biblio?II=315&amp;ND=3&amp;adjacent=true&amp;locale=en_EP&amp;FT=D&amp;date=20170718&amp;CC=CN&amp;NR=106955223A&amp;KC=A")</f>
        <v>https://worldwide.espacenet.com/publicationDetails/biblio?II=315&amp;ND=3&amp;adjacent=true&amp;locale=en_EP&amp;FT=D&amp;date=20170718&amp;CC=CN&amp;NR=106955223A&amp;KC=A</v>
      </c>
    </row>
    <row r="2159" spans="3:5" x14ac:dyDescent="0.25">
      <c r="C2159" t="s">
        <v>3606</v>
      </c>
      <c r="D2159" t="s">
        <v>3607</v>
      </c>
      <c r="E2159" t="str">
        <f>HYPERLINK("https://worldwide.espacenet.com/publicationDetails/biblio?II=316&amp;ND=3&amp;adjacent=true&amp;locale=en_EP&amp;FT=D&amp;date=20170714&amp;CC=CN&amp;NR=106953266A&amp;KC=A")</f>
        <v>https://worldwide.espacenet.com/publicationDetails/biblio?II=316&amp;ND=3&amp;adjacent=true&amp;locale=en_EP&amp;FT=D&amp;date=20170714&amp;CC=CN&amp;NR=106953266A&amp;KC=A</v>
      </c>
    </row>
    <row r="2160" spans="3:5" x14ac:dyDescent="0.25">
      <c r="C2160" t="s">
        <v>3608</v>
      </c>
      <c r="D2160" t="s">
        <v>3609</v>
      </c>
      <c r="E2160" t="str">
        <f>HYPERLINK("https://worldwide.espacenet.com/publicationDetails/biblio?II=317&amp;ND=3&amp;adjacent=true&amp;locale=en_EP&amp;FT=D&amp;date=20170714&amp;CC=CN&amp;NR=106949105A&amp;KC=A")</f>
        <v>https://worldwide.espacenet.com/publicationDetails/biblio?II=317&amp;ND=3&amp;adjacent=true&amp;locale=en_EP&amp;FT=D&amp;date=20170714&amp;CC=CN&amp;NR=106949105A&amp;KC=A</v>
      </c>
    </row>
    <row r="2161" spans="3:5" x14ac:dyDescent="0.25">
      <c r="C2161" t="s">
        <v>3610</v>
      </c>
      <c r="D2161" t="s">
        <v>3611</v>
      </c>
      <c r="E2161" t="str">
        <f>HYPERLINK("https://worldwide.espacenet.com/publicationDetails/biblio?II=318&amp;ND=3&amp;adjacent=true&amp;locale=en_EP&amp;FT=D&amp;date=20170714&amp;CC=CN&amp;NR=106943281A&amp;KC=A")</f>
        <v>https://worldwide.espacenet.com/publicationDetails/biblio?II=318&amp;ND=3&amp;adjacent=true&amp;locale=en_EP&amp;FT=D&amp;date=20170714&amp;CC=CN&amp;NR=106943281A&amp;KC=A</v>
      </c>
    </row>
    <row r="2162" spans="3:5" x14ac:dyDescent="0.25">
      <c r="C2162" t="s">
        <v>3612</v>
      </c>
      <c r="D2162" t="s">
        <v>3613</v>
      </c>
      <c r="E2162" t="str">
        <f>HYPERLINK("https://worldwide.espacenet.com/publicationDetails/biblio?II=319&amp;ND=3&amp;adjacent=true&amp;locale=en_EP&amp;FT=D&amp;date=20170714&amp;CC=CN&amp;NR=106943282A&amp;KC=A")</f>
        <v>https://worldwide.espacenet.com/publicationDetails/biblio?II=319&amp;ND=3&amp;adjacent=true&amp;locale=en_EP&amp;FT=D&amp;date=20170714&amp;CC=CN&amp;NR=106943282A&amp;KC=A</v>
      </c>
    </row>
    <row r="2163" spans="3:5" x14ac:dyDescent="0.25">
      <c r="C2163" t="s">
        <v>3614</v>
      </c>
      <c r="D2163" t="s">
        <v>3615</v>
      </c>
      <c r="E2163" t="str">
        <f>HYPERLINK("https://worldwide.espacenet.com/publicationDetails/biblio?II=320&amp;ND=3&amp;adjacent=true&amp;locale=en_EP&amp;FT=D&amp;date=20170704&amp;CC=CN&amp;NR=106914909A&amp;KC=A")</f>
        <v>https://worldwide.espacenet.com/publicationDetails/biblio?II=320&amp;ND=3&amp;adjacent=true&amp;locale=en_EP&amp;FT=D&amp;date=20170704&amp;CC=CN&amp;NR=106914909A&amp;KC=A</v>
      </c>
    </row>
    <row r="2164" spans="3:5" x14ac:dyDescent="0.25">
      <c r="C2164" t="s">
        <v>3616</v>
      </c>
      <c r="D2164" t="s">
        <v>3617</v>
      </c>
      <c r="E2164" t="str">
        <f>HYPERLINK("https://worldwide.espacenet.com/publicationDetails/biblio?II=321&amp;ND=3&amp;adjacent=true&amp;locale=en_EP&amp;FT=D&amp;date=20170704&amp;CC=CN&amp;NR=106915390A&amp;KC=A")</f>
        <v>https://worldwide.espacenet.com/publicationDetails/biblio?II=321&amp;ND=3&amp;adjacent=true&amp;locale=en_EP&amp;FT=D&amp;date=20170704&amp;CC=CN&amp;NR=106915390A&amp;KC=A</v>
      </c>
    </row>
    <row r="2165" spans="3:5" x14ac:dyDescent="0.25">
      <c r="C2165" t="s">
        <v>3618</v>
      </c>
      <c r="D2165" t="s">
        <v>3619</v>
      </c>
      <c r="E2165" t="str">
        <f>HYPERLINK("https://worldwide.espacenet.com/publicationDetails/biblio?II=322&amp;ND=3&amp;adjacent=true&amp;locale=en_EP&amp;FT=D&amp;date=20170804&amp;CC=CN&amp;NR=107014166A&amp;KC=A")</f>
        <v>https://worldwide.espacenet.com/publicationDetails/biblio?II=322&amp;ND=3&amp;adjacent=true&amp;locale=en_EP&amp;FT=D&amp;date=20170804&amp;CC=CN&amp;NR=107014166A&amp;KC=A</v>
      </c>
    </row>
    <row r="2166" spans="3:5" x14ac:dyDescent="0.25">
      <c r="C2166" t="s">
        <v>3620</v>
      </c>
      <c r="D2166" t="s">
        <v>3621</v>
      </c>
      <c r="E2166" t="str">
        <f>HYPERLINK("https://worldwide.espacenet.com/publicationDetails/biblio?II=323&amp;ND=3&amp;adjacent=true&amp;locale=en_EP&amp;FT=D&amp;date=20170804&amp;CC=CN&amp;NR=107017578A&amp;KC=A")</f>
        <v>https://worldwide.espacenet.com/publicationDetails/biblio?II=323&amp;ND=3&amp;adjacent=true&amp;locale=en_EP&amp;FT=D&amp;date=20170804&amp;CC=CN&amp;NR=107017578A&amp;KC=A</v>
      </c>
    </row>
    <row r="2167" spans="3:5" x14ac:dyDescent="0.25">
      <c r="C2167" t="s">
        <v>3622</v>
      </c>
      <c r="D2167" t="s">
        <v>3623</v>
      </c>
      <c r="E2167" t="str">
        <f>HYPERLINK("https://worldwide.espacenet.com/publicationDetails/biblio?II=324&amp;ND=3&amp;adjacent=true&amp;locale=en_EP&amp;FT=D&amp;date=20170804&amp;CC=CN&amp;NR=107010137A&amp;KC=A")</f>
        <v>https://worldwide.espacenet.com/publicationDetails/biblio?II=324&amp;ND=3&amp;adjacent=true&amp;locale=en_EP&amp;FT=D&amp;date=20170804&amp;CC=CN&amp;NR=107010137A&amp;KC=A</v>
      </c>
    </row>
    <row r="2168" spans="3:5" x14ac:dyDescent="0.25">
      <c r="C2168" t="s">
        <v>3624</v>
      </c>
      <c r="D2168" t="s">
        <v>3625</v>
      </c>
      <c r="E2168" t="str">
        <f>HYPERLINK("https://worldwide.espacenet.com/publicationDetails/biblio?II=325&amp;ND=3&amp;adjacent=true&amp;locale=en_EP&amp;FT=D&amp;date=20170707&amp;CC=CN&amp;NR=106922237A&amp;KC=A")</f>
        <v>https://worldwide.espacenet.com/publicationDetails/biblio?II=325&amp;ND=3&amp;adjacent=true&amp;locale=en_EP&amp;FT=D&amp;date=20170707&amp;CC=CN&amp;NR=106922237A&amp;KC=A</v>
      </c>
    </row>
    <row r="2169" spans="3:5" x14ac:dyDescent="0.25">
      <c r="C2169" t="s">
        <v>3626</v>
      </c>
      <c r="D2169" t="s">
        <v>3627</v>
      </c>
      <c r="E2169" t="str">
        <f>HYPERLINK("https://worldwide.espacenet.com/publicationDetails/biblio?II=326&amp;ND=3&amp;adjacent=true&amp;locale=en_EP&amp;FT=D&amp;date=20170728&amp;CC=CN&amp;NR=106984613A&amp;KC=A")</f>
        <v>https://worldwide.espacenet.com/publicationDetails/biblio?II=326&amp;ND=3&amp;adjacent=true&amp;locale=en_EP&amp;FT=D&amp;date=20170728&amp;CC=CN&amp;NR=106984613A&amp;KC=A</v>
      </c>
    </row>
    <row r="2170" spans="3:5" x14ac:dyDescent="0.25">
      <c r="C2170" t="s">
        <v>3628</v>
      </c>
      <c r="D2170" t="s">
        <v>3629</v>
      </c>
      <c r="E2170" t="str">
        <f>HYPERLINK("https://worldwide.espacenet.com/publicationDetails/biblio?II=327&amp;ND=3&amp;adjacent=true&amp;locale=en_EP&amp;FT=D&amp;date=20170804&amp;CC=CN&amp;NR=206372520U&amp;KC=U")</f>
        <v>https://worldwide.espacenet.com/publicationDetails/biblio?II=327&amp;ND=3&amp;adjacent=true&amp;locale=en_EP&amp;FT=D&amp;date=20170804&amp;CC=CN&amp;NR=206372520U&amp;KC=U</v>
      </c>
    </row>
    <row r="2171" spans="3:5" x14ac:dyDescent="0.25">
      <c r="C2171" t="s">
        <v>3630</v>
      </c>
      <c r="D2171" t="s">
        <v>3631</v>
      </c>
      <c r="E2171" t="str">
        <f>HYPERLINK("https://worldwide.espacenet.com/publicationDetails/biblio?II=328&amp;ND=3&amp;adjacent=true&amp;locale=en_EP&amp;FT=D&amp;date=20170804&amp;CC=CN&amp;NR=206372466U&amp;KC=U")</f>
        <v>https://worldwide.espacenet.com/publicationDetails/biblio?II=328&amp;ND=3&amp;adjacent=true&amp;locale=en_EP&amp;FT=D&amp;date=20170804&amp;CC=CN&amp;NR=206372466U&amp;KC=U</v>
      </c>
    </row>
    <row r="2172" spans="3:5" x14ac:dyDescent="0.25">
      <c r="C2172" t="s">
        <v>3632</v>
      </c>
      <c r="D2172" t="s">
        <v>3633</v>
      </c>
      <c r="E2172" t="str">
        <f>HYPERLINK("https://worldwide.espacenet.com/publicationDetails/biblio?II=329&amp;ND=3&amp;adjacent=true&amp;locale=en_EP&amp;FT=D&amp;date=20170725&amp;CC=CN&amp;NR=106976002A&amp;KC=A")</f>
        <v>https://worldwide.espacenet.com/publicationDetails/biblio?II=329&amp;ND=3&amp;adjacent=true&amp;locale=en_EP&amp;FT=D&amp;date=20170725&amp;CC=CN&amp;NR=106976002A&amp;KC=A</v>
      </c>
    </row>
    <row r="2173" spans="3:5" x14ac:dyDescent="0.25">
      <c r="C2173" t="s">
        <v>3634</v>
      </c>
      <c r="D2173" t="s">
        <v>3635</v>
      </c>
      <c r="E2173" t="str">
        <f>HYPERLINK("https://worldwide.espacenet.com/publicationDetails/biblio?II=330&amp;ND=3&amp;adjacent=true&amp;locale=en_EP&amp;FT=D&amp;date=20170725&amp;CC=CN&amp;NR=106974806A&amp;KC=A")</f>
        <v>https://worldwide.espacenet.com/publicationDetails/biblio?II=330&amp;ND=3&amp;adjacent=true&amp;locale=en_EP&amp;FT=D&amp;date=20170725&amp;CC=CN&amp;NR=106974806A&amp;KC=A</v>
      </c>
    </row>
    <row r="2174" spans="3:5" x14ac:dyDescent="0.25">
      <c r="C2174" t="s">
        <v>3636</v>
      </c>
      <c r="D2174" t="s">
        <v>3637</v>
      </c>
      <c r="E2174" t="str">
        <f>HYPERLINK("https://worldwide.espacenet.com/publicationDetails/biblio?II=331&amp;ND=3&amp;adjacent=true&amp;locale=en_EP&amp;FT=D&amp;date=20170721&amp;CC=CN&amp;NR=106965408A&amp;KC=A")</f>
        <v>https://worldwide.espacenet.com/publicationDetails/biblio?II=331&amp;ND=3&amp;adjacent=true&amp;locale=en_EP&amp;FT=D&amp;date=20170721&amp;CC=CN&amp;NR=106965408A&amp;KC=A</v>
      </c>
    </row>
    <row r="2175" spans="3:5" x14ac:dyDescent="0.25">
      <c r="C2175" t="s">
        <v>3638</v>
      </c>
      <c r="D2175" t="s">
        <v>3639</v>
      </c>
      <c r="E2175" t="str">
        <f>HYPERLINK("https://worldwide.espacenet.com/publicationDetails/biblio?II=332&amp;ND=3&amp;adjacent=true&amp;locale=en_EP&amp;FT=D&amp;date=20170721&amp;CC=CN&amp;NR=106965872A&amp;KC=A")</f>
        <v>https://worldwide.espacenet.com/publicationDetails/biblio?II=332&amp;ND=3&amp;adjacent=true&amp;locale=en_EP&amp;FT=D&amp;date=20170721&amp;CC=CN&amp;NR=106965872A&amp;KC=A</v>
      </c>
    </row>
    <row r="2176" spans="3:5" x14ac:dyDescent="0.25">
      <c r="C2176" t="s">
        <v>3640</v>
      </c>
      <c r="D2176" t="s">
        <v>3641</v>
      </c>
      <c r="E2176" t="str">
        <f>HYPERLINK("https://worldwide.espacenet.com/publicationDetails/biblio?II=333&amp;ND=3&amp;adjacent=true&amp;locale=en_EP&amp;FT=D&amp;date=20170721&amp;CC=CN&amp;NR=206346245U&amp;KC=U")</f>
        <v>https://worldwide.espacenet.com/publicationDetails/biblio?II=333&amp;ND=3&amp;adjacent=true&amp;locale=en_EP&amp;FT=D&amp;date=20170721&amp;CC=CN&amp;NR=206346245U&amp;KC=U</v>
      </c>
    </row>
    <row r="2177" spans="3:5" x14ac:dyDescent="0.25">
      <c r="C2177" t="s">
        <v>3642</v>
      </c>
      <c r="D2177" t="s">
        <v>3643</v>
      </c>
      <c r="E2177" t="str">
        <f>HYPERLINK("https://worldwide.espacenet.com/publicationDetails/biblio?II=334&amp;ND=3&amp;adjacent=true&amp;locale=en_EP&amp;FT=D&amp;date=20170707&amp;CC=CN&amp;NR=206313365U&amp;KC=U")</f>
        <v>https://worldwide.espacenet.com/publicationDetails/biblio?II=334&amp;ND=3&amp;adjacent=true&amp;locale=en_EP&amp;FT=D&amp;date=20170707&amp;CC=CN&amp;NR=206313365U&amp;KC=U</v>
      </c>
    </row>
    <row r="2178" spans="3:5" x14ac:dyDescent="0.25">
      <c r="C2178" t="s">
        <v>3644</v>
      </c>
      <c r="D2178" t="s">
        <v>3645</v>
      </c>
      <c r="E2178" t="str">
        <f>HYPERLINK("https://worldwide.espacenet.com/publicationDetails/biblio?II=335&amp;ND=3&amp;adjacent=true&amp;locale=en_EP&amp;FT=D&amp;date=20170707&amp;CC=CN&amp;NR=206303859U&amp;KC=U")</f>
        <v>https://worldwide.espacenet.com/publicationDetails/biblio?II=335&amp;ND=3&amp;adjacent=true&amp;locale=en_EP&amp;FT=D&amp;date=20170707&amp;CC=CN&amp;NR=206303859U&amp;KC=U</v>
      </c>
    </row>
    <row r="2179" spans="3:5" x14ac:dyDescent="0.25">
      <c r="C2179" t="s">
        <v>3646</v>
      </c>
      <c r="D2179" t="s">
        <v>3647</v>
      </c>
      <c r="E2179" t="str">
        <f>HYPERLINK("https://worldwide.espacenet.com/publicationDetails/biblio?II=336&amp;ND=3&amp;adjacent=true&amp;locale=en_EP&amp;FT=D&amp;date=20170215&amp;CC=CN&amp;NR=106390382A&amp;KC=A")</f>
        <v>https://worldwide.espacenet.com/publicationDetails/biblio?II=336&amp;ND=3&amp;adjacent=true&amp;locale=en_EP&amp;FT=D&amp;date=20170215&amp;CC=CN&amp;NR=106390382A&amp;KC=A</v>
      </c>
    </row>
    <row r="2180" spans="3:5" x14ac:dyDescent="0.25">
      <c r="C2180" t="s">
        <v>3648</v>
      </c>
      <c r="D2180" t="s">
        <v>3649</v>
      </c>
      <c r="E2180" t="str">
        <f>HYPERLINK("https://worldwide.espacenet.com/publicationDetails/biblio?II=337&amp;ND=3&amp;adjacent=true&amp;locale=en_EP&amp;FT=D&amp;date=20170704&amp;CC=CN&amp;NR=206296677U&amp;KC=U")</f>
        <v>https://worldwide.espacenet.com/publicationDetails/biblio?II=337&amp;ND=3&amp;adjacent=true&amp;locale=en_EP&amp;FT=D&amp;date=20170704&amp;CC=CN&amp;NR=206296677U&amp;KC=U</v>
      </c>
    </row>
    <row r="2181" spans="3:5" x14ac:dyDescent="0.25">
      <c r="C2181" t="s">
        <v>3650</v>
      </c>
      <c r="D2181" t="s">
        <v>3651</v>
      </c>
      <c r="E2181" t="str">
        <f>HYPERLINK("https://worldwide.espacenet.com/publicationDetails/biblio?II=338&amp;ND=3&amp;adjacent=true&amp;locale=en_EP&amp;FT=D&amp;date=20170630&amp;CC=CN&amp;NR=106910954A&amp;KC=A")</f>
        <v>https://worldwide.espacenet.com/publicationDetails/biblio?II=338&amp;ND=3&amp;adjacent=true&amp;locale=en_EP&amp;FT=D&amp;date=20170630&amp;CC=CN&amp;NR=106910954A&amp;KC=A</v>
      </c>
    </row>
    <row r="2182" spans="3:5" x14ac:dyDescent="0.25">
      <c r="C2182" t="s">
        <v>3652</v>
      </c>
      <c r="D2182" t="s">
        <v>3653</v>
      </c>
      <c r="E2182" t="str">
        <f>HYPERLINK("https://worldwide.espacenet.com/publicationDetails/biblio?II=339&amp;ND=3&amp;adjacent=true&amp;locale=en_EP&amp;FT=D&amp;date=20170627&amp;CC=CN&amp;NR=106891328A&amp;KC=A")</f>
        <v>https://worldwide.espacenet.com/publicationDetails/biblio?II=339&amp;ND=3&amp;adjacent=true&amp;locale=en_EP&amp;FT=D&amp;date=20170627&amp;CC=CN&amp;NR=106891328A&amp;KC=A</v>
      </c>
    </row>
    <row r="2183" spans="3:5" x14ac:dyDescent="0.25">
      <c r="C2183" t="s">
        <v>3654</v>
      </c>
      <c r="D2183" t="s">
        <v>3655</v>
      </c>
      <c r="E2183" t="str">
        <f>HYPERLINK("https://worldwide.espacenet.com/publicationDetails/biblio?II=340&amp;ND=3&amp;adjacent=true&amp;locale=en_EP&amp;FT=D&amp;date=20170627&amp;CC=CN&amp;NR=106892015A&amp;KC=A")</f>
        <v>https://worldwide.espacenet.com/publicationDetails/biblio?II=340&amp;ND=3&amp;adjacent=true&amp;locale=en_EP&amp;FT=D&amp;date=20170627&amp;CC=CN&amp;NR=106892015A&amp;KC=A</v>
      </c>
    </row>
    <row r="2184" spans="3:5" x14ac:dyDescent="0.25">
      <c r="C2184" t="s">
        <v>3656</v>
      </c>
      <c r="D2184" t="s">
        <v>3657</v>
      </c>
      <c r="E2184" t="str">
        <f>HYPERLINK("https://worldwide.espacenet.com/publicationDetails/biblio?II=341&amp;ND=3&amp;adjacent=true&amp;locale=en_EP&amp;FT=D&amp;date=20170627&amp;CC=CN&amp;NR=106890759A&amp;KC=A")</f>
        <v>https://worldwide.espacenet.com/publicationDetails/biblio?II=341&amp;ND=3&amp;adjacent=true&amp;locale=en_EP&amp;FT=D&amp;date=20170627&amp;CC=CN&amp;NR=106890759A&amp;KC=A</v>
      </c>
    </row>
    <row r="2185" spans="3:5" x14ac:dyDescent="0.25">
      <c r="C2185" t="s">
        <v>3658</v>
      </c>
      <c r="D2185" t="s">
        <v>3659</v>
      </c>
      <c r="E2185" t="str">
        <f>HYPERLINK("https://worldwide.espacenet.com/publicationDetails/biblio?II=342&amp;ND=3&amp;adjacent=true&amp;locale=en_EP&amp;FT=D&amp;date=20170623&amp;CC=CN&amp;NR=106882274A&amp;KC=A")</f>
        <v>https://worldwide.espacenet.com/publicationDetails/biblio?II=342&amp;ND=3&amp;adjacent=true&amp;locale=en_EP&amp;FT=D&amp;date=20170623&amp;CC=CN&amp;NR=106882274A&amp;KC=A</v>
      </c>
    </row>
    <row r="2186" spans="3:5" x14ac:dyDescent="0.25">
      <c r="C2186" t="s">
        <v>3660</v>
      </c>
      <c r="D2186" t="s">
        <v>3661</v>
      </c>
      <c r="E2186" t="str">
        <f>HYPERLINK("https://worldwide.espacenet.com/publicationDetails/biblio?II=343&amp;ND=3&amp;adjacent=true&amp;locale=en_EP&amp;FT=D&amp;date=20170620&amp;CC=CN&amp;NR=106863324A&amp;KC=A")</f>
        <v>https://worldwide.espacenet.com/publicationDetails/biblio?II=343&amp;ND=3&amp;adjacent=true&amp;locale=en_EP&amp;FT=D&amp;date=20170620&amp;CC=CN&amp;NR=106863324A&amp;KC=A</v>
      </c>
    </row>
    <row r="2187" spans="3:5" x14ac:dyDescent="0.25">
      <c r="C2187" t="s">
        <v>3662</v>
      </c>
      <c r="D2187" t="s">
        <v>3663</v>
      </c>
      <c r="E2187" t="str">
        <f>HYPERLINK("https://worldwide.espacenet.com/publicationDetails/biblio?II=344&amp;ND=3&amp;adjacent=true&amp;locale=en_EP&amp;FT=D&amp;date=20170620&amp;CC=CN&amp;NR=106859876A&amp;KC=A")</f>
        <v>https://worldwide.espacenet.com/publicationDetails/biblio?II=344&amp;ND=3&amp;adjacent=true&amp;locale=en_EP&amp;FT=D&amp;date=20170620&amp;CC=CN&amp;NR=106859876A&amp;KC=A</v>
      </c>
    </row>
    <row r="2188" spans="3:5" x14ac:dyDescent="0.25">
      <c r="C2188" t="s">
        <v>1003</v>
      </c>
      <c r="D2188" t="s">
        <v>1004</v>
      </c>
      <c r="E2188" t="str">
        <f>HYPERLINK("https://worldwide.espacenet.com/publicationDetails/biblio?II=345&amp;ND=3&amp;adjacent=true&amp;locale=en_EP&amp;FT=D&amp;date=20170620&amp;CC=CN&amp;NR=106864617A&amp;KC=A")</f>
        <v>https://worldwide.espacenet.com/publicationDetails/biblio?II=345&amp;ND=3&amp;adjacent=true&amp;locale=en_EP&amp;FT=D&amp;date=20170620&amp;CC=CN&amp;NR=106864617A&amp;KC=A</v>
      </c>
    </row>
    <row r="2189" spans="3:5" x14ac:dyDescent="0.25">
      <c r="C2189" t="s">
        <v>3664</v>
      </c>
      <c r="D2189" t="s">
        <v>3665</v>
      </c>
      <c r="E2189" t="str">
        <f>HYPERLINK("https://worldwide.espacenet.com/publicationDetails/biblio?II=346&amp;ND=3&amp;adjacent=true&amp;locale=en_EP&amp;FT=D&amp;date=20170613&amp;CC=CN&amp;NR=106825675A&amp;KC=A")</f>
        <v>https://worldwide.espacenet.com/publicationDetails/biblio?II=346&amp;ND=3&amp;adjacent=true&amp;locale=en_EP&amp;FT=D&amp;date=20170613&amp;CC=CN&amp;NR=106825675A&amp;KC=A</v>
      </c>
    </row>
    <row r="2190" spans="3:5" x14ac:dyDescent="0.25">
      <c r="C2190" t="s">
        <v>3666</v>
      </c>
      <c r="D2190" t="s">
        <v>3667</v>
      </c>
      <c r="E2190" t="str">
        <f>HYPERLINK("https://worldwide.espacenet.com/publicationDetails/biblio?II=347&amp;ND=3&amp;adjacent=true&amp;locale=en_EP&amp;FT=D&amp;date=20170613&amp;CC=CN&amp;NR=106825844A&amp;KC=A")</f>
        <v>https://worldwide.espacenet.com/publicationDetails/biblio?II=347&amp;ND=3&amp;adjacent=true&amp;locale=en_EP&amp;FT=D&amp;date=20170613&amp;CC=CN&amp;NR=106825844A&amp;KC=A</v>
      </c>
    </row>
    <row r="2191" spans="3:5" x14ac:dyDescent="0.25">
      <c r="C2191" t="s">
        <v>3668</v>
      </c>
      <c r="D2191" t="s">
        <v>3669</v>
      </c>
      <c r="E2191" t="str">
        <f>HYPERLINK("https://worldwide.espacenet.com/publicationDetails/biblio?II=348&amp;ND=3&amp;adjacent=true&amp;locale=en_EP&amp;FT=D&amp;date=20170613&amp;CC=CN&amp;NR=106826755A&amp;KC=A")</f>
        <v>https://worldwide.espacenet.com/publicationDetails/biblio?II=348&amp;ND=3&amp;adjacent=true&amp;locale=en_EP&amp;FT=D&amp;date=20170613&amp;CC=CN&amp;NR=106826755A&amp;KC=A</v>
      </c>
    </row>
    <row r="2192" spans="3:5" x14ac:dyDescent="0.25">
      <c r="C2192" t="s">
        <v>3670</v>
      </c>
      <c r="D2192" t="s">
        <v>3671</v>
      </c>
      <c r="E2192" t="str">
        <f>HYPERLINK("https://worldwide.espacenet.com/publicationDetails/biblio?II=349&amp;ND=3&amp;adjacent=true&amp;locale=en_EP&amp;FT=D&amp;date=20170613&amp;CC=CN&amp;NR=106826546A&amp;KC=A")</f>
        <v>https://worldwide.espacenet.com/publicationDetails/biblio?II=349&amp;ND=3&amp;adjacent=true&amp;locale=en_EP&amp;FT=D&amp;date=20170613&amp;CC=CN&amp;NR=106826546A&amp;KC=A</v>
      </c>
    </row>
    <row r="2193" spans="3:5" x14ac:dyDescent="0.25">
      <c r="C2193" t="s">
        <v>3672</v>
      </c>
      <c r="D2193" t="s">
        <v>3673</v>
      </c>
      <c r="E2193" t="str">
        <f>HYPERLINK("https://worldwide.espacenet.com/publicationDetails/biblio?II=350&amp;ND=3&amp;adjacent=true&amp;locale=en_EP&amp;FT=D&amp;date=20170613&amp;CC=CN&amp;NR=106829511A&amp;KC=A")</f>
        <v>https://worldwide.espacenet.com/publicationDetails/biblio?II=350&amp;ND=3&amp;adjacent=true&amp;locale=en_EP&amp;FT=D&amp;date=20170613&amp;CC=CN&amp;NR=106829511A&amp;KC=A</v>
      </c>
    </row>
    <row r="2194" spans="3:5" x14ac:dyDescent="0.25">
      <c r="C2194" t="s">
        <v>3674</v>
      </c>
      <c r="D2194" t="s">
        <v>3675</v>
      </c>
      <c r="E2194" t="str">
        <f>HYPERLINK("https://worldwide.espacenet.com/publicationDetails/biblio?II=351&amp;ND=3&amp;adjacent=true&amp;locale=en_EP&amp;FT=D&amp;date=20170613&amp;CC=CN&amp;NR=106834926A&amp;KC=A")</f>
        <v>https://worldwide.espacenet.com/publicationDetails/biblio?II=351&amp;ND=3&amp;adjacent=true&amp;locale=en_EP&amp;FT=D&amp;date=20170613&amp;CC=CN&amp;NR=106834926A&amp;KC=A</v>
      </c>
    </row>
    <row r="2195" spans="3:5" x14ac:dyDescent="0.25">
      <c r="C2195" t="s">
        <v>3676</v>
      </c>
      <c r="D2195" t="s">
        <v>3677</v>
      </c>
      <c r="E2195" t="str">
        <f>HYPERLINK("https://worldwide.espacenet.com/publicationDetails/biblio?II=352&amp;ND=3&amp;adjacent=true&amp;locale=en_EP&amp;FT=D&amp;date=20170613&amp;CC=CN&amp;NR=106834898A&amp;KC=A")</f>
        <v>https://worldwide.espacenet.com/publicationDetails/biblio?II=352&amp;ND=3&amp;adjacent=true&amp;locale=en_EP&amp;FT=D&amp;date=20170613&amp;CC=CN&amp;NR=106834898A&amp;KC=A</v>
      </c>
    </row>
    <row r="2196" spans="3:5" x14ac:dyDescent="0.25">
      <c r="C2196" t="s">
        <v>3678</v>
      </c>
      <c r="D2196" t="s">
        <v>3679</v>
      </c>
      <c r="E2196" t="str">
        <f>HYPERLINK("https://worldwide.espacenet.com/publicationDetails/biblio?II=353&amp;ND=3&amp;adjacent=true&amp;locale=en_EP&amp;FT=D&amp;date=20170609&amp;CC=CN&amp;NR=106811643A&amp;KC=A")</f>
        <v>https://worldwide.espacenet.com/publicationDetails/biblio?II=353&amp;ND=3&amp;adjacent=true&amp;locale=en_EP&amp;FT=D&amp;date=20170609&amp;CC=CN&amp;NR=106811643A&amp;KC=A</v>
      </c>
    </row>
    <row r="2197" spans="3:5" x14ac:dyDescent="0.25">
      <c r="C2197" t="s">
        <v>3680</v>
      </c>
      <c r="D2197" t="s">
        <v>3681</v>
      </c>
      <c r="E2197" t="str">
        <f>HYPERLINK("https://worldwide.espacenet.com/publicationDetails/biblio?II=354&amp;ND=3&amp;adjacent=true&amp;locale=en_EP&amp;FT=D&amp;date=20170609&amp;CC=CN&amp;NR=106809358A&amp;KC=A")</f>
        <v>https://worldwide.espacenet.com/publicationDetails/biblio?II=354&amp;ND=3&amp;adjacent=true&amp;locale=en_EP&amp;FT=D&amp;date=20170609&amp;CC=CN&amp;NR=106809358A&amp;KC=A</v>
      </c>
    </row>
    <row r="2198" spans="3:5" x14ac:dyDescent="0.25">
      <c r="C2198" t="s">
        <v>1007</v>
      </c>
      <c r="D2198" t="s">
        <v>1008</v>
      </c>
      <c r="E2198" t="str">
        <f>HYPERLINK("https://worldwide.espacenet.com/publicationDetails/biblio?II=355&amp;ND=3&amp;adjacent=true&amp;locale=en_EP&amp;FT=D&amp;date=20170627&amp;CC=CN&amp;NR=206277398U&amp;KC=U")</f>
        <v>https://worldwide.espacenet.com/publicationDetails/biblio?II=355&amp;ND=3&amp;adjacent=true&amp;locale=en_EP&amp;FT=D&amp;date=20170627&amp;CC=CN&amp;NR=206277398U&amp;KC=U</v>
      </c>
    </row>
    <row r="2199" spans="3:5" x14ac:dyDescent="0.25">
      <c r="C2199" t="s">
        <v>3682</v>
      </c>
      <c r="D2199" t="s">
        <v>3683</v>
      </c>
      <c r="E2199" t="str">
        <f>HYPERLINK("https://worldwide.espacenet.com/publicationDetails/biblio?II=356&amp;ND=3&amp;adjacent=true&amp;locale=en_EP&amp;FT=D&amp;date=20170622&amp;CC=JP&amp;NR=2017109820A&amp;KC=A")</f>
        <v>https://worldwide.espacenet.com/publicationDetails/biblio?II=356&amp;ND=3&amp;adjacent=true&amp;locale=en_EP&amp;FT=D&amp;date=20170622&amp;CC=JP&amp;NR=2017109820A&amp;KC=A</v>
      </c>
    </row>
    <row r="2200" spans="3:5" x14ac:dyDescent="0.25">
      <c r="C2200" t="s">
        <v>3684</v>
      </c>
      <c r="D2200" t="s">
        <v>3685</v>
      </c>
      <c r="E2200" t="str">
        <f>HYPERLINK("https://worldwide.espacenet.com/publicationDetails/biblio?II=357&amp;ND=3&amp;adjacent=true&amp;locale=en_EP&amp;FT=D&amp;date=20170627&amp;CC=CN&amp;NR=206277418U&amp;KC=U")</f>
        <v>https://worldwide.espacenet.com/publicationDetails/biblio?II=357&amp;ND=3&amp;adjacent=true&amp;locale=en_EP&amp;FT=D&amp;date=20170627&amp;CC=CN&amp;NR=206277418U&amp;KC=U</v>
      </c>
    </row>
    <row r="2201" spans="3:5" x14ac:dyDescent="0.25">
      <c r="C2201" t="s">
        <v>3686</v>
      </c>
      <c r="D2201" t="s">
        <v>3687</v>
      </c>
      <c r="E2201" t="str">
        <f>HYPERLINK("https://worldwide.espacenet.com/publicationDetails/biblio?II=358&amp;ND=3&amp;adjacent=true&amp;locale=en_EP&amp;FT=D&amp;date=20170616&amp;CC=CN&amp;NR=206259648U&amp;KC=U")</f>
        <v>https://worldwide.espacenet.com/publicationDetails/biblio?II=358&amp;ND=3&amp;adjacent=true&amp;locale=en_EP&amp;FT=D&amp;date=20170616&amp;CC=CN&amp;NR=206259648U&amp;KC=U</v>
      </c>
    </row>
    <row r="2202" spans="3:5" x14ac:dyDescent="0.25">
      <c r="C2202" t="s">
        <v>3688</v>
      </c>
      <c r="D2202" t="s">
        <v>3689</v>
      </c>
      <c r="E2202" t="str">
        <f>HYPERLINK("https://worldwide.espacenet.com/publicationDetails/biblio?II=359&amp;ND=3&amp;adjacent=true&amp;locale=en_EP&amp;FT=D&amp;date=20170613&amp;CC=CN&amp;NR=206249093U&amp;KC=U")</f>
        <v>https://worldwide.espacenet.com/publicationDetails/biblio?II=359&amp;ND=3&amp;adjacent=true&amp;locale=en_EP&amp;FT=D&amp;date=20170613&amp;CC=CN&amp;NR=206249093U&amp;KC=U</v>
      </c>
    </row>
    <row r="2203" spans="3:5" x14ac:dyDescent="0.25">
      <c r="C2203" t="s">
        <v>3690</v>
      </c>
      <c r="D2203" t="s">
        <v>3691</v>
      </c>
      <c r="E2203" t="str">
        <f>HYPERLINK("https://worldwide.espacenet.com/publicationDetails/biblio?II=360&amp;ND=3&amp;adjacent=true&amp;locale=en_EP&amp;FT=D&amp;date=20170609&amp;CC=CN&amp;NR=206228861U&amp;KC=U")</f>
        <v>https://worldwide.espacenet.com/publicationDetails/biblio?II=360&amp;ND=3&amp;adjacent=true&amp;locale=en_EP&amp;FT=D&amp;date=20170609&amp;CC=CN&amp;NR=206228861U&amp;KC=U</v>
      </c>
    </row>
    <row r="2204" spans="3:5" x14ac:dyDescent="0.25">
      <c r="C2204" t="s">
        <v>3692</v>
      </c>
      <c r="D2204" t="s">
        <v>3693</v>
      </c>
      <c r="E2204" t="str">
        <f>HYPERLINK("https://worldwide.espacenet.com/publicationDetails/biblio?II=361&amp;ND=3&amp;adjacent=true&amp;locale=en_EP&amp;FT=D&amp;date=20170606&amp;CC=CN&amp;NR=106801224A&amp;KC=A")</f>
        <v>https://worldwide.espacenet.com/publicationDetails/biblio?II=361&amp;ND=3&amp;adjacent=true&amp;locale=en_EP&amp;FT=D&amp;date=20170606&amp;CC=CN&amp;NR=106801224A&amp;KC=A</v>
      </c>
    </row>
    <row r="2205" spans="3:5" x14ac:dyDescent="0.25">
      <c r="C2205" t="s">
        <v>3694</v>
      </c>
      <c r="D2205" t="s">
        <v>3695</v>
      </c>
      <c r="E2205" t="str">
        <f>HYPERLINK("https://worldwide.espacenet.com/publicationDetails/biblio?II=362&amp;ND=3&amp;adjacent=true&amp;locale=en_EP&amp;FT=D&amp;date=20170606&amp;CC=CN&amp;NR=106802663A&amp;KC=A")</f>
        <v>https://worldwide.espacenet.com/publicationDetails/biblio?II=362&amp;ND=3&amp;adjacent=true&amp;locale=en_EP&amp;FT=D&amp;date=20170606&amp;CC=CN&amp;NR=106802663A&amp;KC=A</v>
      </c>
    </row>
    <row r="2206" spans="3:5" x14ac:dyDescent="0.25">
      <c r="C2206" t="s">
        <v>3696</v>
      </c>
      <c r="D2206" t="s">
        <v>3697</v>
      </c>
      <c r="E2206" t="str">
        <f>HYPERLINK("https://worldwide.espacenet.com/publicationDetails/biblio?II=363&amp;ND=3&amp;adjacent=true&amp;locale=en_EP&amp;FT=D&amp;date=20170609&amp;CC=CN&amp;NR=206233883U&amp;KC=U")</f>
        <v>https://worldwide.espacenet.com/publicationDetails/biblio?II=363&amp;ND=3&amp;adjacent=true&amp;locale=en_EP&amp;FT=D&amp;date=20170609&amp;CC=CN&amp;NR=206233883U&amp;KC=U</v>
      </c>
    </row>
    <row r="2207" spans="3:5" x14ac:dyDescent="0.25">
      <c r="C2207" t="s">
        <v>3698</v>
      </c>
      <c r="D2207" t="s">
        <v>3699</v>
      </c>
      <c r="E2207" t="str">
        <f>HYPERLINK("https://worldwide.espacenet.com/publicationDetails/biblio?II=364&amp;ND=3&amp;adjacent=true&amp;locale=en_EP&amp;FT=D&amp;date=20170531&amp;CC=CN&amp;NR=106717447A&amp;KC=A")</f>
        <v>https://worldwide.espacenet.com/publicationDetails/biblio?II=364&amp;ND=3&amp;adjacent=true&amp;locale=en_EP&amp;FT=D&amp;date=20170531&amp;CC=CN&amp;NR=106717447A&amp;KC=A</v>
      </c>
    </row>
    <row r="2208" spans="3:5" x14ac:dyDescent="0.25">
      <c r="C2208" t="s">
        <v>3700</v>
      </c>
      <c r="D2208" t="s">
        <v>3701</v>
      </c>
      <c r="E2208" t="str">
        <f>HYPERLINK("https://worldwide.espacenet.com/publicationDetails/biblio?II=365&amp;ND=3&amp;adjacent=true&amp;locale=en_EP&amp;FT=D&amp;date=20170531&amp;CC=CN&amp;NR=106743172A&amp;KC=A")</f>
        <v>https://worldwide.espacenet.com/publicationDetails/biblio?II=365&amp;ND=3&amp;adjacent=true&amp;locale=en_EP&amp;FT=D&amp;date=20170531&amp;CC=CN&amp;NR=106743172A&amp;KC=A</v>
      </c>
    </row>
    <row r="2209" spans="3:5" x14ac:dyDescent="0.25">
      <c r="C2209" t="s">
        <v>3702</v>
      </c>
      <c r="D2209" t="s">
        <v>3703</v>
      </c>
      <c r="E2209" t="str">
        <f>HYPERLINK("https://worldwide.espacenet.com/publicationDetails/biblio?II=366&amp;ND=3&amp;adjacent=true&amp;locale=en_EP&amp;FT=D&amp;date=20170531&amp;CC=CN&amp;NR=106741713A&amp;KC=A")</f>
        <v>https://worldwide.espacenet.com/publicationDetails/biblio?II=366&amp;ND=3&amp;adjacent=true&amp;locale=en_EP&amp;FT=D&amp;date=20170531&amp;CC=CN&amp;NR=106741713A&amp;KC=A</v>
      </c>
    </row>
    <row r="2210" spans="3:5" x14ac:dyDescent="0.25">
      <c r="C2210" t="s">
        <v>3704</v>
      </c>
      <c r="D2210" t="s">
        <v>3705</v>
      </c>
      <c r="E2210" t="str">
        <f>HYPERLINK("https://worldwide.espacenet.com/publicationDetails/biblio?II=367&amp;ND=3&amp;adjacent=true&amp;locale=en_EP&amp;FT=D&amp;date=20170531&amp;CC=CN&amp;NR=106787036A&amp;KC=A")</f>
        <v>https://worldwide.espacenet.com/publicationDetails/biblio?II=367&amp;ND=3&amp;adjacent=true&amp;locale=en_EP&amp;FT=D&amp;date=20170531&amp;CC=CN&amp;NR=106787036A&amp;KC=A</v>
      </c>
    </row>
    <row r="2211" spans="3:5" x14ac:dyDescent="0.25">
      <c r="C2211" t="s">
        <v>3706</v>
      </c>
      <c r="D2211" t="s">
        <v>3707</v>
      </c>
      <c r="E2211" t="str">
        <f>HYPERLINK("https://worldwide.espacenet.com/publicationDetails/biblio?II=368&amp;ND=3&amp;adjacent=true&amp;locale=en_EP&amp;FT=D&amp;date=20170531&amp;CC=CN&amp;NR=106737631A&amp;KC=A")</f>
        <v>https://worldwide.espacenet.com/publicationDetails/biblio?II=368&amp;ND=3&amp;adjacent=true&amp;locale=en_EP&amp;FT=D&amp;date=20170531&amp;CC=CN&amp;NR=106737631A&amp;KC=A</v>
      </c>
    </row>
    <row r="2212" spans="3:5" x14ac:dyDescent="0.25">
      <c r="C2212" t="s">
        <v>3708</v>
      </c>
      <c r="D2212" t="s">
        <v>3709</v>
      </c>
      <c r="E2212" t="str">
        <f>HYPERLINK("https://worldwide.espacenet.com/publicationDetails/biblio?II=369&amp;ND=3&amp;adjacent=true&amp;locale=en_EP&amp;FT=D&amp;date=20170531&amp;CC=CN&amp;NR=106737557A&amp;KC=A")</f>
        <v>https://worldwide.espacenet.com/publicationDetails/biblio?II=369&amp;ND=3&amp;adjacent=true&amp;locale=en_EP&amp;FT=D&amp;date=20170531&amp;CC=CN&amp;NR=106737557A&amp;KC=A</v>
      </c>
    </row>
    <row r="2213" spans="3:5" x14ac:dyDescent="0.25">
      <c r="C2213" t="s">
        <v>3710</v>
      </c>
      <c r="D2213" t="s">
        <v>3711</v>
      </c>
      <c r="E2213" t="str">
        <f>HYPERLINK("https://worldwide.espacenet.com/publicationDetails/biblio?II=370&amp;ND=3&amp;adjacent=true&amp;locale=en_EP&amp;FT=D&amp;date=20170531&amp;CC=CN&amp;NR=106741291A&amp;KC=A")</f>
        <v>https://worldwide.espacenet.com/publicationDetails/biblio?II=370&amp;ND=3&amp;adjacent=true&amp;locale=en_EP&amp;FT=D&amp;date=20170531&amp;CC=CN&amp;NR=106741291A&amp;KC=A</v>
      </c>
    </row>
    <row r="2214" spans="3:5" x14ac:dyDescent="0.25">
      <c r="C2214" t="s">
        <v>3712</v>
      </c>
      <c r="D2214" t="s">
        <v>3713</v>
      </c>
      <c r="E2214" t="str">
        <f>HYPERLINK("https://worldwide.espacenet.com/publicationDetails/biblio?II=371&amp;ND=3&amp;adjacent=true&amp;locale=en_EP&amp;FT=D&amp;date=20170531&amp;CC=CN&amp;NR=106741276A&amp;KC=A")</f>
        <v>https://worldwide.espacenet.com/publicationDetails/biblio?II=371&amp;ND=3&amp;adjacent=true&amp;locale=en_EP&amp;FT=D&amp;date=20170531&amp;CC=CN&amp;NR=106741276A&amp;KC=A</v>
      </c>
    </row>
    <row r="2215" spans="3:5" x14ac:dyDescent="0.25">
      <c r="C2215" t="s">
        <v>1009</v>
      </c>
      <c r="D2215" t="s">
        <v>1010</v>
      </c>
      <c r="E2215" t="str">
        <f>HYPERLINK("https://worldwide.espacenet.com/publicationDetails/biblio?II=372&amp;ND=3&amp;adjacent=true&amp;locale=en_EP&amp;FT=D&amp;date=20170531&amp;CC=CN&amp;NR=106737841A&amp;KC=A")</f>
        <v>https://worldwide.espacenet.com/publicationDetails/biblio?II=372&amp;ND=3&amp;adjacent=true&amp;locale=en_EP&amp;FT=D&amp;date=20170531&amp;CC=CN&amp;NR=106737841A&amp;KC=A</v>
      </c>
    </row>
    <row r="2216" spans="3:5" x14ac:dyDescent="0.25">
      <c r="C2216" t="s">
        <v>3714</v>
      </c>
      <c r="D2216" t="s">
        <v>3715</v>
      </c>
      <c r="E2216" t="str">
        <f>HYPERLINK("https://worldwide.espacenet.com/publicationDetails/biblio?II=373&amp;ND=3&amp;adjacent=true&amp;locale=en_EP&amp;FT=D&amp;date=20170531&amp;CC=CN&amp;NR=106726373A&amp;KC=A")</f>
        <v>https://worldwide.espacenet.com/publicationDetails/biblio?II=373&amp;ND=3&amp;adjacent=true&amp;locale=en_EP&amp;FT=D&amp;date=20170531&amp;CC=CN&amp;NR=106726373A&amp;KC=A</v>
      </c>
    </row>
    <row r="2217" spans="3:5" x14ac:dyDescent="0.25">
      <c r="C2217" t="s">
        <v>3716</v>
      </c>
      <c r="D2217" t="s">
        <v>3717</v>
      </c>
      <c r="E2217" t="str">
        <f>HYPERLINK("https://worldwide.espacenet.com/publicationDetails/biblio?II=374&amp;ND=3&amp;adjacent=true&amp;locale=en_EP&amp;FT=D&amp;date=20170531&amp;CC=CN&amp;NR=106737747A&amp;KC=A")</f>
        <v>https://worldwide.espacenet.com/publicationDetails/biblio?II=374&amp;ND=3&amp;adjacent=true&amp;locale=en_EP&amp;FT=D&amp;date=20170531&amp;CC=CN&amp;NR=106737747A&amp;KC=A</v>
      </c>
    </row>
    <row r="2218" spans="3:5" x14ac:dyDescent="0.25">
      <c r="C2218" t="s">
        <v>3718</v>
      </c>
      <c r="D2218" t="s">
        <v>3719</v>
      </c>
      <c r="E2218" t="str">
        <f>HYPERLINK("https://worldwide.espacenet.com/publicationDetails/biblio?II=375&amp;ND=3&amp;adjacent=true&amp;locale=en_EP&amp;FT=D&amp;date=20170531&amp;CC=CN&amp;NR=106736120A&amp;KC=A")</f>
        <v>https://worldwide.espacenet.com/publicationDetails/biblio?II=375&amp;ND=3&amp;adjacent=true&amp;locale=en_EP&amp;FT=D&amp;date=20170531&amp;CC=CN&amp;NR=106736120A&amp;KC=A</v>
      </c>
    </row>
    <row r="2219" spans="3:5" x14ac:dyDescent="0.25">
      <c r="C2219" t="s">
        <v>3720</v>
      </c>
      <c r="D2219" t="s">
        <v>3721</v>
      </c>
      <c r="E2219" t="str">
        <f>HYPERLINK("https://worldwide.espacenet.com/publicationDetails/biblio?II=376&amp;ND=3&amp;adjacent=true&amp;locale=en_EP&amp;FT=D&amp;date=20170531&amp;CC=CN&amp;NR=106737827A&amp;KC=A")</f>
        <v>https://worldwide.espacenet.com/publicationDetails/biblio?II=376&amp;ND=3&amp;adjacent=true&amp;locale=en_EP&amp;FT=D&amp;date=20170531&amp;CC=CN&amp;NR=106737827A&amp;KC=A</v>
      </c>
    </row>
    <row r="2220" spans="3:5" x14ac:dyDescent="0.25">
      <c r="C2220" t="s">
        <v>3722</v>
      </c>
      <c r="D2220" t="s">
        <v>3723</v>
      </c>
      <c r="E2220" t="str">
        <f>HYPERLINK("https://worldwide.espacenet.com/publicationDetails/biblio?II=377&amp;ND=3&amp;adjacent=true&amp;locale=en_EP&amp;FT=D&amp;date=20170531&amp;CC=CN&amp;NR=106756515A&amp;KC=A")</f>
        <v>https://worldwide.espacenet.com/publicationDetails/biblio?II=377&amp;ND=3&amp;adjacent=true&amp;locale=en_EP&amp;FT=D&amp;date=20170531&amp;CC=CN&amp;NR=106756515A&amp;KC=A</v>
      </c>
    </row>
    <row r="2221" spans="3:5" x14ac:dyDescent="0.25">
      <c r="C2221" t="s">
        <v>3724</v>
      </c>
      <c r="D2221" t="s">
        <v>3725</v>
      </c>
      <c r="E2221" t="str">
        <f>HYPERLINK("https://worldwide.espacenet.com/publicationDetails/biblio?II=378&amp;ND=3&amp;adjacent=true&amp;locale=en_EP&amp;FT=D&amp;date=20170531&amp;CC=CN&amp;NR=106737587A&amp;KC=A")</f>
        <v>https://worldwide.espacenet.com/publicationDetails/biblio?II=378&amp;ND=3&amp;adjacent=true&amp;locale=en_EP&amp;FT=D&amp;date=20170531&amp;CC=CN&amp;NR=106737587A&amp;KC=A</v>
      </c>
    </row>
    <row r="2222" spans="3:5" x14ac:dyDescent="0.25">
      <c r="C2222" t="s">
        <v>3726</v>
      </c>
      <c r="D2222" t="s">
        <v>3727</v>
      </c>
      <c r="E2222" t="str">
        <f>HYPERLINK("https://worldwide.espacenet.com/publicationDetails/biblio?II=379&amp;ND=3&amp;adjacent=true&amp;locale=en_EP&amp;FT=D&amp;date=20170524&amp;CC=CN&amp;NR=106695807A&amp;KC=A")</f>
        <v>https://worldwide.espacenet.com/publicationDetails/biblio?II=379&amp;ND=3&amp;adjacent=true&amp;locale=en_EP&amp;FT=D&amp;date=20170524&amp;CC=CN&amp;NR=106695807A&amp;KC=A</v>
      </c>
    </row>
    <row r="2223" spans="3:5" x14ac:dyDescent="0.25">
      <c r="C2223" t="s">
        <v>3728</v>
      </c>
      <c r="D2223" t="s">
        <v>3729</v>
      </c>
      <c r="E2223" t="str">
        <f>HYPERLINK("https://worldwide.espacenet.com/publicationDetails/biblio?II=380&amp;ND=3&amp;adjacent=true&amp;locale=en_EP&amp;FT=D&amp;date=20170531&amp;CC=CN&amp;NR=106743248A&amp;KC=A")</f>
        <v>https://worldwide.espacenet.com/publicationDetails/biblio?II=380&amp;ND=3&amp;adjacent=true&amp;locale=en_EP&amp;FT=D&amp;date=20170531&amp;CC=CN&amp;NR=106743248A&amp;KC=A</v>
      </c>
    </row>
    <row r="2224" spans="3:5" x14ac:dyDescent="0.25">
      <c r="C2224" t="s">
        <v>3730</v>
      </c>
      <c r="D2224" t="s">
        <v>3731</v>
      </c>
      <c r="E2224" t="str">
        <f>HYPERLINK("https://worldwide.espacenet.com/publicationDetails/biblio?II=381&amp;ND=3&amp;adjacent=true&amp;locale=en_EP&amp;FT=D&amp;date=20170531&amp;CC=CN&amp;NR=106737863A&amp;KC=A")</f>
        <v>https://worldwide.espacenet.com/publicationDetails/biblio?II=381&amp;ND=3&amp;adjacent=true&amp;locale=en_EP&amp;FT=D&amp;date=20170531&amp;CC=CN&amp;NR=106737863A&amp;KC=A</v>
      </c>
    </row>
    <row r="2225" spans="3:5" x14ac:dyDescent="0.25">
      <c r="C2225" t="s">
        <v>3732</v>
      </c>
      <c r="D2225" t="s">
        <v>3733</v>
      </c>
      <c r="E2225" t="str">
        <f>HYPERLINK("https://worldwide.espacenet.com/publicationDetails/biblio?II=382&amp;ND=3&amp;adjacent=true&amp;locale=en_EP&amp;FT=D&amp;date=20170524&amp;CC=CN&amp;NR=106708078A&amp;KC=A")</f>
        <v>https://worldwide.espacenet.com/publicationDetails/biblio?II=382&amp;ND=3&amp;adjacent=true&amp;locale=en_EP&amp;FT=D&amp;date=20170524&amp;CC=CN&amp;NR=106708078A&amp;KC=A</v>
      </c>
    </row>
    <row r="2226" spans="3:5" x14ac:dyDescent="0.25">
      <c r="C2226" t="s">
        <v>3734</v>
      </c>
      <c r="D2226" t="s">
        <v>3735</v>
      </c>
      <c r="E2226" t="str">
        <f>HYPERLINK("https://worldwide.espacenet.com/publicationDetails/biblio?II=383&amp;ND=3&amp;adjacent=true&amp;locale=en_EP&amp;FT=D&amp;date=20170531&amp;CC=CN&amp;NR=106760767A&amp;KC=A")</f>
        <v>https://worldwide.espacenet.com/publicationDetails/biblio?II=383&amp;ND=3&amp;adjacent=true&amp;locale=en_EP&amp;FT=D&amp;date=20170531&amp;CC=CN&amp;NR=106760767A&amp;KC=A</v>
      </c>
    </row>
    <row r="2227" spans="3:5" x14ac:dyDescent="0.25">
      <c r="C2227" t="s">
        <v>1015</v>
      </c>
      <c r="D2227" t="s">
        <v>1016</v>
      </c>
      <c r="E2227" t="str">
        <f>HYPERLINK("https://worldwide.espacenet.com/publicationDetails/biblio?II=384&amp;ND=3&amp;adjacent=true&amp;locale=en_EP&amp;FT=D&amp;date=20170531&amp;CC=CN&amp;NR=106733875A&amp;KC=A")</f>
        <v>https://worldwide.espacenet.com/publicationDetails/biblio?II=384&amp;ND=3&amp;adjacent=true&amp;locale=en_EP&amp;FT=D&amp;date=20170531&amp;CC=CN&amp;NR=106733875A&amp;KC=A</v>
      </c>
    </row>
    <row r="2228" spans="3:5" x14ac:dyDescent="0.25">
      <c r="C2228" t="s">
        <v>3736</v>
      </c>
      <c r="D2228" t="s">
        <v>3737</v>
      </c>
      <c r="E2228" t="str">
        <f>HYPERLINK("https://worldwide.espacenet.com/publicationDetails/biblio?II=385&amp;ND=3&amp;adjacent=true&amp;locale=en_EP&amp;FT=D&amp;date=20170531&amp;CC=CN&amp;NR=106736517A&amp;KC=A")</f>
        <v>https://worldwide.espacenet.com/publicationDetails/biblio?II=385&amp;ND=3&amp;adjacent=true&amp;locale=en_EP&amp;FT=D&amp;date=20170531&amp;CC=CN&amp;NR=106736517A&amp;KC=A</v>
      </c>
    </row>
    <row r="2229" spans="3:5" x14ac:dyDescent="0.25">
      <c r="C2229" t="s">
        <v>3738</v>
      </c>
      <c r="D2229" t="s">
        <v>3739</v>
      </c>
      <c r="E2229" t="str">
        <f>HYPERLINK("https://worldwide.espacenet.com/publicationDetails/biblio?II=386&amp;ND=3&amp;adjacent=true&amp;locale=en_EP&amp;FT=D&amp;date=20170531&amp;CC=CN&amp;NR=106743379A&amp;KC=A")</f>
        <v>https://worldwide.espacenet.com/publicationDetails/biblio?II=386&amp;ND=3&amp;adjacent=true&amp;locale=en_EP&amp;FT=D&amp;date=20170531&amp;CC=CN&amp;NR=106743379A&amp;KC=A</v>
      </c>
    </row>
    <row r="2230" spans="3:5" x14ac:dyDescent="0.25">
      <c r="C2230" t="s">
        <v>3740</v>
      </c>
      <c r="D2230" t="s">
        <v>3741</v>
      </c>
      <c r="E2230" t="str">
        <f>HYPERLINK("https://worldwide.espacenet.com/publicationDetails/biblio?II=387&amp;ND=3&amp;adjacent=true&amp;locale=en_EP&amp;FT=D&amp;date=20170531&amp;CC=CN&amp;NR=106737563A&amp;KC=A")</f>
        <v>https://worldwide.espacenet.com/publicationDetails/biblio?II=387&amp;ND=3&amp;adjacent=true&amp;locale=en_EP&amp;FT=D&amp;date=20170531&amp;CC=CN&amp;NR=106737563A&amp;KC=A</v>
      </c>
    </row>
    <row r="2231" spans="3:5" x14ac:dyDescent="0.25">
      <c r="C2231" t="s">
        <v>3742</v>
      </c>
      <c r="D2231" t="s">
        <v>3743</v>
      </c>
      <c r="E2231" t="str">
        <f>HYPERLINK("https://worldwide.espacenet.com/publicationDetails/biblio?II=388&amp;ND=3&amp;adjacent=true&amp;locale=en_EP&amp;FT=D&amp;date=20170531&amp;CC=CN&amp;NR=106741584A&amp;KC=A")</f>
        <v>https://worldwide.espacenet.com/publicationDetails/biblio?II=388&amp;ND=3&amp;adjacent=true&amp;locale=en_EP&amp;FT=D&amp;date=20170531&amp;CC=CN&amp;NR=106741584A&amp;KC=A</v>
      </c>
    </row>
    <row r="2232" spans="3:5" x14ac:dyDescent="0.25">
      <c r="C2232" t="s">
        <v>3744</v>
      </c>
      <c r="D2232" t="s">
        <v>3745</v>
      </c>
      <c r="E2232" t="str">
        <f>HYPERLINK("https://worldwide.espacenet.com/publicationDetails/biblio?II=389&amp;ND=3&amp;adjacent=true&amp;locale=en_EP&amp;FT=D&amp;date=20170531&amp;CC=CN&amp;NR=106741283A&amp;KC=A")</f>
        <v>https://worldwide.espacenet.com/publicationDetails/biblio?II=389&amp;ND=3&amp;adjacent=true&amp;locale=en_EP&amp;FT=D&amp;date=20170531&amp;CC=CN&amp;NR=106741283A&amp;KC=A</v>
      </c>
    </row>
    <row r="2233" spans="3:5" x14ac:dyDescent="0.25">
      <c r="C2233" t="s">
        <v>3746</v>
      </c>
      <c r="D2233" t="s">
        <v>3747</v>
      </c>
      <c r="E2233" t="str">
        <f>HYPERLINK("https://worldwide.espacenet.com/publicationDetails/biblio?II=390&amp;ND=3&amp;adjacent=true&amp;locale=en_EP&amp;FT=D&amp;date=20170531&amp;CC=CN&amp;NR=106767190A&amp;KC=A")</f>
        <v>https://worldwide.espacenet.com/publicationDetails/biblio?II=390&amp;ND=3&amp;adjacent=true&amp;locale=en_EP&amp;FT=D&amp;date=20170531&amp;CC=CN&amp;NR=106767190A&amp;KC=A</v>
      </c>
    </row>
    <row r="2234" spans="3:5" x14ac:dyDescent="0.25">
      <c r="C2234" t="s">
        <v>3748</v>
      </c>
      <c r="D2234" t="s">
        <v>3749</v>
      </c>
      <c r="E2234" t="str">
        <f>HYPERLINK("https://worldwide.espacenet.com/publicationDetails/biblio?II=391&amp;ND=3&amp;adjacent=true&amp;locale=en_EP&amp;FT=D&amp;date=20170510&amp;CC=CN&amp;NR=106627832A&amp;KC=A")</f>
        <v>https://worldwide.espacenet.com/publicationDetails/biblio?II=391&amp;ND=3&amp;adjacent=true&amp;locale=en_EP&amp;FT=D&amp;date=20170510&amp;CC=CN&amp;NR=106627832A&amp;KC=A</v>
      </c>
    </row>
    <row r="2235" spans="3:5" x14ac:dyDescent="0.25">
      <c r="C2235" t="s">
        <v>3750</v>
      </c>
      <c r="D2235" t="s">
        <v>3751</v>
      </c>
      <c r="E2235" t="str">
        <f>HYPERLINK("https://worldwide.espacenet.com/publicationDetails/biblio?II=392&amp;ND=3&amp;adjacent=true&amp;locale=en_EP&amp;FT=D&amp;date=20170510&amp;CC=CN&amp;NR=106629090A&amp;KC=A")</f>
        <v>https://worldwide.espacenet.com/publicationDetails/biblio?II=392&amp;ND=3&amp;adjacent=true&amp;locale=en_EP&amp;FT=D&amp;date=20170510&amp;CC=CN&amp;NR=106629090A&amp;KC=A</v>
      </c>
    </row>
    <row r="2236" spans="3:5" x14ac:dyDescent="0.25">
      <c r="C2236" t="s">
        <v>3752</v>
      </c>
      <c r="D2236" t="s">
        <v>3753</v>
      </c>
      <c r="E2236" t="str">
        <f>HYPERLINK("https://worldwide.espacenet.com/publicationDetails/biblio?II=393&amp;ND=3&amp;adjacent=true&amp;locale=en_EP&amp;FT=D&amp;date=20170510&amp;CC=CN&amp;NR=106636910A&amp;KC=A")</f>
        <v>https://worldwide.espacenet.com/publicationDetails/biblio?II=393&amp;ND=3&amp;adjacent=true&amp;locale=en_EP&amp;FT=D&amp;date=20170510&amp;CC=CN&amp;NR=106636910A&amp;KC=A</v>
      </c>
    </row>
    <row r="2237" spans="3:5" x14ac:dyDescent="0.25">
      <c r="C2237" t="s">
        <v>3754</v>
      </c>
      <c r="D2237" t="s">
        <v>3755</v>
      </c>
      <c r="E2237" t="str">
        <f>HYPERLINK("https://worldwide.espacenet.com/publicationDetails/biblio?II=394&amp;ND=3&amp;adjacent=true&amp;locale=en_EP&amp;FT=D&amp;date=20170517&amp;CC=CN&amp;NR=106671059A&amp;KC=A")</f>
        <v>https://worldwide.espacenet.com/publicationDetails/biblio?II=394&amp;ND=3&amp;adjacent=true&amp;locale=en_EP&amp;FT=D&amp;date=20170517&amp;CC=CN&amp;NR=106671059A&amp;KC=A</v>
      </c>
    </row>
    <row r="2238" spans="3:5" x14ac:dyDescent="0.25">
      <c r="C2238" t="s">
        <v>3756</v>
      </c>
      <c r="D2238" t="s">
        <v>3757</v>
      </c>
      <c r="E2238" t="str">
        <f>HYPERLINK("https://worldwide.espacenet.com/publicationDetails/biblio?II=395&amp;ND=3&amp;adjacent=true&amp;locale=en_EP&amp;FT=D&amp;date=20170510&amp;CC=CN&amp;NR=106625592A&amp;KC=A")</f>
        <v>https://worldwide.espacenet.com/publicationDetails/biblio?II=395&amp;ND=3&amp;adjacent=true&amp;locale=en_EP&amp;FT=D&amp;date=20170510&amp;CC=CN&amp;NR=106625592A&amp;KC=A</v>
      </c>
    </row>
    <row r="2239" spans="3:5" x14ac:dyDescent="0.25">
      <c r="C2239" t="s">
        <v>3758</v>
      </c>
      <c r="D2239" t="s">
        <v>3759</v>
      </c>
      <c r="E2239" t="str">
        <f>HYPERLINK("https://worldwide.espacenet.com/publicationDetails/biblio?II=396&amp;ND=3&amp;adjacent=true&amp;locale=en_EP&amp;FT=D&amp;date=20170510&amp;CC=CN&amp;NR=106625246A&amp;KC=A")</f>
        <v>https://worldwide.espacenet.com/publicationDetails/biblio?II=396&amp;ND=3&amp;adjacent=true&amp;locale=en_EP&amp;FT=D&amp;date=20170510&amp;CC=CN&amp;NR=106625246A&amp;KC=A</v>
      </c>
    </row>
    <row r="2240" spans="3:5" x14ac:dyDescent="0.25">
      <c r="C2240" t="s">
        <v>3760</v>
      </c>
      <c r="D2240" t="s">
        <v>3761</v>
      </c>
      <c r="E2240" t="str">
        <f>HYPERLINK("https://worldwide.espacenet.com/publicationDetails/biblio?II=397&amp;ND=3&amp;adjacent=true&amp;locale=en_EP&amp;FT=D&amp;date=20170510&amp;CC=CN&amp;NR=106655857A&amp;KC=A")</f>
        <v>https://worldwide.espacenet.com/publicationDetails/biblio?II=397&amp;ND=3&amp;adjacent=true&amp;locale=en_EP&amp;FT=D&amp;date=20170510&amp;CC=CN&amp;NR=106655857A&amp;KC=A</v>
      </c>
    </row>
    <row r="2241" spans="3:5" x14ac:dyDescent="0.25">
      <c r="C2241" t="s">
        <v>3762</v>
      </c>
      <c r="D2241" t="s">
        <v>3763</v>
      </c>
      <c r="E2241" t="str">
        <f>HYPERLINK("https://worldwide.espacenet.com/publicationDetails/biblio?II=398&amp;ND=3&amp;adjacent=true&amp;locale=en_EP&amp;FT=D&amp;date=20170606&amp;CC=CN&amp;NR=206216735U&amp;KC=U")</f>
        <v>https://worldwide.espacenet.com/publicationDetails/biblio?II=398&amp;ND=3&amp;adjacent=true&amp;locale=en_EP&amp;FT=D&amp;date=20170606&amp;CC=CN&amp;NR=206216735U&amp;KC=U</v>
      </c>
    </row>
    <row r="2242" spans="3:5" x14ac:dyDescent="0.25">
      <c r="C2242" t="s">
        <v>3764</v>
      </c>
      <c r="D2242" t="s">
        <v>3765</v>
      </c>
      <c r="E2242" t="str">
        <f>HYPERLINK("https://worldwide.espacenet.com/publicationDetails/biblio?II=399&amp;ND=3&amp;adjacent=true&amp;locale=en_EP&amp;FT=D&amp;date=20170525&amp;CC=JP&amp;NR=2017087341A&amp;KC=A")</f>
        <v>https://worldwide.espacenet.com/publicationDetails/biblio?II=399&amp;ND=3&amp;adjacent=true&amp;locale=en_EP&amp;FT=D&amp;date=20170525&amp;CC=JP&amp;NR=2017087341A&amp;KC=A</v>
      </c>
    </row>
    <row r="2243" spans="3:5" x14ac:dyDescent="0.25">
      <c r="C2243" t="s">
        <v>1007</v>
      </c>
      <c r="D2243" t="s">
        <v>1021</v>
      </c>
      <c r="E2243" t="str">
        <f>HYPERLINK("https://worldwide.espacenet.com/publicationDetails/biblio?II=400&amp;ND=3&amp;adjacent=true&amp;locale=en_EP&amp;FT=D&amp;date=20170524&amp;CC=CN&amp;NR=206185856U&amp;KC=U")</f>
        <v>https://worldwide.espacenet.com/publicationDetails/biblio?II=400&amp;ND=3&amp;adjacent=true&amp;locale=en_EP&amp;FT=D&amp;date=20170524&amp;CC=CN&amp;NR=206185856U&amp;KC=U</v>
      </c>
    </row>
    <row r="2244" spans="3:5" x14ac:dyDescent="0.25">
      <c r="C2244" t="s">
        <v>3766</v>
      </c>
      <c r="D2244" t="s">
        <v>3767</v>
      </c>
      <c r="E2244" t="str">
        <f>HYPERLINK("https://worldwide.espacenet.com/publicationDetails/biblio?II=401&amp;ND=3&amp;adjacent=true&amp;locale=en_EP&amp;FT=D&amp;date=20170503&amp;CC=CN&amp;NR=106607910A&amp;KC=A")</f>
        <v>https://worldwide.espacenet.com/publicationDetails/biblio?II=401&amp;ND=3&amp;adjacent=true&amp;locale=en_EP&amp;FT=D&amp;date=20170503&amp;CC=CN&amp;NR=106607910A&amp;KC=A</v>
      </c>
    </row>
    <row r="2245" spans="3:5" x14ac:dyDescent="0.25">
      <c r="C2245" t="s">
        <v>3768</v>
      </c>
      <c r="D2245" t="s">
        <v>3769</v>
      </c>
      <c r="E2245" t="str">
        <f>HYPERLINK("https://worldwide.espacenet.com/publicationDetails/biblio?II=402&amp;ND=3&amp;adjacent=true&amp;locale=en_EP&amp;FT=D&amp;date=20170426&amp;CC=CN&amp;NR=106584514A&amp;KC=A")</f>
        <v>https://worldwide.espacenet.com/publicationDetails/biblio?II=402&amp;ND=3&amp;adjacent=true&amp;locale=en_EP&amp;FT=D&amp;date=20170426&amp;CC=CN&amp;NR=106584514A&amp;KC=A</v>
      </c>
    </row>
    <row r="2246" spans="3:5" x14ac:dyDescent="0.25">
      <c r="C2246" t="s">
        <v>3770</v>
      </c>
      <c r="D2246" t="s">
        <v>3771</v>
      </c>
      <c r="E2246" t="str">
        <f>HYPERLINK("https://worldwide.espacenet.com/publicationDetails/biblio?II=403&amp;ND=3&amp;adjacent=true&amp;locale=en_EP&amp;FT=D&amp;date=20170426&amp;CC=CN&amp;NR=106586877A&amp;KC=A")</f>
        <v>https://worldwide.espacenet.com/publicationDetails/biblio?II=403&amp;ND=3&amp;adjacent=true&amp;locale=en_EP&amp;FT=D&amp;date=20170426&amp;CC=CN&amp;NR=106586877A&amp;KC=A</v>
      </c>
    </row>
    <row r="2247" spans="3:5" x14ac:dyDescent="0.25">
      <c r="C2247" t="s">
        <v>3772</v>
      </c>
      <c r="D2247" t="s">
        <v>3773</v>
      </c>
      <c r="E2247" t="str">
        <f>HYPERLINK("https://worldwide.espacenet.com/publicationDetails/biblio?II=404&amp;ND=3&amp;adjacent=true&amp;locale=en_EP&amp;FT=D&amp;date=20170419&amp;CC=CN&amp;NR=206107562U&amp;KC=U")</f>
        <v>https://worldwide.espacenet.com/publicationDetails/biblio?II=404&amp;ND=3&amp;adjacent=true&amp;locale=en_EP&amp;FT=D&amp;date=20170419&amp;CC=CN&amp;NR=206107562U&amp;KC=U</v>
      </c>
    </row>
    <row r="2248" spans="3:5" x14ac:dyDescent="0.25">
      <c r="C2248" t="s">
        <v>3774</v>
      </c>
      <c r="D2248" t="s">
        <v>3775</v>
      </c>
      <c r="E2248" t="str">
        <f>HYPERLINK("https://worldwide.espacenet.com/publicationDetails/biblio?II=405&amp;ND=3&amp;adjacent=true&amp;locale=en_EP&amp;FT=D&amp;date=20170419&amp;CC=CN&amp;NR=206105214U&amp;KC=U")</f>
        <v>https://worldwide.espacenet.com/publicationDetails/biblio?II=405&amp;ND=3&amp;adjacent=true&amp;locale=en_EP&amp;FT=D&amp;date=20170419&amp;CC=CN&amp;NR=206105214U&amp;KC=U</v>
      </c>
    </row>
    <row r="2249" spans="3:5" x14ac:dyDescent="0.25">
      <c r="C2249" t="s">
        <v>1024</v>
      </c>
      <c r="D2249" t="s">
        <v>1025</v>
      </c>
      <c r="E2249" t="str">
        <f>HYPERLINK("https://worldwide.espacenet.com/publicationDetails/biblio?II=406&amp;ND=3&amp;adjacent=true&amp;locale=en_EP&amp;FT=D&amp;date=20170420&amp;CC=US&amp;NR=2017106738A1&amp;KC=A1")</f>
        <v>https://worldwide.espacenet.com/publicationDetails/biblio?II=406&amp;ND=3&amp;adjacent=true&amp;locale=en_EP&amp;FT=D&amp;date=20170420&amp;CC=US&amp;NR=2017106738A1&amp;KC=A1</v>
      </c>
    </row>
    <row r="2250" spans="3:5" x14ac:dyDescent="0.25">
      <c r="C2250" t="s">
        <v>3776</v>
      </c>
      <c r="D2250" t="s">
        <v>3777</v>
      </c>
      <c r="E2250" t="str">
        <f>HYPERLINK("https://worldwide.espacenet.com/publicationDetails/biblio?II=407&amp;ND=3&amp;adjacent=true&amp;locale=en_EP&amp;FT=D&amp;date=20170419&amp;CC=CN&amp;NR=206105897U&amp;KC=U")</f>
        <v>https://worldwide.espacenet.com/publicationDetails/biblio?II=407&amp;ND=3&amp;adjacent=true&amp;locale=en_EP&amp;FT=D&amp;date=20170419&amp;CC=CN&amp;NR=206105897U&amp;KC=U</v>
      </c>
    </row>
    <row r="2251" spans="3:5" x14ac:dyDescent="0.25">
      <c r="C2251" t="s">
        <v>3778</v>
      </c>
      <c r="D2251" t="s">
        <v>3779</v>
      </c>
      <c r="E2251" t="str">
        <f>HYPERLINK("https://worldwide.espacenet.com/publicationDetails/biblio?II=408&amp;ND=3&amp;adjacent=true&amp;locale=en_EP&amp;FT=D&amp;date=20170412&amp;CC=CN&amp;NR=206081618U&amp;KC=U")</f>
        <v>https://worldwide.espacenet.com/publicationDetails/biblio?II=408&amp;ND=3&amp;adjacent=true&amp;locale=en_EP&amp;FT=D&amp;date=20170412&amp;CC=CN&amp;NR=206081618U&amp;KC=U</v>
      </c>
    </row>
    <row r="2252" spans="3:5" x14ac:dyDescent="0.25">
      <c r="C2252" t="s">
        <v>3780</v>
      </c>
      <c r="D2252" t="s">
        <v>3781</v>
      </c>
      <c r="E2252" t="str">
        <f>HYPERLINK("https://worldwide.espacenet.com/publicationDetails/biblio?II=409&amp;ND=3&amp;adjacent=true&amp;locale=en_EP&amp;FT=D&amp;date=20170412&amp;CC=CN&amp;NR=206088831U&amp;KC=U")</f>
        <v>https://worldwide.espacenet.com/publicationDetails/biblio?II=409&amp;ND=3&amp;adjacent=true&amp;locale=en_EP&amp;FT=D&amp;date=20170412&amp;CC=CN&amp;NR=206088831U&amp;KC=U</v>
      </c>
    </row>
    <row r="2253" spans="3:5" x14ac:dyDescent="0.25">
      <c r="C2253" t="s">
        <v>3782</v>
      </c>
      <c r="D2253" t="s">
        <v>3783</v>
      </c>
      <c r="E2253" t="str">
        <f>HYPERLINK("https://worldwide.espacenet.com/publicationDetails/biblio?II=410&amp;ND=3&amp;adjacent=true&amp;locale=en_EP&amp;FT=D&amp;date=20170302&amp;CC=RU&amp;NR=2612115C1&amp;KC=C1")</f>
        <v>https://worldwide.espacenet.com/publicationDetails/biblio?II=410&amp;ND=3&amp;adjacent=true&amp;locale=en_EP&amp;FT=D&amp;date=20170302&amp;CC=RU&amp;NR=2612115C1&amp;KC=C1</v>
      </c>
    </row>
    <row r="2254" spans="3:5" x14ac:dyDescent="0.25">
      <c r="C2254" t="s">
        <v>3784</v>
      </c>
      <c r="D2254" t="s">
        <v>3785</v>
      </c>
      <c r="E2254" t="str">
        <f>HYPERLINK("https://worldwide.espacenet.com/publicationDetails/biblio?II=411&amp;ND=3&amp;adjacent=true&amp;locale=en_EP&amp;FT=D&amp;date=20170405&amp;CC=CN&amp;NR=206066439U&amp;KC=U")</f>
        <v>https://worldwide.espacenet.com/publicationDetails/biblio?II=411&amp;ND=3&amp;adjacent=true&amp;locale=en_EP&amp;FT=D&amp;date=20170405&amp;CC=CN&amp;NR=206066439U&amp;KC=U</v>
      </c>
    </row>
    <row r="2255" spans="3:5" x14ac:dyDescent="0.25">
      <c r="C2255" t="s">
        <v>3786</v>
      </c>
      <c r="D2255" t="s">
        <v>3787</v>
      </c>
      <c r="E2255" t="str">
        <f>HYPERLINK("https://worldwide.espacenet.com/publicationDetails/biblio?II=412&amp;ND=3&amp;adjacent=true&amp;locale=en_EP&amp;FT=D&amp;date=20170308&amp;CC=KR&amp;NR=101713120B1&amp;KC=B1")</f>
        <v>https://worldwide.espacenet.com/publicationDetails/biblio?II=412&amp;ND=3&amp;adjacent=true&amp;locale=en_EP&amp;FT=D&amp;date=20170308&amp;CC=KR&amp;NR=101713120B1&amp;KC=B1</v>
      </c>
    </row>
    <row r="2256" spans="3:5" x14ac:dyDescent="0.25">
      <c r="C2256" t="s">
        <v>3788</v>
      </c>
      <c r="D2256" t="s">
        <v>3789</v>
      </c>
      <c r="E2256" t="str">
        <f>HYPERLINK("https://worldwide.espacenet.com/publicationDetails/biblio?II=413&amp;ND=3&amp;adjacent=true&amp;locale=en_EP&amp;FT=D&amp;date=20170323&amp;CC=JP&amp;NR=2017056529A&amp;KC=A")</f>
        <v>https://worldwide.espacenet.com/publicationDetails/biblio?II=413&amp;ND=3&amp;adjacent=true&amp;locale=en_EP&amp;FT=D&amp;date=20170323&amp;CC=JP&amp;NR=2017056529A&amp;KC=A</v>
      </c>
    </row>
    <row r="2257" spans="3:5" x14ac:dyDescent="0.25">
      <c r="C2257" t="s">
        <v>3790</v>
      </c>
      <c r="D2257" t="s">
        <v>3791</v>
      </c>
      <c r="E2257" t="str">
        <f>HYPERLINK("https://worldwide.espacenet.com/publicationDetails/biblio?II=414&amp;ND=3&amp;adjacent=true&amp;locale=en_EP&amp;FT=D&amp;date=20170323&amp;CC=JP&amp;NR=2017056506A&amp;KC=A")</f>
        <v>https://worldwide.espacenet.com/publicationDetails/biblio?II=414&amp;ND=3&amp;adjacent=true&amp;locale=en_EP&amp;FT=D&amp;date=20170323&amp;CC=JP&amp;NR=2017056506A&amp;KC=A</v>
      </c>
    </row>
    <row r="2258" spans="3:5" x14ac:dyDescent="0.25">
      <c r="C2258" t="s">
        <v>3792</v>
      </c>
      <c r="D2258" t="s">
        <v>3793</v>
      </c>
      <c r="E2258" t="str">
        <f>HYPERLINK("https://worldwide.espacenet.com/publicationDetails/biblio?II=415&amp;ND=3&amp;adjacent=true&amp;locale=en_EP&amp;FT=D&amp;date=20170329&amp;CC=CN&amp;NR=206048197U&amp;KC=U")</f>
        <v>https://worldwide.espacenet.com/publicationDetails/biblio?II=415&amp;ND=3&amp;adjacent=true&amp;locale=en_EP&amp;FT=D&amp;date=20170329&amp;CC=CN&amp;NR=206048197U&amp;KC=U</v>
      </c>
    </row>
    <row r="2259" spans="3:5" x14ac:dyDescent="0.25">
      <c r="C2259" t="s">
        <v>3794</v>
      </c>
      <c r="D2259" t="s">
        <v>3795</v>
      </c>
      <c r="E2259" t="str">
        <f>HYPERLINK("https://worldwide.espacenet.com/publicationDetails/biblio?II=416&amp;ND=3&amp;adjacent=true&amp;locale=en_EP&amp;FT=D&amp;date=20170329&amp;CC=CN&amp;NR=206048214U&amp;KC=U")</f>
        <v>https://worldwide.espacenet.com/publicationDetails/biblio?II=416&amp;ND=3&amp;adjacent=true&amp;locale=en_EP&amp;FT=D&amp;date=20170329&amp;CC=CN&amp;NR=206048214U&amp;KC=U</v>
      </c>
    </row>
    <row r="2260" spans="3:5" x14ac:dyDescent="0.25">
      <c r="C2260" t="s">
        <v>3796</v>
      </c>
      <c r="D2260" t="s">
        <v>3797</v>
      </c>
      <c r="E2260" t="str">
        <f>HYPERLINK("https://worldwide.espacenet.com/publicationDetails/biblio?II=417&amp;ND=3&amp;adjacent=true&amp;locale=en_EP&amp;FT=D&amp;date=20170329&amp;CC=CN&amp;NR=206048180U&amp;KC=U")</f>
        <v>https://worldwide.espacenet.com/publicationDetails/biblio?II=417&amp;ND=3&amp;adjacent=true&amp;locale=en_EP&amp;FT=D&amp;date=20170329&amp;CC=CN&amp;NR=206048180U&amp;KC=U</v>
      </c>
    </row>
    <row r="2261" spans="3:5" x14ac:dyDescent="0.25">
      <c r="C2261" t="s">
        <v>3798</v>
      </c>
      <c r="D2261" t="s">
        <v>3799</v>
      </c>
      <c r="E2261" t="str">
        <f>HYPERLINK("https://worldwide.espacenet.com/publicationDetails/biblio?II=418&amp;ND=3&amp;adjacent=true&amp;locale=en_EP&amp;FT=D&amp;date=20170329&amp;CC=CN&amp;NR=106539662A&amp;KC=A")</f>
        <v>https://worldwide.espacenet.com/publicationDetails/biblio?II=418&amp;ND=3&amp;adjacent=true&amp;locale=en_EP&amp;FT=D&amp;date=20170329&amp;CC=CN&amp;NR=106539662A&amp;KC=A</v>
      </c>
    </row>
    <row r="2262" spans="3:5" x14ac:dyDescent="0.25">
      <c r="C2262" t="s">
        <v>3800</v>
      </c>
      <c r="D2262" t="s">
        <v>3801</v>
      </c>
      <c r="E2262" t="str">
        <f>HYPERLINK("https://worldwide.espacenet.com/publicationDetails/biblio?II=419&amp;ND=3&amp;adjacent=true&amp;locale=en_EP&amp;FT=D&amp;date=20170322&amp;CC=CN&amp;NR=106514081A&amp;KC=A")</f>
        <v>https://worldwide.espacenet.com/publicationDetails/biblio?II=419&amp;ND=3&amp;adjacent=true&amp;locale=en_EP&amp;FT=D&amp;date=20170322&amp;CC=CN&amp;NR=106514081A&amp;KC=A</v>
      </c>
    </row>
    <row r="2263" spans="3:5" x14ac:dyDescent="0.25">
      <c r="C2263" t="s">
        <v>3802</v>
      </c>
      <c r="D2263" t="s">
        <v>3803</v>
      </c>
      <c r="E2263" t="str">
        <f>HYPERLINK("https://worldwide.espacenet.com/publicationDetails/biblio?II=420&amp;ND=3&amp;adjacent=true&amp;locale=en_EP&amp;FT=D&amp;date=20170315&amp;CC=CN&amp;NR=106492423A&amp;KC=A")</f>
        <v>https://worldwide.espacenet.com/publicationDetails/biblio?II=420&amp;ND=3&amp;adjacent=true&amp;locale=en_EP&amp;FT=D&amp;date=20170315&amp;CC=CN&amp;NR=106492423A&amp;KC=A</v>
      </c>
    </row>
    <row r="2264" spans="3:5" x14ac:dyDescent="0.25">
      <c r="C2264" t="s">
        <v>3804</v>
      </c>
      <c r="D2264" t="s">
        <v>3805</v>
      </c>
      <c r="E2264" t="str">
        <f>HYPERLINK("https://worldwide.espacenet.com/publicationDetails/biblio?II=421&amp;ND=3&amp;adjacent=true&amp;locale=en_EP&amp;FT=D&amp;date=20170322&amp;CC=CN&amp;NR=106521345A&amp;KC=A")</f>
        <v>https://worldwide.espacenet.com/publicationDetails/biblio?II=421&amp;ND=3&amp;adjacent=true&amp;locale=en_EP&amp;FT=D&amp;date=20170322&amp;CC=CN&amp;NR=106521345A&amp;KC=A</v>
      </c>
    </row>
    <row r="2265" spans="3:5" x14ac:dyDescent="0.25">
      <c r="C2265" t="s">
        <v>3806</v>
      </c>
      <c r="D2265" t="s">
        <v>3807</v>
      </c>
      <c r="E2265" t="str">
        <f>HYPERLINK("https://worldwide.espacenet.com/publicationDetails/biblio?II=422&amp;ND=3&amp;adjacent=true&amp;locale=en_EP&amp;FT=D&amp;date=20170322&amp;CC=CN&amp;NR=206029881U&amp;KC=U")</f>
        <v>https://worldwide.espacenet.com/publicationDetails/biblio?II=422&amp;ND=3&amp;adjacent=true&amp;locale=en_EP&amp;FT=D&amp;date=20170322&amp;CC=CN&amp;NR=206029881U&amp;KC=U</v>
      </c>
    </row>
    <row r="2266" spans="3:5" x14ac:dyDescent="0.25">
      <c r="C2266" t="s">
        <v>3808</v>
      </c>
      <c r="D2266" t="s">
        <v>3809</v>
      </c>
      <c r="E2266" t="str">
        <f>HYPERLINK("https://worldwide.espacenet.com/publicationDetails/biblio?II=423&amp;ND=3&amp;adjacent=true&amp;locale=en_EP&amp;FT=D&amp;date=20170322&amp;CC=CN&amp;NR=206029957U&amp;KC=U")</f>
        <v>https://worldwide.espacenet.com/publicationDetails/biblio?II=423&amp;ND=3&amp;adjacent=true&amp;locale=en_EP&amp;FT=D&amp;date=20170322&amp;CC=CN&amp;NR=206029957U&amp;KC=U</v>
      </c>
    </row>
    <row r="2267" spans="3:5" x14ac:dyDescent="0.25">
      <c r="C2267" t="s">
        <v>3810</v>
      </c>
      <c r="D2267" t="s">
        <v>3811</v>
      </c>
      <c r="E2267" t="str">
        <f>HYPERLINK("https://worldwide.espacenet.com/publicationDetails/biblio?II=424&amp;ND=3&amp;adjacent=true&amp;locale=en_EP&amp;FT=D&amp;date=20170315&amp;CC=CN&amp;NR=106489409A&amp;KC=A")</f>
        <v>https://worldwide.espacenet.com/publicationDetails/biblio?II=424&amp;ND=3&amp;adjacent=true&amp;locale=en_EP&amp;FT=D&amp;date=20170315&amp;CC=CN&amp;NR=106489409A&amp;KC=A</v>
      </c>
    </row>
    <row r="2268" spans="3:5" x14ac:dyDescent="0.25">
      <c r="C2268" t="s">
        <v>3812</v>
      </c>
      <c r="D2268" t="s">
        <v>3813</v>
      </c>
      <c r="E2268" t="str">
        <f>HYPERLINK("https://worldwide.espacenet.com/publicationDetails/biblio?II=425&amp;ND=3&amp;adjacent=true&amp;locale=en_EP&amp;FT=D&amp;date=20170315&amp;CC=CN&amp;NR=106498229A&amp;KC=A")</f>
        <v>https://worldwide.espacenet.com/publicationDetails/biblio?II=425&amp;ND=3&amp;adjacent=true&amp;locale=en_EP&amp;FT=D&amp;date=20170315&amp;CC=CN&amp;NR=106498229A&amp;KC=A</v>
      </c>
    </row>
    <row r="2269" spans="3:5" x14ac:dyDescent="0.25">
      <c r="C2269" t="s">
        <v>3814</v>
      </c>
      <c r="D2269" t="s">
        <v>3815</v>
      </c>
      <c r="E2269" t="str">
        <f>HYPERLINK("https://worldwide.espacenet.com/publicationDetails/biblio?II=426&amp;ND=3&amp;adjacent=true&amp;locale=en_EP&amp;FT=D&amp;date=20170315&amp;CC=CN&amp;NR=106498239A&amp;KC=A")</f>
        <v>https://worldwide.espacenet.com/publicationDetails/biblio?II=426&amp;ND=3&amp;adjacent=true&amp;locale=en_EP&amp;FT=D&amp;date=20170315&amp;CC=CN&amp;NR=106498239A&amp;KC=A</v>
      </c>
    </row>
    <row r="2270" spans="3:5" x14ac:dyDescent="0.25">
      <c r="C2270" t="s">
        <v>3816</v>
      </c>
      <c r="D2270" t="s">
        <v>3817</v>
      </c>
      <c r="E2270" t="str">
        <f>HYPERLINK("https://worldwide.espacenet.com/publicationDetails/biblio?II=427&amp;ND=3&amp;adjacent=true&amp;locale=en_EP&amp;FT=D&amp;date=20170323&amp;CC=US&amp;NR=2017080558A1&amp;KC=A1")</f>
        <v>https://worldwide.espacenet.com/publicationDetails/biblio?II=427&amp;ND=3&amp;adjacent=true&amp;locale=en_EP&amp;FT=D&amp;date=20170323&amp;CC=US&amp;NR=2017080558A1&amp;KC=A1</v>
      </c>
    </row>
    <row r="2271" spans="3:5" x14ac:dyDescent="0.25">
      <c r="C2271" t="s">
        <v>3818</v>
      </c>
      <c r="D2271" t="s">
        <v>3819</v>
      </c>
      <c r="E2271" t="str">
        <f>HYPERLINK("https://worldwide.espacenet.com/publicationDetails/biblio?II=428&amp;ND=3&amp;adjacent=true&amp;locale=en_EP&amp;FT=D&amp;date=20170308&amp;CC=CN&amp;NR=106476287A&amp;KC=A")</f>
        <v>https://worldwide.espacenet.com/publicationDetails/biblio?II=428&amp;ND=3&amp;adjacent=true&amp;locale=en_EP&amp;FT=D&amp;date=20170308&amp;CC=CN&amp;NR=106476287A&amp;KC=A</v>
      </c>
    </row>
    <row r="2272" spans="3:5" x14ac:dyDescent="0.25">
      <c r="C2272" t="s">
        <v>3820</v>
      </c>
      <c r="D2272" t="s">
        <v>3821</v>
      </c>
      <c r="E2272" t="str">
        <f>HYPERLINK("https://worldwide.espacenet.com/publicationDetails/biblio?II=429&amp;ND=3&amp;adjacent=true&amp;locale=en_EP&amp;FT=D&amp;date=20170308&amp;CC=CN&amp;NR=106483134A&amp;KC=A")</f>
        <v>https://worldwide.espacenet.com/publicationDetails/biblio?II=429&amp;ND=3&amp;adjacent=true&amp;locale=en_EP&amp;FT=D&amp;date=20170308&amp;CC=CN&amp;NR=106483134A&amp;KC=A</v>
      </c>
    </row>
    <row r="2273" spans="3:5" x14ac:dyDescent="0.25">
      <c r="C2273" t="s">
        <v>3822</v>
      </c>
      <c r="D2273" t="s">
        <v>3823</v>
      </c>
      <c r="E2273" t="str">
        <f>HYPERLINK("https://worldwide.espacenet.com/publicationDetails/biblio?II=430&amp;ND=3&amp;adjacent=true&amp;locale=en_EP&amp;FT=D&amp;date=20170315&amp;CC=CN&amp;NR=206011138U&amp;KC=U")</f>
        <v>https://worldwide.espacenet.com/publicationDetails/biblio?II=430&amp;ND=3&amp;adjacent=true&amp;locale=en_EP&amp;FT=D&amp;date=20170315&amp;CC=CN&amp;NR=206011138U&amp;KC=U</v>
      </c>
    </row>
    <row r="2274" spans="3:5" x14ac:dyDescent="0.25">
      <c r="C2274" t="s">
        <v>3824</v>
      </c>
      <c r="D2274" t="s">
        <v>3825</v>
      </c>
      <c r="E2274" t="str">
        <f>HYPERLINK("https://worldwide.espacenet.com/publicationDetails/biblio?II=431&amp;ND=3&amp;adjacent=true&amp;locale=en_EP&amp;FT=D&amp;date=20170315&amp;CC=CN&amp;NR=206011070U&amp;KC=U")</f>
        <v>https://worldwide.espacenet.com/publicationDetails/biblio?II=431&amp;ND=3&amp;adjacent=true&amp;locale=en_EP&amp;FT=D&amp;date=20170315&amp;CC=CN&amp;NR=206011070U&amp;KC=U</v>
      </c>
    </row>
    <row r="2275" spans="3:5" x14ac:dyDescent="0.25">
      <c r="C2275" t="s">
        <v>3826</v>
      </c>
      <c r="D2275" t="s">
        <v>3827</v>
      </c>
      <c r="E2275" t="str">
        <f>HYPERLINK("https://worldwide.espacenet.com/publicationDetails/biblio?II=432&amp;ND=3&amp;adjacent=true&amp;locale=en_EP&amp;FT=D&amp;date=20170308&amp;CC=CN&amp;NR=205994442U&amp;KC=U")</f>
        <v>https://worldwide.espacenet.com/publicationDetails/biblio?II=432&amp;ND=3&amp;adjacent=true&amp;locale=en_EP&amp;FT=D&amp;date=20170308&amp;CC=CN&amp;NR=205994442U&amp;KC=U</v>
      </c>
    </row>
    <row r="2276" spans="3:5" x14ac:dyDescent="0.25">
      <c r="C2276" t="s">
        <v>1026</v>
      </c>
      <c r="D2276" t="s">
        <v>1027</v>
      </c>
      <c r="E2276" t="str">
        <f>HYPERLINK("https://worldwide.espacenet.com/publicationDetails/biblio?II=433&amp;ND=3&amp;adjacent=true&amp;locale=en_EP&amp;FT=D&amp;date=20170222&amp;CC=CN&amp;NR=106452206A&amp;KC=A")</f>
        <v>https://worldwide.espacenet.com/publicationDetails/biblio?II=433&amp;ND=3&amp;adjacent=true&amp;locale=en_EP&amp;FT=D&amp;date=20170222&amp;CC=CN&amp;NR=106452206A&amp;KC=A</v>
      </c>
    </row>
    <row r="2277" spans="3:5" x14ac:dyDescent="0.25">
      <c r="C2277" t="s">
        <v>3828</v>
      </c>
      <c r="D2277" t="s">
        <v>3829</v>
      </c>
      <c r="E2277" t="str">
        <f>HYPERLINK("https://worldwide.espacenet.com/publicationDetails/biblio?II=434&amp;ND=3&amp;adjacent=true&amp;locale=en_EP&amp;FT=D&amp;date=20170222&amp;CC=CN&amp;NR=106426126A&amp;KC=A")</f>
        <v>https://worldwide.espacenet.com/publicationDetails/biblio?II=434&amp;ND=3&amp;adjacent=true&amp;locale=en_EP&amp;FT=D&amp;date=20170222&amp;CC=CN&amp;NR=106426126A&amp;KC=A</v>
      </c>
    </row>
    <row r="2278" spans="3:5" x14ac:dyDescent="0.25">
      <c r="C2278" t="s">
        <v>3830</v>
      </c>
      <c r="D2278" t="s">
        <v>3831</v>
      </c>
      <c r="E2278" t="str">
        <f>HYPERLINK("https://worldwide.espacenet.com/publicationDetails/biblio?II=435&amp;ND=3&amp;adjacent=true&amp;locale=en_EP&amp;FT=D&amp;date=20170222&amp;CC=CN&amp;NR=106424035A&amp;KC=A")</f>
        <v>https://worldwide.espacenet.com/publicationDetails/biblio?II=435&amp;ND=3&amp;adjacent=true&amp;locale=en_EP&amp;FT=D&amp;date=20170222&amp;CC=CN&amp;NR=106424035A&amp;KC=A</v>
      </c>
    </row>
    <row r="2279" spans="3:5" x14ac:dyDescent="0.25">
      <c r="C2279" t="s">
        <v>3832</v>
      </c>
      <c r="D2279" t="s">
        <v>3833</v>
      </c>
      <c r="E2279" t="str">
        <f>HYPERLINK("https://worldwide.espacenet.com/publicationDetails/biblio?II=436&amp;ND=3&amp;adjacent=true&amp;locale=en_EP&amp;FT=D&amp;date=20161207&amp;CC=CN&amp;NR=205775839U&amp;KC=U")</f>
        <v>https://worldwide.espacenet.com/publicationDetails/biblio?II=436&amp;ND=3&amp;adjacent=true&amp;locale=en_EP&amp;FT=D&amp;date=20161207&amp;CC=CN&amp;NR=205775839U&amp;KC=U</v>
      </c>
    </row>
    <row r="2280" spans="3:5" x14ac:dyDescent="0.25">
      <c r="C2280" t="s">
        <v>3834</v>
      </c>
      <c r="D2280" t="s">
        <v>3835</v>
      </c>
      <c r="E2280" t="str">
        <f>HYPERLINK("https://worldwide.espacenet.com/publicationDetails/biblio?II=437&amp;ND=3&amp;adjacent=true&amp;locale=en_EP&amp;FT=D&amp;date=20161207&amp;CC=CN&amp;NR=205766235U&amp;KC=U")</f>
        <v>https://worldwide.espacenet.com/publicationDetails/biblio?II=437&amp;ND=3&amp;adjacent=true&amp;locale=en_EP&amp;FT=D&amp;date=20161207&amp;CC=CN&amp;NR=205766235U&amp;KC=U</v>
      </c>
    </row>
    <row r="2281" spans="3:5" x14ac:dyDescent="0.25">
      <c r="C2281" t="s">
        <v>3836</v>
      </c>
      <c r="D2281" t="s">
        <v>3837</v>
      </c>
      <c r="E2281" t="str">
        <f>HYPERLINK("https://worldwide.espacenet.com/publicationDetails/biblio?II=438&amp;ND=3&amp;adjacent=true&amp;locale=en_EP&amp;FT=D&amp;date=20161221&amp;CC=CN&amp;NR=106238649A&amp;KC=A")</f>
        <v>https://worldwide.espacenet.com/publicationDetails/biblio?II=438&amp;ND=3&amp;adjacent=true&amp;locale=en_EP&amp;FT=D&amp;date=20161221&amp;CC=CN&amp;NR=106238649A&amp;KC=A</v>
      </c>
    </row>
    <row r="2282" spans="3:5" x14ac:dyDescent="0.25">
      <c r="C2282" t="s">
        <v>3838</v>
      </c>
      <c r="D2282" t="s">
        <v>3839</v>
      </c>
      <c r="E2282" t="str">
        <f>HYPERLINK("https://worldwide.espacenet.com/publicationDetails/biblio?II=439&amp;ND=3&amp;adjacent=true&amp;locale=en_EP&amp;FT=D&amp;date=20161221&amp;CC=CN&amp;NR=106239500A&amp;KC=A")</f>
        <v>https://worldwide.espacenet.com/publicationDetails/biblio?II=439&amp;ND=3&amp;adjacent=true&amp;locale=en_EP&amp;FT=D&amp;date=20161221&amp;CC=CN&amp;NR=106239500A&amp;KC=A</v>
      </c>
    </row>
    <row r="2283" spans="3:5" x14ac:dyDescent="0.25">
      <c r="C2283" t="s">
        <v>3840</v>
      </c>
      <c r="D2283" t="s">
        <v>3841</v>
      </c>
      <c r="E2283" t="str">
        <f>HYPERLINK("https://worldwide.espacenet.com/publicationDetails/biblio?II=440&amp;ND=3&amp;adjacent=true&amp;locale=en_EP&amp;FT=D&amp;date=20161221&amp;CC=CN&amp;NR=106240947A&amp;KC=A")</f>
        <v>https://worldwide.espacenet.com/publicationDetails/biblio?II=440&amp;ND=3&amp;adjacent=true&amp;locale=en_EP&amp;FT=D&amp;date=20161221&amp;CC=CN&amp;NR=106240947A&amp;KC=A</v>
      </c>
    </row>
    <row r="2284" spans="3:5" x14ac:dyDescent="0.25">
      <c r="C2284" t="s">
        <v>3842</v>
      </c>
      <c r="D2284" t="s">
        <v>3843</v>
      </c>
      <c r="E2284" t="str">
        <f>HYPERLINK("https://worldwide.espacenet.com/publicationDetails/biblio?II=441&amp;ND=3&amp;adjacent=true&amp;locale=en_EP&amp;FT=D&amp;date=20161207&amp;CC=CN&amp;NR=106181960A&amp;KC=A")</f>
        <v>https://worldwide.espacenet.com/publicationDetails/biblio?II=441&amp;ND=3&amp;adjacent=true&amp;locale=en_EP&amp;FT=D&amp;date=20161207&amp;CC=CN&amp;NR=106181960A&amp;KC=A</v>
      </c>
    </row>
    <row r="2285" spans="3:5" x14ac:dyDescent="0.25">
      <c r="C2285" t="s">
        <v>3844</v>
      </c>
      <c r="D2285" t="s">
        <v>3845</v>
      </c>
      <c r="E2285" t="str">
        <f>HYPERLINK("https://worldwide.espacenet.com/publicationDetails/biblio?II=442&amp;ND=3&amp;adjacent=true&amp;locale=en_EP&amp;FT=D&amp;date=20170223&amp;CC=WO&amp;NR=2017028509A1&amp;KC=A1")</f>
        <v>https://worldwide.espacenet.com/publicationDetails/biblio?II=442&amp;ND=3&amp;adjacent=true&amp;locale=en_EP&amp;FT=D&amp;date=20170223&amp;CC=WO&amp;NR=2017028509A1&amp;KC=A1</v>
      </c>
    </row>
    <row r="2286" spans="3:5" x14ac:dyDescent="0.25">
      <c r="C2286" t="s">
        <v>3846</v>
      </c>
      <c r="D2286" t="s">
        <v>3847</v>
      </c>
      <c r="E2286" t="str">
        <f>HYPERLINK("https://worldwide.espacenet.com/publicationDetails/biblio?II=443&amp;ND=3&amp;adjacent=true&amp;locale=en_EP&amp;FT=D&amp;date=20170222&amp;CC=CN&amp;NR=205972848U&amp;KC=U")</f>
        <v>https://worldwide.espacenet.com/publicationDetails/biblio?II=443&amp;ND=3&amp;adjacent=true&amp;locale=en_EP&amp;FT=D&amp;date=20170222&amp;CC=CN&amp;NR=205972848U&amp;KC=U</v>
      </c>
    </row>
    <row r="2287" spans="3:5" x14ac:dyDescent="0.25">
      <c r="C2287" t="s">
        <v>3848</v>
      </c>
      <c r="D2287" t="s">
        <v>3849</v>
      </c>
      <c r="E2287" t="str">
        <f>HYPERLINK("https://worldwide.espacenet.com/publicationDetails/biblio?II=444&amp;ND=3&amp;adjacent=true&amp;locale=en_EP&amp;FT=D&amp;date=20170222&amp;CC=CN&amp;NR=205969120U&amp;KC=U")</f>
        <v>https://worldwide.espacenet.com/publicationDetails/biblio?II=444&amp;ND=3&amp;adjacent=true&amp;locale=en_EP&amp;FT=D&amp;date=20170222&amp;CC=CN&amp;NR=205969120U&amp;KC=U</v>
      </c>
    </row>
    <row r="2288" spans="3:5" x14ac:dyDescent="0.25">
      <c r="C2288" t="s">
        <v>3850</v>
      </c>
      <c r="D2288" t="s">
        <v>3851</v>
      </c>
      <c r="E2288" t="str">
        <f>HYPERLINK("https://worldwide.espacenet.com/publicationDetails/biblio?II=445&amp;ND=3&amp;adjacent=true&amp;locale=en_EP&amp;FT=D&amp;date=20170215&amp;CC=CN&amp;NR=106399813A&amp;KC=A")</f>
        <v>https://worldwide.espacenet.com/publicationDetails/biblio?II=445&amp;ND=3&amp;adjacent=true&amp;locale=en_EP&amp;FT=D&amp;date=20170215&amp;CC=CN&amp;NR=106399813A&amp;KC=A</v>
      </c>
    </row>
    <row r="2289" spans="3:5" x14ac:dyDescent="0.25">
      <c r="C2289" t="s">
        <v>3852</v>
      </c>
      <c r="D2289" t="s">
        <v>3853</v>
      </c>
      <c r="E2289" t="str">
        <f>HYPERLINK("https://worldwide.espacenet.com/publicationDetails/biblio?II=446&amp;ND=3&amp;adjacent=true&amp;locale=en_EP&amp;FT=D&amp;date=20170125&amp;CC=KR&amp;NR=20170008904A&amp;KC=A")</f>
        <v>https://worldwide.espacenet.com/publicationDetails/biblio?II=446&amp;ND=3&amp;adjacent=true&amp;locale=en_EP&amp;FT=D&amp;date=20170125&amp;CC=KR&amp;NR=20170008904A&amp;KC=A</v>
      </c>
    </row>
    <row r="2290" spans="3:5" x14ac:dyDescent="0.25">
      <c r="C2290" t="s">
        <v>3533</v>
      </c>
      <c r="D2290" t="s">
        <v>3854</v>
      </c>
      <c r="E2290" t="str">
        <f>HYPERLINK("https://worldwide.espacenet.com/publicationDetails/biblio?II=447&amp;ND=3&amp;adjacent=true&amp;locale=en_EP&amp;FT=D&amp;date=20170215&amp;CC=CN&amp;NR=205950761U&amp;KC=U")</f>
        <v>https://worldwide.espacenet.com/publicationDetails/biblio?II=447&amp;ND=3&amp;adjacent=true&amp;locale=en_EP&amp;FT=D&amp;date=20170215&amp;CC=CN&amp;NR=205950761U&amp;KC=U</v>
      </c>
    </row>
    <row r="2291" spans="3:5" x14ac:dyDescent="0.25">
      <c r="C2291" t="s">
        <v>3855</v>
      </c>
      <c r="D2291" t="s">
        <v>3856</v>
      </c>
      <c r="E2291" t="str">
        <f>HYPERLINK("https://worldwide.espacenet.com/publicationDetails/biblio?II=448&amp;ND=3&amp;adjacent=true&amp;locale=en_EP&amp;FT=D&amp;date=20170215&amp;CC=CN&amp;NR=205952117U&amp;KC=U")</f>
        <v>https://worldwide.espacenet.com/publicationDetails/biblio?II=448&amp;ND=3&amp;adjacent=true&amp;locale=en_EP&amp;FT=D&amp;date=20170215&amp;CC=CN&amp;NR=205952117U&amp;KC=U</v>
      </c>
    </row>
    <row r="2292" spans="3:5" x14ac:dyDescent="0.25">
      <c r="C2292" t="s">
        <v>1028</v>
      </c>
      <c r="D2292" t="s">
        <v>1029</v>
      </c>
      <c r="E2292" t="str">
        <f>HYPERLINK("https://worldwide.espacenet.com/publicationDetails/biblio?II=449&amp;ND=3&amp;adjacent=true&amp;locale=en_EP&amp;FT=D&amp;date=20170208&amp;CC=CN&amp;NR=205928674U&amp;KC=U")</f>
        <v>https://worldwide.espacenet.com/publicationDetails/biblio?II=449&amp;ND=3&amp;adjacent=true&amp;locale=en_EP&amp;FT=D&amp;date=20170208&amp;CC=CN&amp;NR=205928674U&amp;KC=U</v>
      </c>
    </row>
    <row r="2293" spans="3:5" x14ac:dyDescent="0.25">
      <c r="C2293" t="s">
        <v>3857</v>
      </c>
      <c r="D2293" t="s">
        <v>3858</v>
      </c>
      <c r="E2293" t="str">
        <f>HYPERLINK("https://worldwide.espacenet.com/publicationDetails/biblio?II=450&amp;ND=3&amp;adjacent=true&amp;locale=en_EP&amp;FT=D&amp;date=20170208&amp;CC=CN&amp;NR=205928649U&amp;KC=U")</f>
        <v>https://worldwide.espacenet.com/publicationDetails/biblio?II=450&amp;ND=3&amp;adjacent=true&amp;locale=en_EP&amp;FT=D&amp;date=20170208&amp;CC=CN&amp;NR=205928649U&amp;KC=U</v>
      </c>
    </row>
    <row r="2294" spans="3:5" x14ac:dyDescent="0.25">
      <c r="C2294" t="s">
        <v>3859</v>
      </c>
      <c r="D2294" t="s">
        <v>3860</v>
      </c>
      <c r="E2294" t="str">
        <f>HYPERLINK("https://worldwide.espacenet.com/publicationDetails/biblio?II=451&amp;ND=3&amp;adjacent=true&amp;locale=en_EP&amp;FT=D&amp;date=20170201&amp;CC=CN&amp;NR=106363658A&amp;KC=A")</f>
        <v>https://worldwide.espacenet.com/publicationDetails/biblio?II=451&amp;ND=3&amp;adjacent=true&amp;locale=en_EP&amp;FT=D&amp;date=20170201&amp;CC=CN&amp;NR=106363658A&amp;KC=A</v>
      </c>
    </row>
    <row r="2295" spans="3:5" x14ac:dyDescent="0.25">
      <c r="C2295" t="s">
        <v>3861</v>
      </c>
      <c r="D2295" t="s">
        <v>3862</v>
      </c>
      <c r="E2295" t="str">
        <f>HYPERLINK("https://worldwide.espacenet.com/publicationDetails/biblio?II=452&amp;ND=3&amp;adjacent=true&amp;locale=en_EP&amp;FT=D&amp;date=20170201&amp;CC=CN&amp;NR=106363666A&amp;KC=A")</f>
        <v>https://worldwide.espacenet.com/publicationDetails/biblio?II=452&amp;ND=3&amp;adjacent=true&amp;locale=en_EP&amp;FT=D&amp;date=20170201&amp;CC=CN&amp;NR=106363666A&amp;KC=A</v>
      </c>
    </row>
    <row r="2296" spans="3:5" x14ac:dyDescent="0.25">
      <c r="C2296" t="s">
        <v>3863</v>
      </c>
      <c r="D2296" t="s">
        <v>3864</v>
      </c>
      <c r="E2296" t="str">
        <f>HYPERLINK("https://worldwide.espacenet.com/publicationDetails/biblio?II=453&amp;ND=3&amp;adjacent=true&amp;locale=en_EP&amp;FT=D&amp;date=20170201&amp;CC=CN&amp;NR=106371434A&amp;KC=A")</f>
        <v>https://worldwide.espacenet.com/publicationDetails/biblio?II=453&amp;ND=3&amp;adjacent=true&amp;locale=en_EP&amp;FT=D&amp;date=20170201&amp;CC=CN&amp;NR=106371434A&amp;KC=A</v>
      </c>
    </row>
    <row r="2297" spans="3:5" x14ac:dyDescent="0.25">
      <c r="C2297" t="s">
        <v>3865</v>
      </c>
      <c r="D2297" t="s">
        <v>3866</v>
      </c>
      <c r="E2297" t="str">
        <f>HYPERLINK("https://worldwide.espacenet.com/publicationDetails/biblio?II=454&amp;ND=3&amp;adjacent=true&amp;locale=en_EP&amp;FT=D&amp;date=20170125&amp;CC=CN&amp;NR=106347516A&amp;KC=A")</f>
        <v>https://worldwide.espacenet.com/publicationDetails/biblio?II=454&amp;ND=3&amp;adjacent=true&amp;locale=en_EP&amp;FT=D&amp;date=20170125&amp;CC=CN&amp;NR=106347516A&amp;KC=A</v>
      </c>
    </row>
    <row r="2298" spans="3:5" x14ac:dyDescent="0.25">
      <c r="C2298" t="s">
        <v>3867</v>
      </c>
      <c r="D2298" t="s">
        <v>3868</v>
      </c>
      <c r="E2298" t="str">
        <f>HYPERLINK("https://worldwide.espacenet.com/publicationDetails/biblio?II=455&amp;ND=3&amp;adjacent=true&amp;locale=en_EP&amp;FT=D&amp;date=20170125&amp;CC=CN&amp;NR=106346512A&amp;KC=A")</f>
        <v>https://worldwide.espacenet.com/publicationDetails/biblio?II=455&amp;ND=3&amp;adjacent=true&amp;locale=en_EP&amp;FT=D&amp;date=20170125&amp;CC=CN&amp;NR=106346512A&amp;KC=A</v>
      </c>
    </row>
    <row r="2299" spans="3:5" x14ac:dyDescent="0.25">
      <c r="C2299" t="s">
        <v>3869</v>
      </c>
      <c r="D2299" t="s">
        <v>3870</v>
      </c>
      <c r="E2299" t="str">
        <f>HYPERLINK("https://worldwide.espacenet.com/publicationDetails/biblio?II=456&amp;ND=3&amp;adjacent=true&amp;locale=en_EP&amp;FT=D&amp;date=20170111&amp;CC=CN&amp;NR=106313103A&amp;KC=A")</f>
        <v>https://worldwide.espacenet.com/publicationDetails/biblio?II=456&amp;ND=3&amp;adjacent=true&amp;locale=en_EP&amp;FT=D&amp;date=20170111&amp;CC=CN&amp;NR=106313103A&amp;KC=A</v>
      </c>
    </row>
    <row r="2300" spans="3:5" x14ac:dyDescent="0.25">
      <c r="C2300" t="s">
        <v>3871</v>
      </c>
      <c r="D2300" t="s">
        <v>3872</v>
      </c>
      <c r="E2300" t="str">
        <f>HYPERLINK("https://worldwide.espacenet.com/publicationDetails/biblio?II=457&amp;ND=3&amp;adjacent=true&amp;locale=en_EP&amp;FT=D&amp;date=20170111&amp;CC=CN&amp;NR=106319346A&amp;KC=A")</f>
        <v>https://worldwide.espacenet.com/publicationDetails/biblio?II=457&amp;ND=3&amp;adjacent=true&amp;locale=en_EP&amp;FT=D&amp;date=20170111&amp;CC=CN&amp;NR=106319346A&amp;KC=A</v>
      </c>
    </row>
    <row r="2301" spans="3:5" x14ac:dyDescent="0.25">
      <c r="C2301" t="s">
        <v>3873</v>
      </c>
      <c r="D2301" t="s">
        <v>3874</v>
      </c>
      <c r="E2301" t="str">
        <f>HYPERLINK("https://worldwide.espacenet.com/publicationDetails/biblio?II=458&amp;ND=3&amp;adjacent=true&amp;locale=en_EP&amp;FT=D&amp;date=20170111&amp;CC=CN&amp;NR=106319357A&amp;KC=A")</f>
        <v>https://worldwide.espacenet.com/publicationDetails/biblio?II=458&amp;ND=3&amp;adjacent=true&amp;locale=en_EP&amp;FT=D&amp;date=20170111&amp;CC=CN&amp;NR=106319357A&amp;KC=A</v>
      </c>
    </row>
    <row r="2302" spans="3:5" x14ac:dyDescent="0.25">
      <c r="C2302" t="s">
        <v>3875</v>
      </c>
      <c r="D2302" t="s">
        <v>3876</v>
      </c>
      <c r="E2302" t="str">
        <f>HYPERLINK("https://worldwide.espacenet.com/publicationDetails/biblio?II=459&amp;ND=3&amp;adjacent=true&amp;locale=en_EP&amp;FT=D&amp;date=20170118&amp;CC=CN&amp;NR=205889193U&amp;KC=U")</f>
        <v>https://worldwide.espacenet.com/publicationDetails/biblio?II=459&amp;ND=3&amp;adjacent=true&amp;locale=en_EP&amp;FT=D&amp;date=20170118&amp;CC=CN&amp;NR=205889193U&amp;KC=U</v>
      </c>
    </row>
    <row r="2303" spans="3:5" x14ac:dyDescent="0.25">
      <c r="C2303" t="s">
        <v>3877</v>
      </c>
      <c r="D2303" t="s">
        <v>3878</v>
      </c>
      <c r="E2303" t="str">
        <f>HYPERLINK("https://worldwide.espacenet.com/publicationDetails/biblio?II=460&amp;ND=3&amp;adjacent=true&amp;locale=en_EP&amp;FT=D&amp;date=20170118&amp;CC=CN&amp;NR=205901299U&amp;KC=U")</f>
        <v>https://worldwide.espacenet.com/publicationDetails/biblio?II=460&amp;ND=3&amp;adjacent=true&amp;locale=en_EP&amp;FT=D&amp;date=20170118&amp;CC=CN&amp;NR=205901299U&amp;KC=U</v>
      </c>
    </row>
    <row r="2304" spans="3:5" x14ac:dyDescent="0.25">
      <c r="C2304" t="s">
        <v>3879</v>
      </c>
      <c r="D2304" t="s">
        <v>3880</v>
      </c>
      <c r="E2304" t="str">
        <f>HYPERLINK("https://worldwide.espacenet.com/publicationDetails/biblio?II=461&amp;ND=3&amp;adjacent=true&amp;locale=en_EP&amp;FT=D&amp;date=20170104&amp;CC=CN&amp;NR=106282760A&amp;KC=A")</f>
        <v>https://worldwide.espacenet.com/publicationDetails/biblio?II=461&amp;ND=3&amp;adjacent=true&amp;locale=en_EP&amp;FT=D&amp;date=20170104&amp;CC=CN&amp;NR=106282760A&amp;KC=A</v>
      </c>
    </row>
    <row r="2305" spans="3:5" x14ac:dyDescent="0.25">
      <c r="C2305" t="s">
        <v>3881</v>
      </c>
      <c r="D2305" t="s">
        <v>3882</v>
      </c>
      <c r="E2305" t="str">
        <f>HYPERLINK("https://worldwide.espacenet.com/publicationDetails/biblio?II=462&amp;ND=3&amp;adjacent=true&amp;locale=en_EP&amp;FT=D&amp;date=20170104&amp;CC=CN&amp;NR=106272558A&amp;KC=A")</f>
        <v>https://worldwide.espacenet.com/publicationDetails/biblio?II=462&amp;ND=3&amp;adjacent=true&amp;locale=en_EP&amp;FT=D&amp;date=20170104&amp;CC=CN&amp;NR=106272558A&amp;KC=A</v>
      </c>
    </row>
    <row r="2306" spans="3:5" x14ac:dyDescent="0.25">
      <c r="C2306" t="s">
        <v>3883</v>
      </c>
      <c r="D2306" t="s">
        <v>3884</v>
      </c>
      <c r="E2306" t="str">
        <f>HYPERLINK("https://worldwide.espacenet.com/publicationDetails/biblio?II=463&amp;ND=3&amp;adjacent=true&amp;locale=en_EP&amp;FT=D&amp;date=20170104&amp;CC=CN&amp;NR=106271323A&amp;KC=A")</f>
        <v>https://worldwide.espacenet.com/publicationDetails/biblio?II=463&amp;ND=3&amp;adjacent=true&amp;locale=en_EP&amp;FT=D&amp;date=20170104&amp;CC=CN&amp;NR=106271323A&amp;KC=A</v>
      </c>
    </row>
    <row r="2307" spans="3:5" x14ac:dyDescent="0.25">
      <c r="C2307" t="s">
        <v>3885</v>
      </c>
      <c r="D2307" t="s">
        <v>3886</v>
      </c>
      <c r="E2307" t="str">
        <f>HYPERLINK("https://worldwide.espacenet.com/publicationDetails/biblio?II=464&amp;ND=3&amp;adjacent=true&amp;locale=en_EP&amp;FT=D&amp;date=20170104&amp;CC=CN&amp;NR=106271277A&amp;KC=A")</f>
        <v>https://worldwide.espacenet.com/publicationDetails/biblio?II=464&amp;ND=3&amp;adjacent=true&amp;locale=en_EP&amp;FT=D&amp;date=20170104&amp;CC=CN&amp;NR=106271277A&amp;KC=A</v>
      </c>
    </row>
    <row r="2308" spans="3:5" x14ac:dyDescent="0.25">
      <c r="C2308" t="s">
        <v>3887</v>
      </c>
      <c r="D2308" t="s">
        <v>3888</v>
      </c>
      <c r="E2308" t="str">
        <f>HYPERLINK("https://worldwide.espacenet.com/publicationDetails/biblio?II=465&amp;ND=3&amp;adjacent=true&amp;locale=en_EP&amp;FT=D&amp;date=20170111&amp;CC=CN&amp;NR=205869987U&amp;KC=U")</f>
        <v>https://worldwide.espacenet.com/publicationDetails/biblio?II=465&amp;ND=3&amp;adjacent=true&amp;locale=en_EP&amp;FT=D&amp;date=20170111&amp;CC=CN&amp;NR=205869987U&amp;KC=U</v>
      </c>
    </row>
    <row r="2309" spans="3:5" x14ac:dyDescent="0.25">
      <c r="C2309" t="s">
        <v>3889</v>
      </c>
      <c r="D2309" t="s">
        <v>3890</v>
      </c>
      <c r="E2309" t="str">
        <f>HYPERLINK("https://worldwide.espacenet.com/publicationDetails/biblio?II=466&amp;ND=3&amp;adjacent=true&amp;locale=en_EP&amp;FT=D&amp;date=20170111&amp;CC=CN&amp;NR=205877587U&amp;KC=U")</f>
        <v>https://worldwide.espacenet.com/publicationDetails/biblio?II=466&amp;ND=3&amp;adjacent=true&amp;locale=en_EP&amp;FT=D&amp;date=20170111&amp;CC=CN&amp;NR=205877587U&amp;KC=U</v>
      </c>
    </row>
    <row r="2310" spans="3:5" x14ac:dyDescent="0.25">
      <c r="C2310" t="s">
        <v>3891</v>
      </c>
      <c r="D2310" t="s">
        <v>3892</v>
      </c>
      <c r="E2310" t="str">
        <f>HYPERLINK("https://worldwide.espacenet.com/publicationDetails/biblio?II=467&amp;ND=3&amp;adjacent=true&amp;locale=en_EP&amp;FT=D&amp;date=20170111&amp;CC=CN&amp;NR=205877082U&amp;KC=U")</f>
        <v>https://worldwide.espacenet.com/publicationDetails/biblio?II=467&amp;ND=3&amp;adjacent=true&amp;locale=en_EP&amp;FT=D&amp;date=20170111&amp;CC=CN&amp;NR=205877082U&amp;KC=U</v>
      </c>
    </row>
    <row r="2311" spans="3:5" x14ac:dyDescent="0.25">
      <c r="C2311" t="s">
        <v>3893</v>
      </c>
      <c r="D2311" t="s">
        <v>3894</v>
      </c>
      <c r="E2311" t="str">
        <f>HYPERLINK("https://worldwide.espacenet.com/publicationDetails/biblio?II=468&amp;ND=3&amp;adjacent=true&amp;locale=en_EP&amp;FT=D&amp;date=20170104&amp;CC=CN&amp;NR=106297943A&amp;KC=A")</f>
        <v>https://worldwide.espacenet.com/publicationDetails/biblio?II=468&amp;ND=3&amp;adjacent=true&amp;locale=en_EP&amp;FT=D&amp;date=20170104&amp;CC=CN&amp;NR=106297943A&amp;KC=A</v>
      </c>
    </row>
    <row r="2312" spans="3:5" x14ac:dyDescent="0.25">
      <c r="C2312" t="s">
        <v>3895</v>
      </c>
      <c r="D2312" t="s">
        <v>3896</v>
      </c>
      <c r="E2312" t="str">
        <f>HYPERLINK("https://worldwide.espacenet.com/publicationDetails/biblio?II=469&amp;ND=3&amp;adjacent=true&amp;locale=en_EP&amp;FT=D&amp;date=20170104&amp;CC=CN&amp;NR=106272335A&amp;KC=A")</f>
        <v>https://worldwide.espacenet.com/publicationDetails/biblio?II=469&amp;ND=3&amp;adjacent=true&amp;locale=en_EP&amp;FT=D&amp;date=20170104&amp;CC=CN&amp;NR=106272335A&amp;KC=A</v>
      </c>
    </row>
    <row r="2313" spans="3:5" x14ac:dyDescent="0.25">
      <c r="C2313" t="s">
        <v>3897</v>
      </c>
      <c r="D2313" t="s">
        <v>3898</v>
      </c>
      <c r="E2313" t="str">
        <f>HYPERLINK("https://worldwide.espacenet.com/publicationDetails/biblio?II=470&amp;ND=3&amp;adjacent=true&amp;locale=en_EP&amp;FT=D&amp;date=20161228&amp;CC=CN&amp;NR=205839659U&amp;KC=U")</f>
        <v>https://worldwide.espacenet.com/publicationDetails/biblio?II=470&amp;ND=3&amp;adjacent=true&amp;locale=en_EP&amp;FT=D&amp;date=20161228&amp;CC=CN&amp;NR=205839659U&amp;KC=U</v>
      </c>
    </row>
    <row r="2314" spans="3:5" x14ac:dyDescent="0.25">
      <c r="C2314" t="s">
        <v>3899</v>
      </c>
      <c r="D2314" t="s">
        <v>3900</v>
      </c>
      <c r="E2314" t="str">
        <f>HYPERLINK("https://worldwide.espacenet.com/publicationDetails/biblio?II=471&amp;ND=3&amp;adjacent=true&amp;locale=en_EP&amp;FT=D&amp;date=20161221&amp;CC=CN&amp;NR=106249741A&amp;KC=A")</f>
        <v>https://worldwide.espacenet.com/publicationDetails/biblio?II=471&amp;ND=3&amp;adjacent=true&amp;locale=en_EP&amp;FT=D&amp;date=20161221&amp;CC=CN&amp;NR=106249741A&amp;KC=A</v>
      </c>
    </row>
    <row r="2315" spans="3:5" x14ac:dyDescent="0.25">
      <c r="C2315" t="s">
        <v>3901</v>
      </c>
      <c r="D2315" t="s">
        <v>3902</v>
      </c>
      <c r="E2315" t="str">
        <f>HYPERLINK("https://worldwide.espacenet.com/publicationDetails/biblio?II=472&amp;ND=3&amp;adjacent=true&amp;locale=en_EP&amp;FT=D&amp;date=20161122&amp;CC=KR&amp;NR=20160133123A&amp;KC=A")</f>
        <v>https://worldwide.espacenet.com/publicationDetails/biblio?II=472&amp;ND=3&amp;adjacent=true&amp;locale=en_EP&amp;FT=D&amp;date=20161122&amp;CC=KR&amp;NR=20160133123A&amp;KC=A</v>
      </c>
    </row>
    <row r="2316" spans="3:5" x14ac:dyDescent="0.25">
      <c r="C2316" t="s">
        <v>3903</v>
      </c>
      <c r="D2316" t="s">
        <v>3904</v>
      </c>
      <c r="E2316" t="str">
        <f>HYPERLINK("https://worldwide.espacenet.com/publicationDetails/biblio?II=473&amp;ND=3&amp;adjacent=true&amp;locale=en_EP&amp;FT=D&amp;date=20161214&amp;CC=CN&amp;NR=205811937U&amp;KC=U")</f>
        <v>https://worldwide.espacenet.com/publicationDetails/biblio?II=473&amp;ND=3&amp;adjacent=true&amp;locale=en_EP&amp;FT=D&amp;date=20161214&amp;CC=CN&amp;NR=205811937U&amp;KC=U</v>
      </c>
    </row>
    <row r="2317" spans="3:5" x14ac:dyDescent="0.25">
      <c r="C2317" t="s">
        <v>3905</v>
      </c>
      <c r="D2317" t="s">
        <v>3906</v>
      </c>
      <c r="E2317" t="str">
        <f>HYPERLINK("https://worldwide.espacenet.com/publicationDetails/biblio?II=474&amp;ND=3&amp;adjacent=true&amp;locale=en_EP&amp;FT=D&amp;date=20161214&amp;CC=CN&amp;NR=205801508U&amp;KC=U")</f>
        <v>https://worldwide.espacenet.com/publicationDetails/biblio?II=474&amp;ND=3&amp;adjacent=true&amp;locale=en_EP&amp;FT=D&amp;date=20161214&amp;CC=CN&amp;NR=205801508U&amp;KC=U</v>
      </c>
    </row>
    <row r="2318" spans="3:5" x14ac:dyDescent="0.25">
      <c r="C2318" t="s">
        <v>3907</v>
      </c>
      <c r="D2318" t="s">
        <v>3908</v>
      </c>
      <c r="E2318" t="str">
        <f>HYPERLINK("https://worldwide.espacenet.com/publicationDetails/biblio?II=475&amp;ND=3&amp;adjacent=true&amp;locale=en_EP&amp;FT=D&amp;date=20161214&amp;CC=CN&amp;NR=205799528U&amp;KC=U")</f>
        <v>https://worldwide.espacenet.com/publicationDetails/biblio?II=475&amp;ND=3&amp;adjacent=true&amp;locale=en_EP&amp;FT=D&amp;date=20161214&amp;CC=CN&amp;NR=205799528U&amp;KC=U</v>
      </c>
    </row>
    <row r="2319" spans="3:5" x14ac:dyDescent="0.25">
      <c r="C2319" t="s">
        <v>3909</v>
      </c>
      <c r="D2319" t="s">
        <v>3910</v>
      </c>
      <c r="E2319" t="str">
        <f>HYPERLINK("https://worldwide.espacenet.com/publicationDetails/biblio?II=476&amp;ND=3&amp;adjacent=true&amp;locale=en_EP&amp;FT=D&amp;date=20161207&amp;CC=CN&amp;NR=106176130A&amp;KC=A")</f>
        <v>https://worldwide.espacenet.com/publicationDetails/biblio?II=476&amp;ND=3&amp;adjacent=true&amp;locale=en_EP&amp;FT=D&amp;date=20161207&amp;CC=CN&amp;NR=106176130A&amp;KC=A</v>
      </c>
    </row>
    <row r="2320" spans="3:5" x14ac:dyDescent="0.25">
      <c r="C2320" t="s">
        <v>3911</v>
      </c>
      <c r="D2320" t="s">
        <v>3912</v>
      </c>
      <c r="E2320" t="str">
        <f>HYPERLINK("https://worldwide.espacenet.com/publicationDetails/biblio?II=477&amp;ND=3&amp;adjacent=true&amp;locale=en_EP&amp;FT=D&amp;date=20161207&amp;CC=CN&amp;NR=106176127A&amp;KC=A")</f>
        <v>https://worldwide.espacenet.com/publicationDetails/biblio?II=477&amp;ND=3&amp;adjacent=true&amp;locale=en_EP&amp;FT=D&amp;date=20161207&amp;CC=CN&amp;NR=106176127A&amp;KC=A</v>
      </c>
    </row>
    <row r="2321" spans="1:5" x14ac:dyDescent="0.25">
      <c r="C2321" t="s">
        <v>3913</v>
      </c>
      <c r="D2321" t="s">
        <v>3914</v>
      </c>
      <c r="E2321" t="str">
        <f>HYPERLINK("https://worldwide.espacenet.com/publicationDetails/biblio?II=478&amp;ND=3&amp;adjacent=true&amp;locale=en_EP&amp;FT=D&amp;date=20161026&amp;CC=CN&amp;NR=106042003A&amp;KC=A")</f>
        <v>https://worldwide.espacenet.com/publicationDetails/biblio?II=478&amp;ND=3&amp;adjacent=true&amp;locale=en_EP&amp;FT=D&amp;date=20161026&amp;CC=CN&amp;NR=106042003A&amp;KC=A</v>
      </c>
    </row>
    <row r="2322" spans="1:5" x14ac:dyDescent="0.25">
      <c r="C2322" t="s">
        <v>3915</v>
      </c>
      <c r="D2322" t="s">
        <v>3916</v>
      </c>
      <c r="E2322" t="str">
        <f>HYPERLINK("https://worldwide.espacenet.com/publicationDetails/biblio?II=479&amp;ND=3&amp;adjacent=true&amp;locale=en_EP&amp;FT=D&amp;date=20161026&amp;CC=CN&amp;NR=106040812A&amp;KC=A")</f>
        <v>https://worldwide.espacenet.com/publicationDetails/biblio?II=479&amp;ND=3&amp;adjacent=true&amp;locale=en_EP&amp;FT=D&amp;date=20161026&amp;CC=CN&amp;NR=106040812A&amp;KC=A</v>
      </c>
    </row>
    <row r="2323" spans="1:5" x14ac:dyDescent="0.25">
      <c r="C2323" t="s">
        <v>3917</v>
      </c>
      <c r="D2323" t="s">
        <v>3918</v>
      </c>
      <c r="E2323" t="str">
        <f>HYPERLINK("https://worldwide.espacenet.com/publicationDetails/biblio?II=480&amp;ND=3&amp;adjacent=true&amp;locale=en_EP&amp;FT=D&amp;date=20161207&amp;CC=CN&amp;NR=106184516A&amp;KC=A")</f>
        <v>https://worldwide.espacenet.com/publicationDetails/biblio?II=480&amp;ND=3&amp;adjacent=true&amp;locale=en_EP&amp;FT=D&amp;date=20161207&amp;CC=CN&amp;NR=106184516A&amp;KC=A</v>
      </c>
    </row>
    <row r="2324" spans="1:5" x14ac:dyDescent="0.25">
      <c r="A2324" t="s">
        <v>3919</v>
      </c>
      <c r="B2324">
        <v>911</v>
      </c>
    </row>
    <row r="2325" spans="1:5" x14ac:dyDescent="0.25">
      <c r="C2325" t="s">
        <v>3003</v>
      </c>
      <c r="D2325" t="s">
        <v>3004</v>
      </c>
      <c r="E2325" t="str">
        <f>HYPERLINK("https://worldwide.espacenet.com/publicationDetails/biblio?II=0&amp;ND=3&amp;adjacent=true&amp;locale=en_EP&amp;FT=D&amp;date=20180913&amp;CC=US&amp;NR=2018257224A1&amp;KC=A1")</f>
        <v>https://worldwide.espacenet.com/publicationDetails/biblio?II=0&amp;ND=3&amp;adjacent=true&amp;locale=en_EP&amp;FT=D&amp;date=20180913&amp;CC=US&amp;NR=2018257224A1&amp;KC=A1</v>
      </c>
    </row>
    <row r="2326" spans="1:5" x14ac:dyDescent="0.25">
      <c r="C2326" t="s">
        <v>3920</v>
      </c>
      <c r="D2326" t="s">
        <v>3921</v>
      </c>
      <c r="E2326" t="str">
        <f>HYPERLINK("https://worldwide.espacenet.com/publicationDetails/biblio?II=1&amp;ND=3&amp;adjacent=true&amp;locale=en_EP&amp;FT=D&amp;date=20180621&amp;CC=KR&amp;NR=20180067774A&amp;KC=A")</f>
        <v>https://worldwide.espacenet.com/publicationDetails/biblio?II=1&amp;ND=3&amp;adjacent=true&amp;locale=en_EP&amp;FT=D&amp;date=20180621&amp;CC=KR&amp;NR=20180067774A&amp;KC=A</v>
      </c>
    </row>
    <row r="2327" spans="1:5" x14ac:dyDescent="0.25">
      <c r="C2327" t="s">
        <v>3922</v>
      </c>
      <c r="D2327" t="s">
        <v>3923</v>
      </c>
      <c r="E2327" t="str">
        <f>HYPERLINK("https://worldwide.espacenet.com/publicationDetails/biblio?II=2&amp;ND=3&amp;adjacent=true&amp;locale=en_EP&amp;FT=D&amp;date=20180626&amp;CC=KR&amp;NR=20180069967A&amp;KC=A")</f>
        <v>https://worldwide.espacenet.com/publicationDetails/biblio?II=2&amp;ND=3&amp;adjacent=true&amp;locale=en_EP&amp;FT=D&amp;date=20180626&amp;CC=KR&amp;NR=20180069967A&amp;KC=A</v>
      </c>
    </row>
    <row r="2328" spans="1:5" x14ac:dyDescent="0.25">
      <c r="C2328" t="s">
        <v>3924</v>
      </c>
      <c r="D2328" t="s">
        <v>3925</v>
      </c>
      <c r="E2328" t="str">
        <f>HYPERLINK("https://worldwide.espacenet.com/publicationDetails/biblio?II=3&amp;ND=3&amp;adjacent=true&amp;locale=en_EP&amp;FT=D&amp;date=20180705&amp;CC=WO&amp;NR=2018120137A1&amp;KC=A1")</f>
        <v>https://worldwide.espacenet.com/publicationDetails/biblio?II=3&amp;ND=3&amp;adjacent=true&amp;locale=en_EP&amp;FT=D&amp;date=20180705&amp;CC=WO&amp;NR=2018120137A1&amp;KC=A1</v>
      </c>
    </row>
    <row r="2329" spans="1:5" x14ac:dyDescent="0.25">
      <c r="C2329" t="s">
        <v>3924</v>
      </c>
      <c r="D2329" t="s">
        <v>3926</v>
      </c>
      <c r="E2329" t="str">
        <f>HYPERLINK("https://worldwide.espacenet.com/publicationDetails/biblio?II=4&amp;ND=3&amp;adjacent=true&amp;locale=en_EP&amp;FT=D&amp;date=20180705&amp;CC=WO&amp;NR=2018120095A1&amp;KC=A1")</f>
        <v>https://worldwide.espacenet.com/publicationDetails/biblio?II=4&amp;ND=3&amp;adjacent=true&amp;locale=en_EP&amp;FT=D&amp;date=20180705&amp;CC=WO&amp;NR=2018120095A1&amp;KC=A1</v>
      </c>
    </row>
    <row r="2330" spans="1:5" x14ac:dyDescent="0.25">
      <c r="C2330" t="s">
        <v>3924</v>
      </c>
      <c r="D2330" t="s">
        <v>3927</v>
      </c>
      <c r="E2330" t="str">
        <f>HYPERLINK("https://worldwide.espacenet.com/publicationDetails/biblio?II=5&amp;ND=3&amp;adjacent=true&amp;locale=en_EP&amp;FT=D&amp;date=20180705&amp;CC=WO&amp;NR=2018120154A1&amp;KC=A1")</f>
        <v>https://worldwide.espacenet.com/publicationDetails/biblio?II=5&amp;ND=3&amp;adjacent=true&amp;locale=en_EP&amp;FT=D&amp;date=20180705&amp;CC=WO&amp;NR=2018120154A1&amp;KC=A1</v>
      </c>
    </row>
    <row r="2331" spans="1:5" x14ac:dyDescent="0.25">
      <c r="C2331" t="s">
        <v>3928</v>
      </c>
      <c r="D2331" t="s">
        <v>3929</v>
      </c>
      <c r="E2331" t="str">
        <f>HYPERLINK("https://worldwide.espacenet.com/publicationDetails/biblio?II=6&amp;ND=3&amp;adjacent=true&amp;locale=en_EP&amp;FT=D&amp;date=20180629&amp;CC=CN&amp;NR=207548762U&amp;KC=U")</f>
        <v>https://worldwide.espacenet.com/publicationDetails/biblio?II=6&amp;ND=3&amp;adjacent=true&amp;locale=en_EP&amp;FT=D&amp;date=20180629&amp;CC=CN&amp;NR=207548762U&amp;KC=U</v>
      </c>
    </row>
    <row r="2332" spans="1:5" x14ac:dyDescent="0.25">
      <c r="C2332" t="s">
        <v>3930</v>
      </c>
      <c r="D2332" t="s">
        <v>3931</v>
      </c>
      <c r="E2332" t="str">
        <f>HYPERLINK("https://worldwide.espacenet.com/publicationDetails/biblio?II=7&amp;ND=3&amp;adjacent=true&amp;locale=en_EP&amp;FT=D&amp;date=20180629&amp;CC=CN&amp;NR=207550460U&amp;KC=U")</f>
        <v>https://worldwide.espacenet.com/publicationDetails/biblio?II=7&amp;ND=3&amp;adjacent=true&amp;locale=en_EP&amp;FT=D&amp;date=20180629&amp;CC=CN&amp;NR=207550460U&amp;KC=U</v>
      </c>
    </row>
    <row r="2333" spans="1:5" x14ac:dyDescent="0.25">
      <c r="C2333" t="s">
        <v>3019</v>
      </c>
      <c r="D2333" t="s">
        <v>3020</v>
      </c>
      <c r="E2333" t="str">
        <f>HYPERLINK("https://worldwide.espacenet.com/publicationDetails/biblio?II=8&amp;ND=3&amp;adjacent=true&amp;locale=en_EP&amp;FT=D&amp;date=20180629&amp;CC=CN&amp;NR=108214521A&amp;KC=A")</f>
        <v>https://worldwide.espacenet.com/publicationDetails/biblio?II=8&amp;ND=3&amp;adjacent=true&amp;locale=en_EP&amp;FT=D&amp;date=20180629&amp;CC=CN&amp;NR=108214521A&amp;KC=A</v>
      </c>
    </row>
    <row r="2334" spans="1:5" x14ac:dyDescent="0.25">
      <c r="C2334" t="s">
        <v>3932</v>
      </c>
      <c r="D2334" t="s">
        <v>3933</v>
      </c>
      <c r="E2334" t="str">
        <f>HYPERLINK("https://worldwide.espacenet.com/publicationDetails/biblio?II=9&amp;ND=3&amp;adjacent=true&amp;locale=en_EP&amp;FT=D&amp;date=20180622&amp;CC=CN&amp;NR=108189078A&amp;KC=A")</f>
        <v>https://worldwide.espacenet.com/publicationDetails/biblio?II=9&amp;ND=3&amp;adjacent=true&amp;locale=en_EP&amp;FT=D&amp;date=20180622&amp;CC=CN&amp;NR=108189078A&amp;KC=A</v>
      </c>
    </row>
    <row r="2335" spans="1:5" x14ac:dyDescent="0.25">
      <c r="C2335" t="s">
        <v>3934</v>
      </c>
      <c r="D2335" t="s">
        <v>3935</v>
      </c>
      <c r="E2335" t="str">
        <f>HYPERLINK("https://worldwide.espacenet.com/publicationDetails/biblio?II=10&amp;ND=3&amp;adjacent=true&amp;locale=en_EP&amp;FT=D&amp;date=20180622&amp;CC=CN&amp;NR=108189020A&amp;KC=A")</f>
        <v>https://worldwide.espacenet.com/publicationDetails/biblio?II=10&amp;ND=3&amp;adjacent=true&amp;locale=en_EP&amp;FT=D&amp;date=20180622&amp;CC=CN&amp;NR=108189020A&amp;KC=A</v>
      </c>
    </row>
    <row r="2336" spans="1:5" x14ac:dyDescent="0.25">
      <c r="C2336" t="s">
        <v>61</v>
      </c>
      <c r="D2336" t="s">
        <v>62</v>
      </c>
      <c r="E2336" t="str">
        <f>HYPERLINK("https://worldwide.espacenet.com/publicationDetails/biblio?II=11&amp;ND=3&amp;adjacent=true&amp;locale=en_EP&amp;FT=D&amp;date=20180622&amp;CC=CN&amp;NR=207526940U&amp;KC=U")</f>
        <v>https://worldwide.espacenet.com/publicationDetails/biblio?II=11&amp;ND=3&amp;adjacent=true&amp;locale=en_EP&amp;FT=D&amp;date=20180622&amp;CC=CN&amp;NR=207526940U&amp;KC=U</v>
      </c>
    </row>
    <row r="2337" spans="3:5" x14ac:dyDescent="0.25">
      <c r="C2337" t="s">
        <v>63</v>
      </c>
      <c r="D2337" t="s">
        <v>64</v>
      </c>
      <c r="E2337" t="str">
        <f>HYPERLINK("https://worldwide.espacenet.com/publicationDetails/biblio?II=12&amp;ND=3&amp;adjacent=true&amp;locale=en_EP&amp;FT=D&amp;date=20180622&amp;CC=CN&amp;NR=207526941U&amp;KC=U")</f>
        <v>https://worldwide.espacenet.com/publicationDetails/biblio?II=12&amp;ND=3&amp;adjacent=true&amp;locale=en_EP&amp;FT=D&amp;date=20180622&amp;CC=CN&amp;NR=207526941U&amp;KC=U</v>
      </c>
    </row>
    <row r="2338" spans="3:5" x14ac:dyDescent="0.25">
      <c r="C2338" t="s">
        <v>3041</v>
      </c>
      <c r="D2338" t="s">
        <v>3042</v>
      </c>
      <c r="E2338" t="str">
        <f>HYPERLINK("https://worldwide.espacenet.com/publicationDetails/biblio?II=13&amp;ND=3&amp;adjacent=true&amp;locale=en_EP&amp;FT=D&amp;date=20180622&amp;CC=CN&amp;NR=207526922U&amp;KC=U")</f>
        <v>https://worldwide.espacenet.com/publicationDetails/biblio?II=13&amp;ND=3&amp;adjacent=true&amp;locale=en_EP&amp;FT=D&amp;date=20180622&amp;CC=CN&amp;NR=207526922U&amp;KC=U</v>
      </c>
    </row>
    <row r="2339" spans="3:5" x14ac:dyDescent="0.25">
      <c r="C2339" t="s">
        <v>3936</v>
      </c>
      <c r="D2339" t="s">
        <v>3937</v>
      </c>
      <c r="E2339" t="str">
        <f>HYPERLINK("https://worldwide.espacenet.com/publicationDetails/biblio?II=14&amp;ND=3&amp;adjacent=true&amp;locale=en_EP&amp;FT=D&amp;date=20180619&amp;CC=CN&amp;NR=108183427A&amp;KC=A")</f>
        <v>https://worldwide.espacenet.com/publicationDetails/biblio?II=14&amp;ND=3&amp;adjacent=true&amp;locale=en_EP&amp;FT=D&amp;date=20180619&amp;CC=CN&amp;NR=108183427A&amp;KC=A</v>
      </c>
    </row>
    <row r="2340" spans="3:5" x14ac:dyDescent="0.25">
      <c r="C2340" t="s">
        <v>111</v>
      </c>
      <c r="D2340" t="s">
        <v>112</v>
      </c>
      <c r="E2340" t="str">
        <f>HYPERLINK("https://worldwide.espacenet.com/publicationDetails/biblio?II=15&amp;ND=3&amp;adjacent=true&amp;locale=en_EP&amp;FT=D&amp;date=20180619&amp;CC=CN&amp;NR=207510524U&amp;KC=U")</f>
        <v>https://worldwide.espacenet.com/publicationDetails/biblio?II=15&amp;ND=3&amp;adjacent=true&amp;locale=en_EP&amp;FT=D&amp;date=20180619&amp;CC=CN&amp;NR=207510524U&amp;KC=U</v>
      </c>
    </row>
    <row r="2341" spans="3:5" x14ac:dyDescent="0.25">
      <c r="C2341" t="s">
        <v>117</v>
      </c>
      <c r="D2341" t="s">
        <v>118</v>
      </c>
      <c r="E2341" t="str">
        <f>HYPERLINK("https://worldwide.espacenet.com/publicationDetails/biblio?II=16&amp;ND=3&amp;adjacent=true&amp;locale=en_EP&amp;FT=D&amp;date=20180615&amp;CC=CN&amp;NR=108161887A&amp;KC=A")</f>
        <v>https://worldwide.espacenet.com/publicationDetails/biblio?II=16&amp;ND=3&amp;adjacent=true&amp;locale=en_EP&amp;FT=D&amp;date=20180615&amp;CC=CN&amp;NR=108161887A&amp;KC=A</v>
      </c>
    </row>
    <row r="2342" spans="3:5" x14ac:dyDescent="0.25">
      <c r="C2342" t="s">
        <v>3938</v>
      </c>
      <c r="D2342" t="s">
        <v>3939</v>
      </c>
      <c r="E2342" t="str">
        <f>HYPERLINK("https://worldwide.espacenet.com/publicationDetails/biblio?II=17&amp;ND=3&amp;adjacent=true&amp;locale=en_EP&amp;FT=D&amp;date=20180612&amp;CC=CN&amp;NR=108143498A&amp;KC=A")</f>
        <v>https://worldwide.espacenet.com/publicationDetails/biblio?II=17&amp;ND=3&amp;adjacent=true&amp;locale=en_EP&amp;FT=D&amp;date=20180612&amp;CC=CN&amp;NR=108143498A&amp;KC=A</v>
      </c>
    </row>
    <row r="2343" spans="3:5" x14ac:dyDescent="0.25">
      <c r="C2343" t="s">
        <v>3940</v>
      </c>
      <c r="D2343" t="s">
        <v>3941</v>
      </c>
      <c r="E2343" t="str">
        <f>HYPERLINK("https://worldwide.espacenet.com/publicationDetails/biblio?II=18&amp;ND=3&amp;adjacent=true&amp;locale=en_EP&amp;FT=D&amp;date=20180612&amp;CC=CN&amp;NR=108142085A&amp;KC=A")</f>
        <v>https://worldwide.espacenet.com/publicationDetails/biblio?II=18&amp;ND=3&amp;adjacent=true&amp;locale=en_EP&amp;FT=D&amp;date=20180612&amp;CC=CN&amp;NR=108142085A&amp;KC=A</v>
      </c>
    </row>
    <row r="2344" spans="3:5" x14ac:dyDescent="0.25">
      <c r="C2344" t="s">
        <v>3942</v>
      </c>
      <c r="D2344" t="s">
        <v>3943</v>
      </c>
      <c r="E2344" t="str">
        <f>HYPERLINK("https://worldwide.espacenet.com/publicationDetails/biblio?II=19&amp;ND=3&amp;adjacent=true&amp;locale=en_EP&amp;FT=D&amp;date=20180522&amp;CC=CN&amp;NR=207391559U&amp;KC=U")</f>
        <v>https://worldwide.espacenet.com/publicationDetails/biblio?II=19&amp;ND=3&amp;adjacent=true&amp;locale=en_EP&amp;FT=D&amp;date=20180522&amp;CC=CN&amp;NR=207391559U&amp;KC=U</v>
      </c>
    </row>
    <row r="2345" spans="3:5" x14ac:dyDescent="0.25">
      <c r="C2345" t="s">
        <v>3944</v>
      </c>
      <c r="D2345" t="s">
        <v>3945</v>
      </c>
      <c r="E2345" t="str">
        <f>HYPERLINK("https://worldwide.espacenet.com/publicationDetails/biblio?II=20&amp;ND=3&amp;adjacent=true&amp;locale=en_EP&amp;FT=D&amp;date=20180504&amp;CC=CN&amp;NR=207315030U&amp;KC=U")</f>
        <v>https://worldwide.espacenet.com/publicationDetails/biblio?II=20&amp;ND=3&amp;adjacent=true&amp;locale=en_EP&amp;FT=D&amp;date=20180504&amp;CC=CN&amp;NR=207315030U&amp;KC=U</v>
      </c>
    </row>
    <row r="2346" spans="3:5" x14ac:dyDescent="0.25">
      <c r="C2346" t="s">
        <v>3946</v>
      </c>
      <c r="D2346" t="s">
        <v>3947</v>
      </c>
      <c r="E2346" t="str">
        <f>HYPERLINK("https://worldwide.espacenet.com/publicationDetails/biblio?II=21&amp;ND=3&amp;adjacent=true&amp;locale=en_EP&amp;FT=D&amp;date=20180504&amp;CC=CN&amp;NR=207311645U&amp;KC=U")</f>
        <v>https://worldwide.espacenet.com/publicationDetails/biblio?II=21&amp;ND=3&amp;adjacent=true&amp;locale=en_EP&amp;FT=D&amp;date=20180504&amp;CC=CN&amp;NR=207311645U&amp;KC=U</v>
      </c>
    </row>
    <row r="2347" spans="3:5" x14ac:dyDescent="0.25">
      <c r="C2347" t="s">
        <v>3948</v>
      </c>
      <c r="D2347" t="s">
        <v>3949</v>
      </c>
      <c r="E2347" t="str">
        <f>HYPERLINK("https://worldwide.espacenet.com/publicationDetails/biblio?II=22&amp;ND=3&amp;adjacent=true&amp;locale=en_EP&amp;FT=D&amp;date=20180508&amp;CC=CN&amp;NR=207330886U&amp;KC=U")</f>
        <v>https://worldwide.espacenet.com/publicationDetails/biblio?II=22&amp;ND=3&amp;adjacent=true&amp;locale=en_EP&amp;FT=D&amp;date=20180508&amp;CC=CN&amp;NR=207330886U&amp;KC=U</v>
      </c>
    </row>
    <row r="2348" spans="3:5" x14ac:dyDescent="0.25">
      <c r="C2348" t="s">
        <v>3069</v>
      </c>
      <c r="D2348" t="s">
        <v>3950</v>
      </c>
      <c r="E2348" t="str">
        <f>HYPERLINK("https://worldwide.espacenet.com/publicationDetails/biblio?II=23&amp;ND=3&amp;adjacent=true&amp;locale=en_EP&amp;FT=D&amp;date=20180515&amp;CC=CN&amp;NR=207360451U&amp;KC=U")</f>
        <v>https://worldwide.espacenet.com/publicationDetails/biblio?II=23&amp;ND=3&amp;adjacent=true&amp;locale=en_EP&amp;FT=D&amp;date=20180515&amp;CC=CN&amp;NR=207360451U&amp;KC=U</v>
      </c>
    </row>
    <row r="2349" spans="3:5" x14ac:dyDescent="0.25">
      <c r="C2349" t="s">
        <v>3951</v>
      </c>
      <c r="D2349" t="s">
        <v>3952</v>
      </c>
      <c r="E2349" t="str">
        <f>HYPERLINK("https://worldwide.espacenet.com/publicationDetails/biblio?II=24&amp;ND=3&amp;adjacent=true&amp;locale=en_EP&amp;FT=D&amp;date=20180529&amp;CC=CN&amp;NR=207418139U&amp;KC=U")</f>
        <v>https://worldwide.espacenet.com/publicationDetails/biblio?II=24&amp;ND=3&amp;adjacent=true&amp;locale=en_EP&amp;FT=D&amp;date=20180529&amp;CC=CN&amp;NR=207418139U&amp;KC=U</v>
      </c>
    </row>
    <row r="2350" spans="3:5" x14ac:dyDescent="0.25">
      <c r="C2350" t="s">
        <v>207</v>
      </c>
      <c r="D2350" t="s">
        <v>208</v>
      </c>
      <c r="E2350" t="str">
        <f>HYPERLINK("https://worldwide.espacenet.com/publicationDetails/biblio?II=25&amp;ND=3&amp;adjacent=true&amp;locale=en_EP&amp;FT=D&amp;date=20180529&amp;CC=CN&amp;NR=207424595U&amp;KC=U")</f>
        <v>https://worldwide.espacenet.com/publicationDetails/biblio?II=25&amp;ND=3&amp;adjacent=true&amp;locale=en_EP&amp;FT=D&amp;date=20180529&amp;CC=CN&amp;NR=207424595U&amp;KC=U</v>
      </c>
    </row>
    <row r="2351" spans="3:5" x14ac:dyDescent="0.25">
      <c r="C2351" t="s">
        <v>213</v>
      </c>
      <c r="D2351" t="s">
        <v>214</v>
      </c>
      <c r="E2351" t="str">
        <f>HYPERLINK("https://worldwide.espacenet.com/publicationDetails/biblio?II=26&amp;ND=3&amp;adjacent=true&amp;locale=en_EP&amp;FT=D&amp;date=20180601&amp;CC=CN&amp;NR=207433675U&amp;KC=U")</f>
        <v>https://worldwide.espacenet.com/publicationDetails/biblio?II=26&amp;ND=3&amp;adjacent=true&amp;locale=en_EP&amp;FT=D&amp;date=20180601&amp;CC=CN&amp;NR=207433675U&amp;KC=U</v>
      </c>
    </row>
    <row r="2352" spans="3:5" x14ac:dyDescent="0.25">
      <c r="C2352" t="s">
        <v>231</v>
      </c>
      <c r="D2352" t="s">
        <v>232</v>
      </c>
      <c r="E2352" t="str">
        <f>HYPERLINK("https://worldwide.espacenet.com/publicationDetails/biblio?II=27&amp;ND=3&amp;adjacent=true&amp;locale=en_EP&amp;FT=D&amp;date=20180608&amp;CC=CN&amp;NR=207465215U&amp;KC=U")</f>
        <v>https://worldwide.espacenet.com/publicationDetails/biblio?II=27&amp;ND=3&amp;adjacent=true&amp;locale=en_EP&amp;FT=D&amp;date=20180608&amp;CC=CN&amp;NR=207465215U&amp;KC=U</v>
      </c>
    </row>
    <row r="2353" spans="3:5" x14ac:dyDescent="0.25">
      <c r="C2353" t="s">
        <v>3953</v>
      </c>
      <c r="D2353" t="s">
        <v>3954</v>
      </c>
      <c r="E2353" t="str">
        <f>HYPERLINK("https://worldwide.espacenet.com/publicationDetails/biblio?II=28&amp;ND=3&amp;adjacent=true&amp;locale=en_EP&amp;FT=D&amp;date=20180605&amp;CC=CN&amp;NR=207448518U&amp;KC=U")</f>
        <v>https://worldwide.espacenet.com/publicationDetails/biblio?II=28&amp;ND=3&amp;adjacent=true&amp;locale=en_EP&amp;FT=D&amp;date=20180605&amp;CC=CN&amp;NR=207448518U&amp;KC=U</v>
      </c>
    </row>
    <row r="2354" spans="3:5" x14ac:dyDescent="0.25">
      <c r="C2354" t="s">
        <v>3955</v>
      </c>
      <c r="D2354" t="s">
        <v>3956</v>
      </c>
      <c r="E2354" t="str">
        <f>HYPERLINK("https://worldwide.espacenet.com/publicationDetails/biblio?II=29&amp;ND=3&amp;adjacent=true&amp;locale=en_EP&amp;FT=D&amp;date=20180605&amp;CC=CN&amp;NR=207448519U&amp;KC=U")</f>
        <v>https://worldwide.espacenet.com/publicationDetails/biblio?II=29&amp;ND=3&amp;adjacent=true&amp;locale=en_EP&amp;FT=D&amp;date=20180605&amp;CC=CN&amp;NR=207448519U&amp;KC=U</v>
      </c>
    </row>
    <row r="2355" spans="3:5" x14ac:dyDescent="0.25">
      <c r="C2355" t="s">
        <v>243</v>
      </c>
      <c r="D2355" t="s">
        <v>244</v>
      </c>
      <c r="E2355" t="str">
        <f>HYPERLINK("https://worldwide.espacenet.com/publicationDetails/biblio?II=30&amp;ND=3&amp;adjacent=true&amp;locale=en_EP&amp;FT=D&amp;date=20180605&amp;CC=CN&amp;NR=108121351A&amp;KC=A")</f>
        <v>https://worldwide.espacenet.com/publicationDetails/biblio?II=30&amp;ND=3&amp;adjacent=true&amp;locale=en_EP&amp;FT=D&amp;date=20180605&amp;CC=CN&amp;NR=108121351A&amp;KC=A</v>
      </c>
    </row>
    <row r="2356" spans="3:5" x14ac:dyDescent="0.25">
      <c r="C2356" t="s">
        <v>245</v>
      </c>
      <c r="D2356" t="s">
        <v>246</v>
      </c>
      <c r="E2356" t="str">
        <f>HYPERLINK("https://worldwide.espacenet.com/publicationDetails/biblio?II=31&amp;ND=3&amp;adjacent=true&amp;locale=en_EP&amp;FT=D&amp;date=20180605&amp;CC=CN&amp;NR=108121334A&amp;KC=A")</f>
        <v>https://worldwide.espacenet.com/publicationDetails/biblio?II=31&amp;ND=3&amp;adjacent=true&amp;locale=en_EP&amp;FT=D&amp;date=20180605&amp;CC=CN&amp;NR=108121334A&amp;KC=A</v>
      </c>
    </row>
    <row r="2357" spans="3:5" x14ac:dyDescent="0.25">
      <c r="C2357" t="s">
        <v>247</v>
      </c>
      <c r="D2357" t="s">
        <v>248</v>
      </c>
      <c r="E2357" t="str">
        <f>HYPERLINK("https://worldwide.espacenet.com/publicationDetails/biblio?II=32&amp;ND=3&amp;adjacent=true&amp;locale=en_EP&amp;FT=D&amp;date=20180605&amp;CC=CN&amp;NR=108116532A&amp;KC=A")</f>
        <v>https://worldwide.espacenet.com/publicationDetails/biblio?II=32&amp;ND=3&amp;adjacent=true&amp;locale=en_EP&amp;FT=D&amp;date=20180605&amp;CC=CN&amp;NR=108116532A&amp;KC=A</v>
      </c>
    </row>
    <row r="2358" spans="3:5" x14ac:dyDescent="0.25">
      <c r="C2358" t="s">
        <v>3957</v>
      </c>
      <c r="D2358" t="s">
        <v>3958</v>
      </c>
      <c r="E2358" t="str">
        <f>HYPERLINK("https://worldwide.espacenet.com/publicationDetails/biblio?II=33&amp;ND=3&amp;adjacent=true&amp;locale=en_EP&amp;FT=D&amp;date=20180601&amp;CC=CN&amp;NR=108094266A&amp;KC=A")</f>
        <v>https://worldwide.espacenet.com/publicationDetails/biblio?II=33&amp;ND=3&amp;adjacent=true&amp;locale=en_EP&amp;FT=D&amp;date=20180601&amp;CC=CN&amp;NR=108094266A&amp;KC=A</v>
      </c>
    </row>
    <row r="2359" spans="3:5" x14ac:dyDescent="0.25">
      <c r="C2359" t="s">
        <v>3959</v>
      </c>
      <c r="D2359" t="s">
        <v>3960</v>
      </c>
      <c r="E2359" t="str">
        <f>HYPERLINK("https://worldwide.espacenet.com/publicationDetails/biblio?II=34&amp;ND=3&amp;adjacent=true&amp;locale=en_EP&amp;FT=D&amp;date=20180601&amp;CC=CN&amp;NR=108098733A&amp;KC=A")</f>
        <v>https://worldwide.espacenet.com/publicationDetails/biblio?II=34&amp;ND=3&amp;adjacent=true&amp;locale=en_EP&amp;FT=D&amp;date=20180601&amp;CC=CN&amp;NR=108098733A&amp;KC=A</v>
      </c>
    </row>
    <row r="2360" spans="3:5" x14ac:dyDescent="0.25">
      <c r="C2360" t="s">
        <v>1354</v>
      </c>
      <c r="D2360" t="s">
        <v>3961</v>
      </c>
      <c r="E2360" t="str">
        <f>HYPERLINK("https://worldwide.espacenet.com/publicationDetails/biblio?II=35&amp;ND=3&amp;adjacent=true&amp;locale=en_EP&amp;FT=D&amp;date=20180529&amp;CC=CN&amp;NR=108081288A&amp;KC=A")</f>
        <v>https://worldwide.espacenet.com/publicationDetails/biblio?II=35&amp;ND=3&amp;adjacent=true&amp;locale=en_EP&amp;FT=D&amp;date=20180529&amp;CC=CN&amp;NR=108081288A&amp;KC=A</v>
      </c>
    </row>
    <row r="2361" spans="3:5" x14ac:dyDescent="0.25">
      <c r="C2361" t="s">
        <v>3962</v>
      </c>
      <c r="D2361" t="s">
        <v>3963</v>
      </c>
      <c r="E2361" t="str">
        <f>HYPERLINK("https://worldwide.espacenet.com/publicationDetails/biblio?II=36&amp;ND=3&amp;adjacent=true&amp;locale=en_EP&amp;FT=D&amp;date=20180529&amp;CC=CN&amp;NR=108082316A&amp;KC=A")</f>
        <v>https://worldwide.espacenet.com/publicationDetails/biblio?II=36&amp;ND=3&amp;adjacent=true&amp;locale=en_EP&amp;FT=D&amp;date=20180529&amp;CC=CN&amp;NR=108082316A&amp;KC=A</v>
      </c>
    </row>
    <row r="2362" spans="3:5" x14ac:dyDescent="0.25">
      <c r="C2362" t="s">
        <v>3404</v>
      </c>
      <c r="D2362" t="s">
        <v>3964</v>
      </c>
      <c r="E2362" t="str">
        <f>HYPERLINK("https://worldwide.espacenet.com/publicationDetails/biblio?II=37&amp;ND=3&amp;adjacent=true&amp;locale=en_EP&amp;FT=D&amp;date=20180517&amp;CC=US&amp;NR=2018132949A1&amp;KC=A1")</f>
        <v>https://worldwide.espacenet.com/publicationDetails/biblio?II=37&amp;ND=3&amp;adjacent=true&amp;locale=en_EP&amp;FT=D&amp;date=20180517&amp;CC=US&amp;NR=2018132949A1&amp;KC=A1</v>
      </c>
    </row>
    <row r="2363" spans="3:5" x14ac:dyDescent="0.25">
      <c r="C2363" t="s">
        <v>3965</v>
      </c>
      <c r="D2363" t="s">
        <v>3966</v>
      </c>
      <c r="E2363" t="str">
        <f>HYPERLINK("https://worldwide.espacenet.com/publicationDetails/biblio?II=38&amp;ND=3&amp;adjacent=true&amp;locale=en_EP&amp;FT=D&amp;date=20180426&amp;CC=JP&amp;NR=2018065244A&amp;KC=A")</f>
        <v>https://worldwide.espacenet.com/publicationDetails/biblio?II=38&amp;ND=3&amp;adjacent=true&amp;locale=en_EP&amp;FT=D&amp;date=20180426&amp;CC=JP&amp;NR=2018065244A&amp;KC=A</v>
      </c>
    </row>
    <row r="2364" spans="3:5" x14ac:dyDescent="0.25">
      <c r="C2364" t="s">
        <v>3170</v>
      </c>
      <c r="D2364" t="s">
        <v>3171</v>
      </c>
      <c r="E2364" t="str">
        <f>HYPERLINK("https://worldwide.espacenet.com/publicationDetails/biblio?II=39&amp;ND=3&amp;adjacent=true&amp;locale=en_EP&amp;FT=D&amp;date=20180504&amp;CC=CN&amp;NR=107994504A&amp;KC=A")</f>
        <v>https://worldwide.espacenet.com/publicationDetails/biblio?II=39&amp;ND=3&amp;adjacent=true&amp;locale=en_EP&amp;FT=D&amp;date=20180504&amp;CC=CN&amp;NR=107994504A&amp;KC=A</v>
      </c>
    </row>
    <row r="2365" spans="3:5" x14ac:dyDescent="0.25">
      <c r="C2365" t="s">
        <v>3180</v>
      </c>
      <c r="D2365" t="s">
        <v>3181</v>
      </c>
      <c r="E2365" t="str">
        <f>HYPERLINK("https://worldwide.espacenet.com/publicationDetails/biblio?II=40&amp;ND=3&amp;adjacent=true&amp;locale=en_EP&amp;FT=D&amp;date=20180424&amp;CC=CN&amp;NR=107953938A&amp;KC=A")</f>
        <v>https://worldwide.espacenet.com/publicationDetails/biblio?II=40&amp;ND=3&amp;adjacent=true&amp;locale=en_EP&amp;FT=D&amp;date=20180424&amp;CC=CN&amp;NR=107953938A&amp;KC=A</v>
      </c>
    </row>
    <row r="2366" spans="3:5" x14ac:dyDescent="0.25">
      <c r="C2366" t="s">
        <v>3967</v>
      </c>
      <c r="D2366" t="s">
        <v>3968</v>
      </c>
      <c r="E2366" t="str">
        <f>HYPERLINK("https://worldwide.espacenet.com/publicationDetails/biblio?II=41&amp;ND=3&amp;adjacent=true&amp;locale=en_EP&amp;FT=D&amp;date=20180424&amp;CC=CN&amp;NR=107952613A&amp;KC=A")</f>
        <v>https://worldwide.espacenet.com/publicationDetails/biblio?II=41&amp;ND=3&amp;adjacent=true&amp;locale=en_EP&amp;FT=D&amp;date=20180424&amp;CC=CN&amp;NR=107952613A&amp;KC=A</v>
      </c>
    </row>
    <row r="2367" spans="3:5" x14ac:dyDescent="0.25">
      <c r="C2367" t="s">
        <v>3930</v>
      </c>
      <c r="D2367" t="s">
        <v>3969</v>
      </c>
      <c r="E2367" t="str">
        <f>HYPERLINK("https://worldwide.espacenet.com/publicationDetails/biblio?II=42&amp;ND=3&amp;adjacent=true&amp;locale=en_EP&amp;FT=D&amp;date=20180420&amp;CC=CN&amp;NR=107933856A&amp;KC=A")</f>
        <v>https://worldwide.espacenet.com/publicationDetails/biblio?II=42&amp;ND=3&amp;adjacent=true&amp;locale=en_EP&amp;FT=D&amp;date=20180420&amp;CC=CN&amp;NR=107933856A&amp;KC=A</v>
      </c>
    </row>
    <row r="2368" spans="3:5" x14ac:dyDescent="0.25">
      <c r="C2368" t="s">
        <v>3188</v>
      </c>
      <c r="D2368" t="s">
        <v>3189</v>
      </c>
      <c r="E2368" t="str">
        <f>HYPERLINK("https://worldwide.espacenet.com/publicationDetails/biblio?II=43&amp;ND=3&amp;adjacent=true&amp;locale=en_EP&amp;FT=D&amp;date=20180420&amp;CC=CN&amp;NR=107928535A&amp;KC=A")</f>
        <v>https://worldwide.espacenet.com/publicationDetails/biblio?II=43&amp;ND=3&amp;adjacent=true&amp;locale=en_EP&amp;FT=D&amp;date=20180420&amp;CC=CN&amp;NR=107928535A&amp;KC=A</v>
      </c>
    </row>
    <row r="2369" spans="3:5" x14ac:dyDescent="0.25">
      <c r="C2369" t="s">
        <v>3970</v>
      </c>
      <c r="D2369" t="s">
        <v>3971</v>
      </c>
      <c r="E2369" t="str">
        <f>HYPERLINK("https://worldwide.espacenet.com/publicationDetails/biblio?II=44&amp;ND=3&amp;adjacent=true&amp;locale=en_EP&amp;FT=D&amp;date=20180420&amp;CC=CN&amp;NR=207256219U&amp;KC=U")</f>
        <v>https://worldwide.espacenet.com/publicationDetails/biblio?II=44&amp;ND=3&amp;adjacent=true&amp;locale=en_EP&amp;FT=D&amp;date=20180420&amp;CC=CN&amp;NR=207256219U&amp;KC=U</v>
      </c>
    </row>
    <row r="2370" spans="3:5" x14ac:dyDescent="0.25">
      <c r="C2370" t="s">
        <v>3972</v>
      </c>
      <c r="D2370" t="s">
        <v>3973</v>
      </c>
      <c r="E2370" t="str">
        <f>HYPERLINK("https://worldwide.espacenet.com/publicationDetails/biblio?II=45&amp;ND=3&amp;adjacent=true&amp;locale=en_EP&amp;FT=D&amp;date=20180413&amp;CC=CN&amp;NR=107902058A&amp;KC=A")</f>
        <v>https://worldwide.espacenet.com/publicationDetails/biblio?II=45&amp;ND=3&amp;adjacent=true&amp;locale=en_EP&amp;FT=D&amp;date=20180413&amp;CC=CN&amp;NR=107902058A&amp;KC=A</v>
      </c>
    </row>
    <row r="2371" spans="3:5" x14ac:dyDescent="0.25">
      <c r="C2371" t="s">
        <v>3974</v>
      </c>
      <c r="D2371" t="s">
        <v>3975</v>
      </c>
      <c r="E2371" t="str">
        <f>HYPERLINK("https://worldwide.espacenet.com/publicationDetails/biblio?II=46&amp;ND=3&amp;adjacent=true&amp;locale=en_EP&amp;FT=D&amp;date=20180413&amp;CC=CN&amp;NR=207232387U&amp;KC=U")</f>
        <v>https://worldwide.espacenet.com/publicationDetails/biblio?II=46&amp;ND=3&amp;adjacent=true&amp;locale=en_EP&amp;FT=D&amp;date=20180413&amp;CC=CN&amp;NR=207232387U&amp;KC=U</v>
      </c>
    </row>
    <row r="2372" spans="3:5" x14ac:dyDescent="0.25">
      <c r="C2372" t="s">
        <v>340</v>
      </c>
      <c r="D2372" t="s">
        <v>341</v>
      </c>
      <c r="E2372" t="str">
        <f>HYPERLINK("https://worldwide.espacenet.com/publicationDetails/biblio?II=47&amp;ND=3&amp;adjacent=true&amp;locale=en_EP&amp;FT=D&amp;date=20180413&amp;CC=CN&amp;NR=107902004A&amp;KC=A")</f>
        <v>https://worldwide.espacenet.com/publicationDetails/biblio?II=47&amp;ND=3&amp;adjacent=true&amp;locale=en_EP&amp;FT=D&amp;date=20180413&amp;CC=CN&amp;NR=107902004A&amp;KC=A</v>
      </c>
    </row>
    <row r="2373" spans="3:5" x14ac:dyDescent="0.25">
      <c r="C2373" t="s">
        <v>3437</v>
      </c>
      <c r="D2373" t="s">
        <v>3976</v>
      </c>
      <c r="E2373" t="str">
        <f>HYPERLINK("https://worldwide.espacenet.com/publicationDetails/biblio?II=48&amp;ND=3&amp;adjacent=true&amp;locale=en_EP&amp;FT=D&amp;date=20180406&amp;CC=CN&amp;NR=207189655U&amp;KC=U")</f>
        <v>https://worldwide.espacenet.com/publicationDetails/biblio?II=48&amp;ND=3&amp;adjacent=true&amp;locale=en_EP&amp;FT=D&amp;date=20180406&amp;CC=CN&amp;NR=207189655U&amp;KC=U</v>
      </c>
    </row>
    <row r="2374" spans="3:5" x14ac:dyDescent="0.25">
      <c r="C2374" t="s">
        <v>3977</v>
      </c>
      <c r="D2374" t="s">
        <v>3978</v>
      </c>
      <c r="E2374" t="str">
        <f>HYPERLINK("https://worldwide.espacenet.com/publicationDetails/biblio?II=49&amp;ND=3&amp;adjacent=true&amp;locale=en_EP&amp;FT=D&amp;date=20180406&amp;CC=CN&amp;NR=207194042U&amp;KC=U")</f>
        <v>https://worldwide.espacenet.com/publicationDetails/biblio?II=49&amp;ND=3&amp;adjacent=true&amp;locale=en_EP&amp;FT=D&amp;date=20180406&amp;CC=CN&amp;NR=207194042U&amp;KC=U</v>
      </c>
    </row>
    <row r="2375" spans="3:5" x14ac:dyDescent="0.25">
      <c r="C2375" t="s">
        <v>3979</v>
      </c>
      <c r="D2375" t="s">
        <v>3980</v>
      </c>
      <c r="E2375" t="str">
        <f>HYPERLINK("https://worldwide.espacenet.com/publicationDetails/biblio?II=50&amp;ND=3&amp;adjacent=true&amp;locale=en_EP&amp;FT=D&amp;date=20180403&amp;CC=CN&amp;NR=207175188U&amp;KC=U")</f>
        <v>https://worldwide.espacenet.com/publicationDetails/biblio?II=50&amp;ND=3&amp;adjacent=true&amp;locale=en_EP&amp;FT=D&amp;date=20180403&amp;CC=CN&amp;NR=207175188U&amp;KC=U</v>
      </c>
    </row>
    <row r="2376" spans="3:5" x14ac:dyDescent="0.25">
      <c r="C2376" t="s">
        <v>3228</v>
      </c>
      <c r="D2376" t="s">
        <v>3229</v>
      </c>
      <c r="E2376" t="str">
        <f>HYPERLINK("https://worldwide.espacenet.com/publicationDetails/biblio?II=51&amp;ND=3&amp;adjacent=true&amp;locale=en_EP&amp;FT=D&amp;date=20180330&amp;CC=CN&amp;NR=207155808U&amp;KC=U")</f>
        <v>https://worldwide.espacenet.com/publicationDetails/biblio?II=51&amp;ND=3&amp;adjacent=true&amp;locale=en_EP&amp;FT=D&amp;date=20180330&amp;CC=CN&amp;NR=207155808U&amp;KC=U</v>
      </c>
    </row>
    <row r="2377" spans="3:5" x14ac:dyDescent="0.25">
      <c r="C2377" t="s">
        <v>3981</v>
      </c>
      <c r="D2377" t="s">
        <v>3982</v>
      </c>
      <c r="E2377" t="str">
        <f>HYPERLINK("https://worldwide.espacenet.com/publicationDetails/biblio?II=52&amp;ND=3&amp;adjacent=true&amp;locale=en_EP&amp;FT=D&amp;date=20180330&amp;CC=CN&amp;NR=207152720U&amp;KC=U")</f>
        <v>https://worldwide.espacenet.com/publicationDetails/biblio?II=52&amp;ND=3&amp;adjacent=true&amp;locale=en_EP&amp;FT=D&amp;date=20180330&amp;CC=CN&amp;NR=207152720U&amp;KC=U</v>
      </c>
    </row>
    <row r="2378" spans="3:5" x14ac:dyDescent="0.25">
      <c r="C2378" t="s">
        <v>3983</v>
      </c>
      <c r="D2378" t="s">
        <v>3984</v>
      </c>
      <c r="E2378" t="str">
        <f>HYPERLINK("https://worldwide.espacenet.com/publicationDetails/biblio?II=53&amp;ND=3&amp;adjacent=true&amp;locale=en_EP&amp;FT=D&amp;date=20180330&amp;CC=CN&amp;NR=107856021A&amp;KC=A")</f>
        <v>https://worldwide.espacenet.com/publicationDetails/biblio?II=53&amp;ND=3&amp;adjacent=true&amp;locale=en_EP&amp;FT=D&amp;date=20180330&amp;CC=CN&amp;NR=107856021A&amp;KC=A</v>
      </c>
    </row>
    <row r="2379" spans="3:5" x14ac:dyDescent="0.25">
      <c r="C2379" t="s">
        <v>3985</v>
      </c>
      <c r="D2379" t="s">
        <v>3986</v>
      </c>
      <c r="E2379" t="str">
        <f>HYPERLINK("https://worldwide.espacenet.com/publicationDetails/biblio?II=54&amp;ND=3&amp;adjacent=true&amp;locale=en_EP&amp;FT=D&amp;date=20180330&amp;CC=CN&amp;NR=107856817A&amp;KC=A")</f>
        <v>https://worldwide.espacenet.com/publicationDetails/biblio?II=54&amp;ND=3&amp;adjacent=true&amp;locale=en_EP&amp;FT=D&amp;date=20180330&amp;CC=CN&amp;NR=107856817A&amp;KC=A</v>
      </c>
    </row>
    <row r="2380" spans="3:5" x14ac:dyDescent="0.25">
      <c r="C2380" t="s">
        <v>3987</v>
      </c>
      <c r="D2380" t="s">
        <v>3988</v>
      </c>
      <c r="E2380" t="str">
        <f>HYPERLINK("https://worldwide.espacenet.com/publicationDetails/biblio?II=55&amp;ND=3&amp;adjacent=true&amp;locale=en_EP&amp;FT=D&amp;date=20180320&amp;CC=CN&amp;NR=107814142A&amp;KC=A")</f>
        <v>https://worldwide.espacenet.com/publicationDetails/biblio?II=55&amp;ND=3&amp;adjacent=true&amp;locale=en_EP&amp;FT=D&amp;date=20180320&amp;CC=CN&amp;NR=107814142A&amp;KC=A</v>
      </c>
    </row>
    <row r="2381" spans="3:5" x14ac:dyDescent="0.25">
      <c r="C2381" t="s">
        <v>3252</v>
      </c>
      <c r="D2381" t="s">
        <v>3253</v>
      </c>
      <c r="E2381" t="str">
        <f>HYPERLINK("https://worldwide.espacenet.com/publicationDetails/biblio?II=56&amp;ND=3&amp;adjacent=true&amp;locale=en_EP&amp;FT=D&amp;date=20180320&amp;CC=CN&amp;NR=207120810U&amp;KC=U")</f>
        <v>https://worldwide.espacenet.com/publicationDetails/biblio?II=56&amp;ND=3&amp;adjacent=true&amp;locale=en_EP&amp;FT=D&amp;date=20180320&amp;CC=CN&amp;NR=207120810U&amp;KC=U</v>
      </c>
    </row>
    <row r="2382" spans="3:5" x14ac:dyDescent="0.25">
      <c r="C2382" t="s">
        <v>3989</v>
      </c>
      <c r="D2382" t="s">
        <v>3990</v>
      </c>
      <c r="E2382" t="str">
        <f>HYPERLINK("https://worldwide.espacenet.com/publicationDetails/biblio?II=57&amp;ND=3&amp;adjacent=true&amp;locale=en_EP&amp;FT=D&amp;date=20180313&amp;CC=CN&amp;NR=107796551A&amp;KC=A")</f>
        <v>https://worldwide.espacenet.com/publicationDetails/biblio?II=57&amp;ND=3&amp;adjacent=true&amp;locale=en_EP&amp;FT=D&amp;date=20180313&amp;CC=CN&amp;NR=107796551A&amp;KC=A</v>
      </c>
    </row>
    <row r="2383" spans="3:5" x14ac:dyDescent="0.25">
      <c r="C2383" t="s">
        <v>3267</v>
      </c>
      <c r="D2383" t="s">
        <v>3268</v>
      </c>
      <c r="E2383" t="str">
        <f>HYPERLINK("https://worldwide.espacenet.com/publicationDetails/biblio?II=58&amp;ND=3&amp;adjacent=true&amp;locale=en_EP&amp;FT=D&amp;date=20180302&amp;CC=CN&amp;NR=207056917U&amp;KC=U")</f>
        <v>https://worldwide.espacenet.com/publicationDetails/biblio?II=58&amp;ND=3&amp;adjacent=true&amp;locale=en_EP&amp;FT=D&amp;date=20180302&amp;CC=CN&amp;NR=207056917U&amp;KC=U</v>
      </c>
    </row>
    <row r="2384" spans="3:5" x14ac:dyDescent="0.25">
      <c r="C2384" t="s">
        <v>3991</v>
      </c>
      <c r="D2384" t="s">
        <v>3992</v>
      </c>
      <c r="E2384" t="str">
        <f>HYPERLINK("https://worldwide.espacenet.com/publicationDetails/biblio?II=59&amp;ND=3&amp;adjacent=true&amp;locale=en_EP&amp;FT=D&amp;date=20180223&amp;CC=CN&amp;NR=207027198U&amp;KC=U")</f>
        <v>https://worldwide.espacenet.com/publicationDetails/biblio?II=59&amp;ND=3&amp;adjacent=true&amp;locale=en_EP&amp;FT=D&amp;date=20180223&amp;CC=CN&amp;NR=207027198U&amp;KC=U</v>
      </c>
    </row>
    <row r="2385" spans="3:5" x14ac:dyDescent="0.25">
      <c r="C2385" t="s">
        <v>439</v>
      </c>
      <c r="D2385" t="s">
        <v>440</v>
      </c>
      <c r="E2385" t="str">
        <f>HYPERLINK("https://worldwide.espacenet.com/publicationDetails/biblio?II=60&amp;ND=3&amp;adjacent=true&amp;locale=en_EP&amp;FT=D&amp;date=20180216&amp;CC=CN&amp;NR=207013713U&amp;KC=U")</f>
        <v>https://worldwide.espacenet.com/publicationDetails/biblio?II=60&amp;ND=3&amp;adjacent=true&amp;locale=en_EP&amp;FT=D&amp;date=20180216&amp;CC=CN&amp;NR=207013713U&amp;KC=U</v>
      </c>
    </row>
    <row r="2386" spans="3:5" x14ac:dyDescent="0.25">
      <c r="C2386" t="s">
        <v>441</v>
      </c>
      <c r="D2386" t="s">
        <v>442</v>
      </c>
      <c r="E2386" t="str">
        <f>HYPERLINK("https://worldwide.espacenet.com/publicationDetails/biblio?II=61&amp;ND=3&amp;adjacent=true&amp;locale=en_EP&amp;FT=D&amp;date=20180216&amp;CC=CN&amp;NR=207014351U&amp;KC=U")</f>
        <v>https://worldwide.espacenet.com/publicationDetails/biblio?II=61&amp;ND=3&amp;adjacent=true&amp;locale=en_EP&amp;FT=D&amp;date=20180216&amp;CC=CN&amp;NR=207014351U&amp;KC=U</v>
      </c>
    </row>
    <row r="2387" spans="3:5" x14ac:dyDescent="0.25">
      <c r="C2387" t="s">
        <v>443</v>
      </c>
      <c r="D2387" t="s">
        <v>444</v>
      </c>
      <c r="E2387" t="str">
        <f>HYPERLINK("https://worldwide.espacenet.com/publicationDetails/biblio?II=62&amp;ND=3&amp;adjacent=true&amp;locale=en_EP&amp;FT=D&amp;date=20180216&amp;CC=CN&amp;NR=207013711U&amp;KC=U")</f>
        <v>https://worldwide.espacenet.com/publicationDetails/biblio?II=62&amp;ND=3&amp;adjacent=true&amp;locale=en_EP&amp;FT=D&amp;date=20180216&amp;CC=CN&amp;NR=207013711U&amp;KC=U</v>
      </c>
    </row>
    <row r="2388" spans="3:5" x14ac:dyDescent="0.25">
      <c r="C2388" t="s">
        <v>3930</v>
      </c>
      <c r="D2388" t="s">
        <v>3993</v>
      </c>
      <c r="E2388" t="str">
        <f>HYPERLINK("https://worldwide.espacenet.com/publicationDetails/biblio?II=63&amp;ND=3&amp;adjacent=true&amp;locale=en_EP&amp;FT=D&amp;date=20180213&amp;CC=CN&amp;NR=207000789U&amp;KC=U")</f>
        <v>https://worldwide.espacenet.com/publicationDetails/biblio?II=63&amp;ND=3&amp;adjacent=true&amp;locale=en_EP&amp;FT=D&amp;date=20180213&amp;CC=CN&amp;NR=207000789U&amp;KC=U</v>
      </c>
    </row>
    <row r="2389" spans="3:5" x14ac:dyDescent="0.25">
      <c r="C2389" t="s">
        <v>473</v>
      </c>
      <c r="D2389" t="s">
        <v>474</v>
      </c>
      <c r="E2389" t="str">
        <f>HYPERLINK("https://worldwide.espacenet.com/publicationDetails/biblio?II=64&amp;ND=3&amp;adjacent=true&amp;locale=en_EP&amp;FT=D&amp;date=20180206&amp;CC=CN&amp;NR=206968889U&amp;KC=U")</f>
        <v>https://worldwide.espacenet.com/publicationDetails/biblio?II=64&amp;ND=3&amp;adjacent=true&amp;locale=en_EP&amp;FT=D&amp;date=20180206&amp;CC=CN&amp;NR=206968889U&amp;KC=U</v>
      </c>
    </row>
    <row r="2390" spans="3:5" x14ac:dyDescent="0.25">
      <c r="C2390" t="s">
        <v>3994</v>
      </c>
      <c r="D2390" t="s">
        <v>3995</v>
      </c>
      <c r="E2390" t="str">
        <f>HYPERLINK("https://worldwide.espacenet.com/publicationDetails/biblio?II=65&amp;ND=3&amp;adjacent=true&amp;locale=en_EP&amp;FT=D&amp;date=20180209&amp;CC=CN&amp;NR=206978647U&amp;KC=U")</f>
        <v>https://worldwide.espacenet.com/publicationDetails/biblio?II=65&amp;ND=3&amp;adjacent=true&amp;locale=en_EP&amp;FT=D&amp;date=20180209&amp;CC=CN&amp;NR=206978647U&amp;KC=U</v>
      </c>
    </row>
    <row r="2391" spans="3:5" x14ac:dyDescent="0.25">
      <c r="C2391" t="s">
        <v>3293</v>
      </c>
      <c r="D2391" t="s">
        <v>3294</v>
      </c>
      <c r="E2391" t="str">
        <f>HYPERLINK("https://worldwide.espacenet.com/publicationDetails/biblio?II=66&amp;ND=3&amp;adjacent=true&amp;locale=en_EP&amp;FT=D&amp;date=20180202&amp;CC=CN&amp;NR=206954342U&amp;KC=U")</f>
        <v>https://worldwide.espacenet.com/publicationDetails/biblio?II=66&amp;ND=3&amp;adjacent=true&amp;locale=en_EP&amp;FT=D&amp;date=20180202&amp;CC=CN&amp;NR=206954342U&amp;KC=U</v>
      </c>
    </row>
    <row r="2392" spans="3:5" x14ac:dyDescent="0.25">
      <c r="C2392" t="s">
        <v>3295</v>
      </c>
      <c r="D2392" t="s">
        <v>3296</v>
      </c>
      <c r="E2392" t="str">
        <f>HYPERLINK("https://worldwide.espacenet.com/publicationDetails/biblio?II=67&amp;ND=3&amp;adjacent=true&amp;locale=en_EP&amp;FT=D&amp;date=20180130&amp;CC=CN&amp;NR=206945009U&amp;KC=U")</f>
        <v>https://worldwide.espacenet.com/publicationDetails/biblio?II=67&amp;ND=3&amp;adjacent=true&amp;locale=en_EP&amp;FT=D&amp;date=20180130&amp;CC=CN&amp;NR=206945009U&amp;KC=U</v>
      </c>
    </row>
    <row r="2393" spans="3:5" x14ac:dyDescent="0.25">
      <c r="C2393" t="s">
        <v>3996</v>
      </c>
      <c r="D2393" t="s">
        <v>3997</v>
      </c>
      <c r="E2393" t="str">
        <f>HYPERLINK("https://worldwide.espacenet.com/publicationDetails/biblio?II=68&amp;ND=3&amp;adjacent=true&amp;locale=en_EP&amp;FT=D&amp;date=20180130&amp;CC=CN&amp;NR=206938905U&amp;KC=U")</f>
        <v>https://worldwide.espacenet.com/publicationDetails/biblio?II=68&amp;ND=3&amp;adjacent=true&amp;locale=en_EP&amp;FT=D&amp;date=20180130&amp;CC=CN&amp;NR=206938905U&amp;KC=U</v>
      </c>
    </row>
    <row r="2394" spans="3:5" x14ac:dyDescent="0.25">
      <c r="C2394" t="s">
        <v>3297</v>
      </c>
      <c r="D2394" t="s">
        <v>3298</v>
      </c>
      <c r="E2394" t="str">
        <f>HYPERLINK("https://worldwide.espacenet.com/publicationDetails/biblio?II=69&amp;ND=3&amp;adjacent=true&amp;locale=en_EP&amp;FT=D&amp;date=20180112&amp;CC=CN&amp;NR=206869915U&amp;KC=U")</f>
        <v>https://worldwide.espacenet.com/publicationDetails/biblio?II=69&amp;ND=3&amp;adjacent=true&amp;locale=en_EP&amp;FT=D&amp;date=20180112&amp;CC=CN&amp;NR=206869915U&amp;KC=U</v>
      </c>
    </row>
    <row r="2395" spans="3:5" x14ac:dyDescent="0.25">
      <c r="C2395" t="s">
        <v>3998</v>
      </c>
      <c r="D2395" t="s">
        <v>3999</v>
      </c>
      <c r="E2395" t="str">
        <f>HYPERLINK("https://worldwide.espacenet.com/publicationDetails/biblio?II=70&amp;ND=3&amp;adjacent=true&amp;locale=en_EP&amp;FT=D&amp;date=20180112&amp;CC=CN&amp;NR=206878545U&amp;KC=U")</f>
        <v>https://worldwide.espacenet.com/publicationDetails/biblio?II=70&amp;ND=3&amp;adjacent=true&amp;locale=en_EP&amp;FT=D&amp;date=20180112&amp;CC=CN&amp;NR=206878545U&amp;KC=U</v>
      </c>
    </row>
    <row r="2396" spans="3:5" x14ac:dyDescent="0.25">
      <c r="C2396" t="s">
        <v>532</v>
      </c>
      <c r="D2396" t="s">
        <v>533</v>
      </c>
      <c r="E2396" t="str">
        <f>HYPERLINK("https://worldwide.espacenet.com/publicationDetails/biblio?II=71&amp;ND=3&amp;adjacent=true&amp;locale=en_EP&amp;FT=D&amp;date=20180306&amp;CC=CN&amp;NR=107757737A&amp;KC=A")</f>
        <v>https://worldwide.espacenet.com/publicationDetails/biblio?II=71&amp;ND=3&amp;adjacent=true&amp;locale=en_EP&amp;FT=D&amp;date=20180306&amp;CC=CN&amp;NR=107757737A&amp;KC=A</v>
      </c>
    </row>
    <row r="2397" spans="3:5" x14ac:dyDescent="0.25">
      <c r="C2397" t="s">
        <v>4000</v>
      </c>
      <c r="D2397" t="s">
        <v>4001</v>
      </c>
      <c r="E2397" t="str">
        <f>HYPERLINK("https://worldwide.espacenet.com/publicationDetails/biblio?II=72&amp;ND=3&amp;adjacent=true&amp;locale=en_EP&amp;FT=D&amp;date=20180306&amp;CC=CN&amp;NR=107757739A&amp;KC=A")</f>
        <v>https://worldwide.espacenet.com/publicationDetails/biblio?II=72&amp;ND=3&amp;adjacent=true&amp;locale=en_EP&amp;FT=D&amp;date=20180306&amp;CC=CN&amp;NR=107757739A&amp;KC=A</v>
      </c>
    </row>
    <row r="2398" spans="3:5" x14ac:dyDescent="0.25">
      <c r="C2398" t="s">
        <v>4002</v>
      </c>
      <c r="D2398" t="s">
        <v>4003</v>
      </c>
      <c r="E2398" t="str">
        <f>HYPERLINK("https://worldwide.espacenet.com/publicationDetails/biblio?II=73&amp;ND=3&amp;adjacent=true&amp;locale=en_EP&amp;FT=D&amp;date=20180223&amp;CC=CN&amp;NR=107719500A&amp;KC=A")</f>
        <v>https://worldwide.espacenet.com/publicationDetails/biblio?II=73&amp;ND=3&amp;adjacent=true&amp;locale=en_EP&amp;FT=D&amp;date=20180223&amp;CC=CN&amp;NR=107719500A&amp;KC=A</v>
      </c>
    </row>
    <row r="2399" spans="3:5" x14ac:dyDescent="0.25">
      <c r="C2399" t="s">
        <v>3325</v>
      </c>
      <c r="D2399" t="s">
        <v>3326</v>
      </c>
      <c r="E2399" t="str">
        <f>HYPERLINK("https://worldwide.espacenet.com/publicationDetails/biblio?II=74&amp;ND=3&amp;adjacent=true&amp;locale=en_EP&amp;FT=D&amp;date=20180223&amp;CC=CN&amp;NR=107728635A&amp;KC=A")</f>
        <v>https://worldwide.espacenet.com/publicationDetails/biblio?II=74&amp;ND=3&amp;adjacent=true&amp;locale=en_EP&amp;FT=D&amp;date=20180223&amp;CC=CN&amp;NR=107728635A&amp;KC=A</v>
      </c>
    </row>
    <row r="2400" spans="3:5" x14ac:dyDescent="0.25">
      <c r="C2400" t="s">
        <v>549</v>
      </c>
      <c r="D2400" t="s">
        <v>550</v>
      </c>
      <c r="E2400" t="str">
        <f>HYPERLINK("https://worldwide.espacenet.com/publicationDetails/biblio?II=75&amp;ND=3&amp;adjacent=true&amp;locale=en_EP&amp;FT=D&amp;date=20180223&amp;CC=CN&amp;NR=107717942A&amp;KC=A")</f>
        <v>https://worldwide.espacenet.com/publicationDetails/biblio?II=75&amp;ND=3&amp;adjacent=true&amp;locale=en_EP&amp;FT=D&amp;date=20180223&amp;CC=CN&amp;NR=107717942A&amp;KC=A</v>
      </c>
    </row>
    <row r="2401" spans="3:5" x14ac:dyDescent="0.25">
      <c r="C2401" t="s">
        <v>4004</v>
      </c>
      <c r="D2401" t="s">
        <v>4005</v>
      </c>
      <c r="E2401" t="str">
        <f>HYPERLINK("https://worldwide.espacenet.com/publicationDetails/biblio?II=76&amp;ND=3&amp;adjacent=true&amp;locale=en_EP&amp;FT=D&amp;date=20180223&amp;CC=CN&amp;NR=107718037A&amp;KC=A")</f>
        <v>https://worldwide.espacenet.com/publicationDetails/biblio?II=76&amp;ND=3&amp;adjacent=true&amp;locale=en_EP&amp;FT=D&amp;date=20180223&amp;CC=CN&amp;NR=107718037A&amp;KC=A</v>
      </c>
    </row>
    <row r="2402" spans="3:5" x14ac:dyDescent="0.25">
      <c r="C2402" t="s">
        <v>4006</v>
      </c>
      <c r="D2402" t="s">
        <v>4007</v>
      </c>
      <c r="E2402" t="str">
        <f>HYPERLINK("https://worldwide.espacenet.com/publicationDetails/biblio?II=77&amp;ND=3&amp;adjacent=true&amp;locale=en_EP&amp;FT=D&amp;date=20180223&amp;CC=CN&amp;NR=107728585A&amp;KC=A")</f>
        <v>https://worldwide.espacenet.com/publicationDetails/biblio?II=77&amp;ND=3&amp;adjacent=true&amp;locale=en_EP&amp;FT=D&amp;date=20180223&amp;CC=CN&amp;NR=107728585A&amp;KC=A</v>
      </c>
    </row>
    <row r="2403" spans="3:5" x14ac:dyDescent="0.25">
      <c r="C2403" t="s">
        <v>564</v>
      </c>
      <c r="D2403" t="s">
        <v>565</v>
      </c>
      <c r="E2403" t="str">
        <f>HYPERLINK("https://worldwide.espacenet.com/publicationDetails/biblio?II=78&amp;ND=3&amp;adjacent=true&amp;locale=en_EP&amp;FT=D&amp;date=20180216&amp;CC=CN&amp;NR=107702691A&amp;KC=A")</f>
        <v>https://worldwide.espacenet.com/publicationDetails/biblio?II=78&amp;ND=3&amp;adjacent=true&amp;locale=en_EP&amp;FT=D&amp;date=20180216&amp;CC=CN&amp;NR=107702691A&amp;KC=A</v>
      </c>
    </row>
    <row r="2404" spans="3:5" x14ac:dyDescent="0.25">
      <c r="C2404" t="s">
        <v>4008</v>
      </c>
      <c r="D2404" t="s">
        <v>4009</v>
      </c>
      <c r="E2404" t="str">
        <f>HYPERLINK("https://worldwide.espacenet.com/publicationDetails/biblio?II=79&amp;ND=3&amp;adjacent=true&amp;locale=en_EP&amp;FT=D&amp;date=20180216&amp;CC=CN&amp;NR=107697179A&amp;KC=A")</f>
        <v>https://worldwide.espacenet.com/publicationDetails/biblio?II=79&amp;ND=3&amp;adjacent=true&amp;locale=en_EP&amp;FT=D&amp;date=20180216&amp;CC=CN&amp;NR=107697179A&amp;KC=A</v>
      </c>
    </row>
    <row r="2405" spans="3:5" x14ac:dyDescent="0.25">
      <c r="C2405" t="s">
        <v>576</v>
      </c>
      <c r="D2405" t="s">
        <v>577</v>
      </c>
      <c r="E2405" t="str">
        <f>HYPERLINK("https://worldwide.espacenet.com/publicationDetails/biblio?II=80&amp;ND=3&amp;adjacent=true&amp;locale=en_EP&amp;FT=D&amp;date=20180213&amp;CC=CN&amp;NR=107685325A&amp;KC=A")</f>
        <v>https://worldwide.espacenet.com/publicationDetails/biblio?II=80&amp;ND=3&amp;adjacent=true&amp;locale=en_EP&amp;FT=D&amp;date=20180213&amp;CC=CN&amp;NR=107685325A&amp;KC=A</v>
      </c>
    </row>
    <row r="2406" spans="3:5" x14ac:dyDescent="0.25">
      <c r="C2406" t="s">
        <v>4010</v>
      </c>
      <c r="D2406" t="s">
        <v>4011</v>
      </c>
      <c r="E2406" t="str">
        <f>HYPERLINK("https://worldwide.espacenet.com/publicationDetails/biblio?II=81&amp;ND=3&amp;adjacent=true&amp;locale=en_EP&amp;FT=D&amp;date=20180209&amp;CC=CN&amp;NR=107671896A&amp;KC=A")</f>
        <v>https://worldwide.espacenet.com/publicationDetails/biblio?II=81&amp;ND=3&amp;adjacent=true&amp;locale=en_EP&amp;FT=D&amp;date=20180209&amp;CC=CN&amp;NR=107671896A&amp;KC=A</v>
      </c>
    </row>
    <row r="2407" spans="3:5" x14ac:dyDescent="0.25">
      <c r="C2407" t="s">
        <v>586</v>
      </c>
      <c r="D2407" t="s">
        <v>587</v>
      </c>
      <c r="E2407" t="str">
        <f>HYPERLINK("https://worldwide.espacenet.com/publicationDetails/biblio?II=82&amp;ND=3&amp;adjacent=true&amp;locale=en_EP&amp;FT=D&amp;date=20180209&amp;CC=CN&amp;NR=107679019A&amp;KC=A")</f>
        <v>https://worldwide.espacenet.com/publicationDetails/biblio?II=82&amp;ND=3&amp;adjacent=true&amp;locale=en_EP&amp;FT=D&amp;date=20180209&amp;CC=CN&amp;NR=107679019A&amp;KC=A</v>
      </c>
    </row>
    <row r="2408" spans="3:5" x14ac:dyDescent="0.25">
      <c r="C2408" t="s">
        <v>4012</v>
      </c>
      <c r="D2408" t="s">
        <v>4013</v>
      </c>
      <c r="E2408" t="str">
        <f>HYPERLINK("https://worldwide.espacenet.com/publicationDetails/biblio?II=83&amp;ND=3&amp;adjacent=true&amp;locale=en_EP&amp;FT=D&amp;date=20180202&amp;CC=CN&amp;NR=107651030A&amp;KC=A")</f>
        <v>https://worldwide.espacenet.com/publicationDetails/biblio?II=83&amp;ND=3&amp;adjacent=true&amp;locale=en_EP&amp;FT=D&amp;date=20180202&amp;CC=CN&amp;NR=107651030A&amp;KC=A</v>
      </c>
    </row>
    <row r="2409" spans="3:5" x14ac:dyDescent="0.25">
      <c r="C2409" t="s">
        <v>4014</v>
      </c>
      <c r="D2409" t="s">
        <v>4015</v>
      </c>
      <c r="E2409" t="str">
        <f>HYPERLINK("https://worldwide.espacenet.com/publicationDetails/biblio?II=84&amp;ND=3&amp;adjacent=true&amp;locale=en_EP&amp;FT=D&amp;date=20180126&amp;CC=CN&amp;NR=107627293A&amp;KC=A")</f>
        <v>https://worldwide.espacenet.com/publicationDetails/biblio?II=84&amp;ND=3&amp;adjacent=true&amp;locale=en_EP&amp;FT=D&amp;date=20180126&amp;CC=CN&amp;NR=107627293A&amp;KC=A</v>
      </c>
    </row>
    <row r="2410" spans="3:5" x14ac:dyDescent="0.25">
      <c r="C2410" t="s">
        <v>594</v>
      </c>
      <c r="D2410" t="s">
        <v>595</v>
      </c>
      <c r="E2410" t="str">
        <f>HYPERLINK("https://worldwide.espacenet.com/publicationDetails/biblio?II=85&amp;ND=3&amp;adjacent=true&amp;locale=en_EP&amp;FT=D&amp;date=20180130&amp;CC=CN&amp;NR=107642587A&amp;KC=A")</f>
        <v>https://worldwide.espacenet.com/publicationDetails/biblio?II=85&amp;ND=3&amp;adjacent=true&amp;locale=en_EP&amp;FT=D&amp;date=20180130&amp;CC=CN&amp;NR=107642587A&amp;KC=A</v>
      </c>
    </row>
    <row r="2411" spans="3:5" x14ac:dyDescent="0.25">
      <c r="C2411" t="s">
        <v>602</v>
      </c>
      <c r="D2411" t="s">
        <v>603</v>
      </c>
      <c r="E2411" t="str">
        <f>HYPERLINK("https://worldwide.espacenet.com/publicationDetails/biblio?II=86&amp;ND=3&amp;adjacent=true&amp;locale=en_EP&amp;FT=D&amp;date=20180122&amp;CC=KR&amp;NR=20180007208A&amp;KC=A")</f>
        <v>https://worldwide.espacenet.com/publicationDetails/biblio?II=86&amp;ND=3&amp;adjacent=true&amp;locale=en_EP&amp;FT=D&amp;date=20180122&amp;CC=KR&amp;NR=20180007208A&amp;KC=A</v>
      </c>
    </row>
    <row r="2412" spans="3:5" x14ac:dyDescent="0.25">
      <c r="C2412" t="s">
        <v>3360</v>
      </c>
      <c r="D2412" t="s">
        <v>3361</v>
      </c>
      <c r="E2412" t="str">
        <f>HYPERLINK("https://worldwide.espacenet.com/publicationDetails/biblio?II=87&amp;ND=3&amp;adjacent=true&amp;locale=en_EP&amp;FT=D&amp;date=20180123&amp;CC=CN&amp;NR=107621333A&amp;KC=A")</f>
        <v>https://worldwide.espacenet.com/publicationDetails/biblio?II=87&amp;ND=3&amp;adjacent=true&amp;locale=en_EP&amp;FT=D&amp;date=20180123&amp;CC=CN&amp;NR=107621333A&amp;KC=A</v>
      </c>
    </row>
    <row r="2413" spans="3:5" x14ac:dyDescent="0.25">
      <c r="C2413" t="s">
        <v>4016</v>
      </c>
      <c r="D2413" t="s">
        <v>4017</v>
      </c>
      <c r="E2413" t="str">
        <f>HYPERLINK("https://worldwide.espacenet.com/publicationDetails/biblio?II=88&amp;ND=3&amp;adjacent=true&amp;locale=en_EP&amp;FT=D&amp;date=20180130&amp;CC=KR&amp;NR=20180009834A&amp;KC=A")</f>
        <v>https://worldwide.espacenet.com/publicationDetails/biblio?II=88&amp;ND=3&amp;adjacent=true&amp;locale=en_EP&amp;FT=D&amp;date=20180130&amp;CC=KR&amp;NR=20180009834A&amp;KC=A</v>
      </c>
    </row>
    <row r="2414" spans="3:5" x14ac:dyDescent="0.25">
      <c r="C2414" t="s">
        <v>4018</v>
      </c>
      <c r="D2414" t="s">
        <v>4019</v>
      </c>
      <c r="E2414" t="str">
        <f>HYPERLINK("https://worldwide.espacenet.com/publicationDetails/biblio?II=89&amp;ND=3&amp;adjacent=true&amp;locale=en_EP&amp;FT=D&amp;date=20180111&amp;CC=KR&amp;NR=20180004397A&amp;KC=A")</f>
        <v>https://worldwide.espacenet.com/publicationDetails/biblio?II=89&amp;ND=3&amp;adjacent=true&amp;locale=en_EP&amp;FT=D&amp;date=20180111&amp;CC=KR&amp;NR=20180004397A&amp;KC=A</v>
      </c>
    </row>
    <row r="2415" spans="3:5" x14ac:dyDescent="0.25">
      <c r="C2415" t="s">
        <v>4020</v>
      </c>
      <c r="D2415" t="s">
        <v>4021</v>
      </c>
      <c r="E2415" t="str">
        <f>HYPERLINK("https://worldwide.espacenet.com/publicationDetails/biblio?II=90&amp;ND=3&amp;adjacent=true&amp;locale=en_EP&amp;FT=D&amp;date=20180125&amp;CC=US&amp;NR=2018022197A1&amp;KC=A1")</f>
        <v>https://worldwide.espacenet.com/publicationDetails/biblio?II=90&amp;ND=3&amp;adjacent=true&amp;locale=en_EP&amp;FT=D&amp;date=20180125&amp;CC=US&amp;NR=2018022197A1&amp;KC=A1</v>
      </c>
    </row>
    <row r="2416" spans="3:5" x14ac:dyDescent="0.25">
      <c r="C2416" t="s">
        <v>3838</v>
      </c>
      <c r="D2416" t="s">
        <v>4022</v>
      </c>
      <c r="E2416" t="str">
        <f>HYPERLINK("https://worldwide.espacenet.com/publicationDetails/biblio?II=91&amp;ND=3&amp;adjacent=true&amp;locale=en_EP&amp;FT=D&amp;date=20180109&amp;CC=CN&amp;NR=107552670A&amp;KC=A")</f>
        <v>https://worldwide.espacenet.com/publicationDetails/biblio?II=91&amp;ND=3&amp;adjacent=true&amp;locale=en_EP&amp;FT=D&amp;date=20180109&amp;CC=CN&amp;NR=107552670A&amp;KC=A</v>
      </c>
    </row>
    <row r="2417" spans="3:5" x14ac:dyDescent="0.25">
      <c r="C2417" t="s">
        <v>4023</v>
      </c>
      <c r="D2417" t="s">
        <v>4024</v>
      </c>
      <c r="E2417" t="str">
        <f>HYPERLINK("https://worldwide.espacenet.com/publicationDetails/biblio?II=92&amp;ND=3&amp;adjacent=true&amp;locale=en_EP&amp;FT=D&amp;date=20180109&amp;CC=CN&amp;NR=107554639A&amp;KC=A")</f>
        <v>https://worldwide.espacenet.com/publicationDetails/biblio?II=92&amp;ND=3&amp;adjacent=true&amp;locale=en_EP&amp;FT=D&amp;date=20180109&amp;CC=CN&amp;NR=107554639A&amp;KC=A</v>
      </c>
    </row>
    <row r="2418" spans="3:5" x14ac:dyDescent="0.25">
      <c r="C2418" t="s">
        <v>4025</v>
      </c>
      <c r="D2418" t="s">
        <v>4026</v>
      </c>
      <c r="E2418" t="str">
        <f>HYPERLINK("https://worldwide.espacenet.com/publicationDetails/biblio?II=93&amp;ND=3&amp;adjacent=true&amp;locale=en_EP&amp;FT=D&amp;date=20180105&amp;CC=CN&amp;NR=107546822A&amp;KC=A")</f>
        <v>https://worldwide.espacenet.com/publicationDetails/biblio?II=93&amp;ND=3&amp;adjacent=true&amp;locale=en_EP&amp;FT=D&amp;date=20180105&amp;CC=CN&amp;NR=107546822A&amp;KC=A</v>
      </c>
    </row>
    <row r="2419" spans="3:5" x14ac:dyDescent="0.25">
      <c r="C2419" t="s">
        <v>683</v>
      </c>
      <c r="D2419" t="s">
        <v>684</v>
      </c>
      <c r="E2419" t="str">
        <f>HYPERLINK("https://worldwide.espacenet.com/publicationDetails/biblio?II=94&amp;ND=3&amp;adjacent=true&amp;locale=en_EP&amp;FT=D&amp;date=20180109&amp;CC=CN&amp;NR=206854288U&amp;KC=U")</f>
        <v>https://worldwide.espacenet.com/publicationDetails/biblio?II=94&amp;ND=3&amp;adjacent=true&amp;locale=en_EP&amp;FT=D&amp;date=20180109&amp;CC=CN&amp;NR=206854288U&amp;KC=U</v>
      </c>
    </row>
    <row r="2420" spans="3:5" x14ac:dyDescent="0.25">
      <c r="C2420" t="s">
        <v>685</v>
      </c>
      <c r="D2420" t="s">
        <v>686</v>
      </c>
      <c r="E2420" t="str">
        <f>HYPERLINK("https://worldwide.espacenet.com/publicationDetails/biblio?II=95&amp;ND=3&amp;adjacent=true&amp;locale=en_EP&amp;FT=D&amp;date=20180109&amp;CC=CN&amp;NR=206863590U&amp;KC=U")</f>
        <v>https://worldwide.espacenet.com/publicationDetails/biblio?II=95&amp;ND=3&amp;adjacent=true&amp;locale=en_EP&amp;FT=D&amp;date=20180109&amp;CC=CN&amp;NR=206863590U&amp;KC=U</v>
      </c>
    </row>
    <row r="2421" spans="3:5" x14ac:dyDescent="0.25">
      <c r="C2421" t="s">
        <v>705</v>
      </c>
      <c r="D2421" t="s">
        <v>706</v>
      </c>
      <c r="E2421" t="str">
        <f>HYPERLINK("https://worldwide.espacenet.com/publicationDetails/biblio?II=96&amp;ND=3&amp;adjacent=true&amp;locale=en_EP&amp;FT=D&amp;date=20180105&amp;CC=CN&amp;NR=206841563U&amp;KC=U")</f>
        <v>https://worldwide.espacenet.com/publicationDetails/biblio?II=96&amp;ND=3&amp;adjacent=true&amp;locale=en_EP&amp;FT=D&amp;date=20180105&amp;CC=CN&amp;NR=206841563U&amp;KC=U</v>
      </c>
    </row>
    <row r="2422" spans="3:5" x14ac:dyDescent="0.25">
      <c r="C2422" t="s">
        <v>4027</v>
      </c>
      <c r="D2422" t="s">
        <v>4028</v>
      </c>
      <c r="E2422" t="str">
        <f>HYPERLINK("https://worldwide.espacenet.com/publicationDetails/biblio?II=97&amp;ND=3&amp;adjacent=true&amp;locale=en_EP&amp;FT=D&amp;date=20180102&amp;CC=CN&amp;NR=206825468U&amp;KC=U")</f>
        <v>https://worldwide.espacenet.com/publicationDetails/biblio?II=97&amp;ND=3&amp;adjacent=true&amp;locale=en_EP&amp;FT=D&amp;date=20180102&amp;CC=CN&amp;NR=206825468U&amp;KC=U</v>
      </c>
    </row>
    <row r="2423" spans="3:5" x14ac:dyDescent="0.25">
      <c r="C2423" t="s">
        <v>1354</v>
      </c>
      <c r="D2423" t="s">
        <v>4029</v>
      </c>
      <c r="E2423" t="str">
        <f>HYPERLINK("https://worldwide.espacenet.com/publicationDetails/biblio?II=98&amp;ND=3&amp;adjacent=true&amp;locale=en_EP&amp;FT=D&amp;date=20171226&amp;CC=CN&amp;NR=107512324A&amp;KC=A")</f>
        <v>https://worldwide.espacenet.com/publicationDetails/biblio?II=98&amp;ND=3&amp;adjacent=true&amp;locale=en_EP&amp;FT=D&amp;date=20171226&amp;CC=CN&amp;NR=107512324A&amp;KC=A</v>
      </c>
    </row>
    <row r="2424" spans="3:5" x14ac:dyDescent="0.25">
      <c r="C2424" t="s">
        <v>735</v>
      </c>
      <c r="D2424" t="s">
        <v>736</v>
      </c>
      <c r="E2424" t="str">
        <f>HYPERLINK("https://worldwide.espacenet.com/publicationDetails/biblio?II=99&amp;ND=3&amp;adjacent=true&amp;locale=en_EP&amp;FT=D&amp;date=20171222&amp;CC=CN&amp;NR=107499393A&amp;KC=A")</f>
        <v>https://worldwide.espacenet.com/publicationDetails/biblio?II=99&amp;ND=3&amp;adjacent=true&amp;locale=en_EP&amp;FT=D&amp;date=20171222&amp;CC=CN&amp;NR=107499393A&amp;KC=A</v>
      </c>
    </row>
    <row r="2425" spans="3:5" x14ac:dyDescent="0.25">
      <c r="C2425" t="s">
        <v>3404</v>
      </c>
      <c r="D2425" t="s">
        <v>3405</v>
      </c>
      <c r="E2425" t="str">
        <f>HYPERLINK("https://worldwide.espacenet.com/publicationDetails/biblio?II=100&amp;ND=3&amp;adjacent=true&amp;locale=en_EP&amp;FT=D&amp;date=20171221&amp;CC=US&amp;NR=2017360512A1&amp;KC=A1")</f>
        <v>https://worldwide.espacenet.com/publicationDetails/biblio?II=100&amp;ND=3&amp;adjacent=true&amp;locale=en_EP&amp;FT=D&amp;date=20171221&amp;CC=US&amp;NR=2017360512A1&amp;KC=A1</v>
      </c>
    </row>
    <row r="2426" spans="3:5" x14ac:dyDescent="0.25">
      <c r="C2426" t="s">
        <v>739</v>
      </c>
      <c r="D2426" t="s">
        <v>740</v>
      </c>
      <c r="E2426" t="str">
        <f>HYPERLINK("https://worldwide.espacenet.com/publicationDetails/biblio?II=101&amp;ND=3&amp;adjacent=true&amp;locale=en_EP&amp;FT=D&amp;date=20171219&amp;CC=CN&amp;NR=206764791U&amp;KC=U")</f>
        <v>https://worldwide.espacenet.com/publicationDetails/biblio?II=101&amp;ND=3&amp;adjacent=true&amp;locale=en_EP&amp;FT=D&amp;date=20171219&amp;CC=CN&amp;NR=206764791U&amp;KC=U</v>
      </c>
    </row>
    <row r="2427" spans="3:5" x14ac:dyDescent="0.25">
      <c r="C2427" t="s">
        <v>111</v>
      </c>
      <c r="D2427" t="s">
        <v>747</v>
      </c>
      <c r="E2427" t="str">
        <f>HYPERLINK("https://worldwide.espacenet.com/publicationDetails/biblio?II=102&amp;ND=3&amp;adjacent=true&amp;locale=en_EP&amp;FT=D&amp;date=20171219&amp;CC=CN&amp;NR=206766003U&amp;KC=U")</f>
        <v>https://worldwide.espacenet.com/publicationDetails/biblio?II=102&amp;ND=3&amp;adjacent=true&amp;locale=en_EP&amp;FT=D&amp;date=20171219&amp;CC=CN&amp;NR=206766003U&amp;KC=U</v>
      </c>
    </row>
    <row r="2428" spans="3:5" x14ac:dyDescent="0.25">
      <c r="C2428" t="s">
        <v>752</v>
      </c>
      <c r="D2428" t="s">
        <v>753</v>
      </c>
      <c r="E2428" t="str">
        <f>HYPERLINK("https://worldwide.espacenet.com/publicationDetails/biblio?II=103&amp;ND=3&amp;adjacent=true&amp;locale=en_EP&amp;FT=D&amp;date=20171215&amp;CC=CN&amp;NR=206748440U&amp;KC=U")</f>
        <v>https://worldwide.espacenet.com/publicationDetails/biblio?II=103&amp;ND=3&amp;adjacent=true&amp;locale=en_EP&amp;FT=D&amp;date=20171215&amp;CC=CN&amp;NR=206748440U&amp;KC=U</v>
      </c>
    </row>
    <row r="2429" spans="3:5" x14ac:dyDescent="0.25">
      <c r="C2429" t="s">
        <v>4030</v>
      </c>
      <c r="D2429" t="s">
        <v>4031</v>
      </c>
      <c r="E2429" t="str">
        <f>HYPERLINK("https://worldwide.espacenet.com/publicationDetails/biblio?II=104&amp;ND=3&amp;adjacent=true&amp;locale=en_EP&amp;FT=D&amp;date=20171215&amp;CC=CN&amp;NR=206757396U&amp;KC=U")</f>
        <v>https://worldwide.espacenet.com/publicationDetails/biblio?II=104&amp;ND=3&amp;adjacent=true&amp;locale=en_EP&amp;FT=D&amp;date=20171215&amp;CC=CN&amp;NR=206757396U&amp;KC=U</v>
      </c>
    </row>
    <row r="2430" spans="3:5" x14ac:dyDescent="0.25">
      <c r="C2430" t="s">
        <v>4032</v>
      </c>
      <c r="D2430" t="s">
        <v>4033</v>
      </c>
      <c r="E2430" t="str">
        <f>HYPERLINK("https://worldwide.espacenet.com/publicationDetails/biblio?II=105&amp;ND=3&amp;adjacent=true&amp;locale=en_EP&amp;FT=D&amp;date=20171215&amp;CC=CN&amp;NR=107468183A&amp;KC=A")</f>
        <v>https://worldwide.espacenet.com/publicationDetails/biblio?II=105&amp;ND=3&amp;adjacent=true&amp;locale=en_EP&amp;FT=D&amp;date=20171215&amp;CC=CN&amp;NR=107468183A&amp;KC=A</v>
      </c>
    </row>
    <row r="2431" spans="3:5" x14ac:dyDescent="0.25">
      <c r="C2431" t="s">
        <v>4034</v>
      </c>
      <c r="D2431" t="s">
        <v>4035</v>
      </c>
      <c r="E2431" t="str">
        <f>HYPERLINK("https://worldwide.espacenet.com/publicationDetails/biblio?II=106&amp;ND=3&amp;adjacent=true&amp;locale=en_EP&amp;FT=D&amp;date=20171214&amp;CC=US&amp;NR=2017357272A1&amp;KC=A1")</f>
        <v>https://worldwide.espacenet.com/publicationDetails/biblio?II=106&amp;ND=3&amp;adjacent=true&amp;locale=en_EP&amp;FT=D&amp;date=20171214&amp;CC=US&amp;NR=2017357272A1&amp;KC=A1</v>
      </c>
    </row>
    <row r="2432" spans="3:5" x14ac:dyDescent="0.25">
      <c r="C2432" t="s">
        <v>1131</v>
      </c>
      <c r="D2432" t="s">
        <v>3426</v>
      </c>
      <c r="E2432" t="str">
        <f>HYPERLINK("https://worldwide.espacenet.com/publicationDetails/biblio?II=107&amp;ND=3&amp;adjacent=true&amp;locale=en_EP&amp;FT=D&amp;date=20171208&amp;CC=CN&amp;NR=107443390A&amp;KC=A")</f>
        <v>https://worldwide.espacenet.com/publicationDetails/biblio?II=107&amp;ND=3&amp;adjacent=true&amp;locale=en_EP&amp;FT=D&amp;date=20171208&amp;CC=CN&amp;NR=107443390A&amp;KC=A</v>
      </c>
    </row>
    <row r="2433" spans="3:5" x14ac:dyDescent="0.25">
      <c r="C2433" t="s">
        <v>794</v>
      </c>
      <c r="D2433" t="s">
        <v>795</v>
      </c>
      <c r="E2433" t="str">
        <f>HYPERLINK("https://worldwide.espacenet.com/publicationDetails/biblio?II=108&amp;ND=3&amp;adjacent=true&amp;locale=en_EP&amp;FT=D&amp;date=20171205&amp;CC=CN&amp;NR=206704343U&amp;KC=U")</f>
        <v>https://worldwide.espacenet.com/publicationDetails/biblio?II=108&amp;ND=3&amp;adjacent=true&amp;locale=en_EP&amp;FT=D&amp;date=20171205&amp;CC=CN&amp;NR=206704343U&amp;KC=U</v>
      </c>
    </row>
    <row r="2434" spans="3:5" x14ac:dyDescent="0.25">
      <c r="C2434" t="s">
        <v>804</v>
      </c>
      <c r="D2434" t="s">
        <v>805</v>
      </c>
      <c r="E2434" t="str">
        <f>HYPERLINK("https://worldwide.espacenet.com/publicationDetails/biblio?II=109&amp;ND=3&amp;adjacent=true&amp;locale=en_EP&amp;FT=D&amp;date=20171201&amp;CC=CN&amp;NR=206690137U&amp;KC=U")</f>
        <v>https://worldwide.espacenet.com/publicationDetails/biblio?II=109&amp;ND=3&amp;adjacent=true&amp;locale=en_EP&amp;FT=D&amp;date=20171201&amp;CC=CN&amp;NR=206690137U&amp;KC=U</v>
      </c>
    </row>
    <row r="2435" spans="3:5" x14ac:dyDescent="0.25">
      <c r="C2435" t="s">
        <v>818</v>
      </c>
      <c r="D2435" t="s">
        <v>819</v>
      </c>
      <c r="E2435" t="str">
        <f>HYPERLINK("https://worldwide.espacenet.com/publicationDetails/biblio?II=110&amp;ND=3&amp;adjacent=true&amp;locale=en_EP&amp;FT=D&amp;date=20171201&amp;CC=CN&amp;NR=107414781A&amp;KC=A")</f>
        <v>https://worldwide.espacenet.com/publicationDetails/biblio?II=110&amp;ND=3&amp;adjacent=true&amp;locale=en_EP&amp;FT=D&amp;date=20171201&amp;CC=CN&amp;NR=107414781A&amp;KC=A</v>
      </c>
    </row>
    <row r="2436" spans="3:5" x14ac:dyDescent="0.25">
      <c r="C2436" t="s">
        <v>3433</v>
      </c>
      <c r="D2436" t="s">
        <v>3434</v>
      </c>
      <c r="E2436" t="str">
        <f>HYPERLINK("https://worldwide.espacenet.com/publicationDetails/biblio?II=111&amp;ND=3&amp;adjacent=true&amp;locale=en_EP&amp;FT=D&amp;date=20171201&amp;CC=CN&amp;NR=107414823A&amp;KC=A")</f>
        <v>https://worldwide.espacenet.com/publicationDetails/biblio?II=111&amp;ND=3&amp;adjacent=true&amp;locale=en_EP&amp;FT=D&amp;date=20171201&amp;CC=CN&amp;NR=107414823A&amp;KC=A</v>
      </c>
    </row>
    <row r="2437" spans="3:5" x14ac:dyDescent="0.25">
      <c r="C2437" t="s">
        <v>831</v>
      </c>
      <c r="D2437" t="s">
        <v>832</v>
      </c>
      <c r="E2437" t="str">
        <f>HYPERLINK("https://worldwide.espacenet.com/publicationDetails/biblio?II=112&amp;ND=3&amp;adjacent=true&amp;locale=en_EP&amp;FT=D&amp;date=20171128&amp;CC=CN&amp;NR=206679112U&amp;KC=U")</f>
        <v>https://worldwide.espacenet.com/publicationDetails/biblio?II=112&amp;ND=3&amp;adjacent=true&amp;locale=en_EP&amp;FT=D&amp;date=20171128&amp;CC=CN&amp;NR=206679112U&amp;KC=U</v>
      </c>
    </row>
    <row r="2438" spans="3:5" x14ac:dyDescent="0.25">
      <c r="C2438" t="s">
        <v>4036</v>
      </c>
      <c r="D2438" t="s">
        <v>4037</v>
      </c>
      <c r="E2438" t="str">
        <f>HYPERLINK("https://worldwide.espacenet.com/publicationDetails/biblio?II=113&amp;ND=3&amp;adjacent=true&amp;locale=en_EP&amp;FT=D&amp;date=20171128&amp;CC=CN&amp;NR=206679841U&amp;KC=U")</f>
        <v>https://worldwide.espacenet.com/publicationDetails/biblio?II=113&amp;ND=3&amp;adjacent=true&amp;locale=en_EP&amp;FT=D&amp;date=20171128&amp;CC=CN&amp;NR=206679841U&amp;KC=U</v>
      </c>
    </row>
    <row r="2439" spans="3:5" x14ac:dyDescent="0.25">
      <c r="C2439" t="s">
        <v>4038</v>
      </c>
      <c r="D2439" t="s">
        <v>4039</v>
      </c>
      <c r="E2439" t="str">
        <f>HYPERLINK("https://worldwide.espacenet.com/publicationDetails/biblio?II=114&amp;ND=3&amp;adjacent=true&amp;locale=en_EP&amp;FT=D&amp;date=20171124&amp;CC=CN&amp;NR=206667156U&amp;KC=U")</f>
        <v>https://worldwide.espacenet.com/publicationDetails/biblio?II=114&amp;ND=3&amp;adjacent=true&amp;locale=en_EP&amp;FT=D&amp;date=20171124&amp;CC=CN&amp;NR=206667156U&amp;KC=U</v>
      </c>
    </row>
    <row r="2440" spans="3:5" x14ac:dyDescent="0.25">
      <c r="C2440" t="s">
        <v>4040</v>
      </c>
      <c r="D2440" t="s">
        <v>4041</v>
      </c>
      <c r="E2440" t="str">
        <f>HYPERLINK("https://worldwide.espacenet.com/publicationDetails/biblio?II=115&amp;ND=3&amp;adjacent=true&amp;locale=en_EP&amp;FT=D&amp;date=20171124&amp;CC=CN&amp;NR=206667890U&amp;KC=U")</f>
        <v>https://worldwide.espacenet.com/publicationDetails/biblio?II=115&amp;ND=3&amp;adjacent=true&amp;locale=en_EP&amp;FT=D&amp;date=20171124&amp;CC=CN&amp;NR=206667890U&amp;KC=U</v>
      </c>
    </row>
    <row r="2441" spans="3:5" x14ac:dyDescent="0.25">
      <c r="C2441" t="s">
        <v>847</v>
      </c>
      <c r="D2441" t="s">
        <v>848</v>
      </c>
      <c r="E2441" t="str">
        <f>HYPERLINK("https://worldwide.espacenet.com/publicationDetails/biblio?II=116&amp;ND=3&amp;adjacent=true&amp;locale=en_EP&amp;FT=D&amp;date=20171124&amp;CC=CN&amp;NR=206664791U&amp;KC=U")</f>
        <v>https://worldwide.espacenet.com/publicationDetails/biblio?II=116&amp;ND=3&amp;adjacent=true&amp;locale=en_EP&amp;FT=D&amp;date=20171124&amp;CC=CN&amp;NR=206664791U&amp;KC=U</v>
      </c>
    </row>
    <row r="2442" spans="3:5" x14ac:dyDescent="0.25">
      <c r="C2442" t="s">
        <v>849</v>
      </c>
      <c r="D2442" t="s">
        <v>850</v>
      </c>
      <c r="E2442" t="str">
        <f>HYPERLINK("https://worldwide.espacenet.com/publicationDetails/biblio?II=117&amp;ND=3&amp;adjacent=true&amp;locale=en_EP&amp;FT=D&amp;date=20171124&amp;CC=CN&amp;NR=107374911A&amp;KC=A")</f>
        <v>https://worldwide.espacenet.com/publicationDetails/biblio?II=117&amp;ND=3&amp;adjacent=true&amp;locale=en_EP&amp;FT=D&amp;date=20171124&amp;CC=CN&amp;NR=107374911A&amp;KC=A</v>
      </c>
    </row>
    <row r="2443" spans="3:5" x14ac:dyDescent="0.25">
      <c r="C2443" t="s">
        <v>4042</v>
      </c>
      <c r="D2443" t="s">
        <v>4043</v>
      </c>
      <c r="E2443" t="str">
        <f>HYPERLINK("https://worldwide.espacenet.com/publicationDetails/biblio?II=118&amp;ND=3&amp;adjacent=true&amp;locale=en_EP&amp;FT=D&amp;date=20171123&amp;CC=WO&amp;NR=2017197621A1&amp;KC=A1")</f>
        <v>https://worldwide.espacenet.com/publicationDetails/biblio?II=118&amp;ND=3&amp;adjacent=true&amp;locale=en_EP&amp;FT=D&amp;date=20171123&amp;CC=WO&amp;NR=2017197621A1&amp;KC=A1</v>
      </c>
    </row>
    <row r="2444" spans="3:5" x14ac:dyDescent="0.25">
      <c r="C2444" t="s">
        <v>4044</v>
      </c>
      <c r="D2444" t="s">
        <v>4045</v>
      </c>
      <c r="E2444" t="str">
        <f>HYPERLINK("https://worldwide.espacenet.com/publicationDetails/biblio?II=119&amp;ND=3&amp;adjacent=true&amp;locale=en_EP&amp;FT=D&amp;date=20171121&amp;CC=CN&amp;NR=206654177U&amp;KC=U")</f>
        <v>https://worldwide.espacenet.com/publicationDetails/biblio?II=119&amp;ND=3&amp;adjacent=true&amp;locale=en_EP&amp;FT=D&amp;date=20171121&amp;CC=CN&amp;NR=206654177U&amp;KC=U</v>
      </c>
    </row>
    <row r="2445" spans="3:5" x14ac:dyDescent="0.25">
      <c r="C2445" t="s">
        <v>855</v>
      </c>
      <c r="D2445" t="s">
        <v>856</v>
      </c>
      <c r="E2445" t="str">
        <f>HYPERLINK("https://worldwide.espacenet.com/publicationDetails/biblio?II=120&amp;ND=3&amp;adjacent=true&amp;locale=en_EP&amp;FT=D&amp;date=20171121&amp;CC=CN&amp;NR=107368081A&amp;KC=A")</f>
        <v>https://worldwide.espacenet.com/publicationDetails/biblio?II=120&amp;ND=3&amp;adjacent=true&amp;locale=en_EP&amp;FT=D&amp;date=20171121&amp;CC=CN&amp;NR=107368081A&amp;KC=A</v>
      </c>
    </row>
    <row r="2446" spans="3:5" x14ac:dyDescent="0.25">
      <c r="C2446" t="s">
        <v>4046</v>
      </c>
      <c r="D2446" t="s">
        <v>4047</v>
      </c>
      <c r="E2446" t="str">
        <f>HYPERLINK("https://worldwide.espacenet.com/publicationDetails/biblio?II=121&amp;ND=3&amp;adjacent=true&amp;locale=en_EP&amp;FT=D&amp;date=20171121&amp;CC=CN&amp;NR=107366001A&amp;KC=A")</f>
        <v>https://worldwide.espacenet.com/publicationDetails/biblio?II=121&amp;ND=3&amp;adjacent=true&amp;locale=en_EP&amp;FT=D&amp;date=20171121&amp;CC=CN&amp;NR=107366001A&amp;KC=A</v>
      </c>
    </row>
    <row r="2447" spans="3:5" x14ac:dyDescent="0.25">
      <c r="C2447" t="s">
        <v>3451</v>
      </c>
      <c r="D2447" t="s">
        <v>3452</v>
      </c>
      <c r="E2447" t="str">
        <f>HYPERLINK("https://worldwide.espacenet.com/publicationDetails/biblio?II=122&amp;ND=3&amp;adjacent=true&amp;locale=en_EP&amp;FT=D&amp;date=20171121&amp;CC=CN&amp;NR=107361845A&amp;KC=A")</f>
        <v>https://worldwide.espacenet.com/publicationDetails/biblio?II=122&amp;ND=3&amp;adjacent=true&amp;locale=en_EP&amp;FT=D&amp;date=20171121&amp;CC=CN&amp;NR=107361845A&amp;KC=A</v>
      </c>
    </row>
    <row r="2448" spans="3:5" x14ac:dyDescent="0.25">
      <c r="C2448" t="s">
        <v>4048</v>
      </c>
      <c r="D2448" t="s">
        <v>4049</v>
      </c>
      <c r="E2448" t="str">
        <f>HYPERLINK("https://worldwide.espacenet.com/publicationDetails/biblio?II=123&amp;ND=3&amp;adjacent=true&amp;locale=en_EP&amp;FT=D&amp;date=20171114&amp;CC=CN&amp;NR=206634190U&amp;KC=U")</f>
        <v>https://worldwide.espacenet.com/publicationDetails/biblio?II=123&amp;ND=3&amp;adjacent=true&amp;locale=en_EP&amp;FT=D&amp;date=20171114&amp;CC=CN&amp;NR=206634190U&amp;KC=U</v>
      </c>
    </row>
    <row r="2449" spans="3:5" x14ac:dyDescent="0.25">
      <c r="C2449" t="s">
        <v>4050</v>
      </c>
      <c r="D2449" t="s">
        <v>4051</v>
      </c>
      <c r="E2449" t="str">
        <f>HYPERLINK("https://worldwide.espacenet.com/publicationDetails/biblio?II=124&amp;ND=3&amp;adjacent=true&amp;locale=en_EP&amp;FT=D&amp;date=20170517&amp;CC=CN&amp;NR=206177344U&amp;KC=U")</f>
        <v>https://worldwide.espacenet.com/publicationDetails/biblio?II=124&amp;ND=3&amp;adjacent=true&amp;locale=en_EP&amp;FT=D&amp;date=20170517&amp;CC=CN&amp;NR=206177344U&amp;KC=U</v>
      </c>
    </row>
    <row r="2450" spans="3:5" x14ac:dyDescent="0.25">
      <c r="C2450" t="s">
        <v>4052</v>
      </c>
      <c r="D2450" t="s">
        <v>4053</v>
      </c>
      <c r="E2450" t="str">
        <f>HYPERLINK("https://worldwide.espacenet.com/publicationDetails/biblio?II=125&amp;ND=3&amp;adjacent=true&amp;locale=en_EP&amp;FT=D&amp;date=20171107&amp;CC=CN&amp;NR=107323569A&amp;KC=A")</f>
        <v>https://worldwide.espacenet.com/publicationDetails/biblio?II=125&amp;ND=3&amp;adjacent=true&amp;locale=en_EP&amp;FT=D&amp;date=20171107&amp;CC=CN&amp;NR=107323569A&amp;KC=A</v>
      </c>
    </row>
    <row r="2451" spans="3:5" x14ac:dyDescent="0.25">
      <c r="C2451" t="s">
        <v>889</v>
      </c>
      <c r="D2451" t="s">
        <v>890</v>
      </c>
      <c r="E2451" t="str">
        <f>HYPERLINK("https://worldwide.espacenet.com/publicationDetails/biblio?II=126&amp;ND=3&amp;adjacent=true&amp;locale=en_EP&amp;FT=D&amp;date=20171107&amp;CC=CN&amp;NR=107321969A&amp;KC=A")</f>
        <v>https://worldwide.espacenet.com/publicationDetails/biblio?II=126&amp;ND=3&amp;adjacent=true&amp;locale=en_EP&amp;FT=D&amp;date=20171107&amp;CC=CN&amp;NR=107321969A&amp;KC=A</v>
      </c>
    </row>
    <row r="2452" spans="3:5" x14ac:dyDescent="0.25">
      <c r="C2452" t="s">
        <v>3930</v>
      </c>
      <c r="D2452" t="s">
        <v>4054</v>
      </c>
      <c r="E2452" t="str">
        <f>HYPERLINK("https://worldwide.espacenet.com/publicationDetails/biblio?II=127&amp;ND=3&amp;adjacent=true&amp;locale=en_EP&amp;FT=D&amp;date=20171107&amp;CC=CN&amp;NR=107323637A&amp;KC=A")</f>
        <v>https://worldwide.espacenet.com/publicationDetails/biblio?II=127&amp;ND=3&amp;adjacent=true&amp;locale=en_EP&amp;FT=D&amp;date=20171107&amp;CC=CN&amp;NR=107323637A&amp;KC=A</v>
      </c>
    </row>
    <row r="2453" spans="3:5" x14ac:dyDescent="0.25">
      <c r="C2453" t="s">
        <v>4055</v>
      </c>
      <c r="D2453" t="s">
        <v>4056</v>
      </c>
      <c r="E2453" t="str">
        <f>HYPERLINK("https://worldwide.espacenet.com/publicationDetails/biblio?II=128&amp;ND=3&amp;adjacent=true&amp;locale=en_EP&amp;FT=D&amp;date=20171107&amp;CC=US&amp;NR=9809264B1&amp;KC=B1")</f>
        <v>https://worldwide.espacenet.com/publicationDetails/biblio?II=128&amp;ND=3&amp;adjacent=true&amp;locale=en_EP&amp;FT=D&amp;date=20171107&amp;CC=US&amp;NR=9809264B1&amp;KC=B1</v>
      </c>
    </row>
    <row r="2454" spans="3:5" x14ac:dyDescent="0.25">
      <c r="C2454" t="s">
        <v>3471</v>
      </c>
      <c r="D2454" t="s">
        <v>3472</v>
      </c>
      <c r="E2454" t="str">
        <f>HYPERLINK("https://worldwide.espacenet.com/publicationDetails/biblio?II=129&amp;ND=3&amp;adjacent=true&amp;locale=en_EP&amp;FT=D&amp;date=20171103&amp;CC=CN&amp;NR=206607932U&amp;KC=U")</f>
        <v>https://worldwide.espacenet.com/publicationDetails/biblio?II=129&amp;ND=3&amp;adjacent=true&amp;locale=en_EP&amp;FT=D&amp;date=20171103&amp;CC=CN&amp;NR=206607932U&amp;KC=U</v>
      </c>
    </row>
    <row r="2455" spans="3:5" x14ac:dyDescent="0.25">
      <c r="C2455" t="s">
        <v>4057</v>
      </c>
      <c r="D2455" t="s">
        <v>4058</v>
      </c>
      <c r="E2455" t="str">
        <f>HYPERLINK("https://worldwide.espacenet.com/publicationDetails/biblio?II=130&amp;ND=3&amp;adjacent=true&amp;locale=en_EP&amp;FT=D&amp;date=20171027&amp;CC=CN&amp;NR=206589836U&amp;KC=U")</f>
        <v>https://worldwide.espacenet.com/publicationDetails/biblio?II=130&amp;ND=3&amp;adjacent=true&amp;locale=en_EP&amp;FT=D&amp;date=20171027&amp;CC=CN&amp;NR=206589836U&amp;KC=U</v>
      </c>
    </row>
    <row r="2456" spans="3:5" x14ac:dyDescent="0.25">
      <c r="C2456" t="s">
        <v>4059</v>
      </c>
      <c r="D2456" t="s">
        <v>4060</v>
      </c>
      <c r="E2456" t="str">
        <f>HYPERLINK("https://worldwide.espacenet.com/publicationDetails/biblio?II=131&amp;ND=3&amp;adjacent=true&amp;locale=en_EP&amp;FT=D&amp;date=20171024&amp;CC=CN&amp;NR=206579423U&amp;KC=U")</f>
        <v>https://worldwide.espacenet.com/publicationDetails/biblio?II=131&amp;ND=3&amp;adjacent=true&amp;locale=en_EP&amp;FT=D&amp;date=20171024&amp;CC=CN&amp;NR=206579423U&amp;KC=U</v>
      </c>
    </row>
    <row r="2457" spans="3:5" x14ac:dyDescent="0.25">
      <c r="C2457" t="s">
        <v>3485</v>
      </c>
      <c r="D2457" t="s">
        <v>3486</v>
      </c>
      <c r="E2457" t="str">
        <f>HYPERLINK("https://worldwide.espacenet.com/publicationDetails/biblio?II=132&amp;ND=3&amp;adjacent=true&amp;locale=en_EP&amp;FT=D&amp;date=20171020&amp;CC=CN&amp;NR=107263500A&amp;KC=A")</f>
        <v>https://worldwide.espacenet.com/publicationDetails/biblio?II=132&amp;ND=3&amp;adjacent=true&amp;locale=en_EP&amp;FT=D&amp;date=20171020&amp;CC=CN&amp;NR=107263500A&amp;KC=A</v>
      </c>
    </row>
    <row r="2458" spans="3:5" x14ac:dyDescent="0.25">
      <c r="C2458" t="s">
        <v>4061</v>
      </c>
      <c r="D2458" t="s">
        <v>4062</v>
      </c>
      <c r="E2458" t="str">
        <f>HYPERLINK("https://worldwide.espacenet.com/publicationDetails/biblio?II=133&amp;ND=3&amp;adjacent=true&amp;locale=en_EP&amp;FT=D&amp;date=20171020&amp;CC=CN&amp;NR=206569164U&amp;KC=U")</f>
        <v>https://worldwide.espacenet.com/publicationDetails/biblio?II=133&amp;ND=3&amp;adjacent=true&amp;locale=en_EP&amp;FT=D&amp;date=20171020&amp;CC=CN&amp;NR=206569164U&amp;KC=U</v>
      </c>
    </row>
    <row r="2459" spans="3:5" x14ac:dyDescent="0.25">
      <c r="C2459" t="s">
        <v>947</v>
      </c>
      <c r="D2459" t="s">
        <v>948</v>
      </c>
      <c r="E2459" t="str">
        <f>HYPERLINK("https://worldwide.espacenet.com/publicationDetails/biblio?II=134&amp;ND=3&amp;adjacent=true&amp;locale=en_EP&amp;FT=D&amp;date=20171017&amp;CC=CN&amp;NR=206561410U&amp;KC=U")</f>
        <v>https://worldwide.espacenet.com/publicationDetails/biblio?II=134&amp;ND=3&amp;adjacent=true&amp;locale=en_EP&amp;FT=D&amp;date=20171017&amp;CC=CN&amp;NR=206561410U&amp;KC=U</v>
      </c>
    </row>
    <row r="2460" spans="3:5" x14ac:dyDescent="0.25">
      <c r="C2460" t="s">
        <v>951</v>
      </c>
      <c r="D2460" t="s">
        <v>952</v>
      </c>
      <c r="E2460" t="str">
        <f>HYPERLINK("https://worldwide.espacenet.com/publicationDetails/biblio?II=135&amp;ND=3&amp;adjacent=true&amp;locale=en_EP&amp;FT=D&amp;date=20171017&amp;CC=CN&amp;NR=107253179A&amp;KC=A")</f>
        <v>https://worldwide.espacenet.com/publicationDetails/biblio?II=135&amp;ND=3&amp;adjacent=true&amp;locale=en_EP&amp;FT=D&amp;date=20171017&amp;CC=CN&amp;NR=107253179A&amp;KC=A</v>
      </c>
    </row>
    <row r="2461" spans="3:5" x14ac:dyDescent="0.25">
      <c r="C2461" t="s">
        <v>4063</v>
      </c>
      <c r="D2461" t="s">
        <v>4064</v>
      </c>
      <c r="E2461" t="str">
        <f>HYPERLINK("https://worldwide.espacenet.com/publicationDetails/biblio?II=136&amp;ND=3&amp;adjacent=true&amp;locale=en_EP&amp;FT=D&amp;date=20171010&amp;CC=CN&amp;NR=206543385U&amp;KC=U")</f>
        <v>https://worldwide.espacenet.com/publicationDetails/biblio?II=136&amp;ND=3&amp;adjacent=true&amp;locale=en_EP&amp;FT=D&amp;date=20171010&amp;CC=CN&amp;NR=206543385U&amp;KC=U</v>
      </c>
    </row>
    <row r="2462" spans="3:5" x14ac:dyDescent="0.25">
      <c r="C2462" t="s">
        <v>4065</v>
      </c>
      <c r="D2462" t="s">
        <v>4066</v>
      </c>
      <c r="E2462" t="str">
        <f>HYPERLINK("https://worldwide.espacenet.com/publicationDetails/biblio?II=137&amp;ND=3&amp;adjacent=true&amp;locale=en_EP&amp;FT=D&amp;date=20171010&amp;CC=CN&amp;NR=107234377A&amp;KC=A")</f>
        <v>https://worldwide.espacenet.com/publicationDetails/biblio?II=137&amp;ND=3&amp;adjacent=true&amp;locale=en_EP&amp;FT=D&amp;date=20171010&amp;CC=CN&amp;NR=107234377A&amp;KC=A</v>
      </c>
    </row>
    <row r="2463" spans="3:5" x14ac:dyDescent="0.25">
      <c r="C2463" t="s">
        <v>4067</v>
      </c>
      <c r="D2463" t="s">
        <v>4068</v>
      </c>
      <c r="E2463" t="str">
        <f>HYPERLINK("https://worldwide.espacenet.com/publicationDetails/biblio?II=138&amp;ND=3&amp;adjacent=true&amp;locale=en_EP&amp;FT=D&amp;date=20171010&amp;CC=CN&amp;NR=107235086A&amp;KC=A")</f>
        <v>https://worldwide.espacenet.com/publicationDetails/biblio?II=138&amp;ND=3&amp;adjacent=true&amp;locale=en_EP&amp;FT=D&amp;date=20171010&amp;CC=CN&amp;NR=107235086A&amp;KC=A</v>
      </c>
    </row>
    <row r="2464" spans="3:5" x14ac:dyDescent="0.25">
      <c r="C2464" t="s">
        <v>4069</v>
      </c>
      <c r="D2464" t="s">
        <v>4070</v>
      </c>
      <c r="E2464" t="str">
        <f>HYPERLINK("https://worldwide.espacenet.com/publicationDetails/biblio?II=139&amp;ND=3&amp;adjacent=true&amp;locale=en_EP&amp;FT=D&amp;date=20170222&amp;CC=CN&amp;NR=205969004U&amp;KC=U")</f>
        <v>https://worldwide.espacenet.com/publicationDetails/biblio?II=139&amp;ND=3&amp;adjacent=true&amp;locale=en_EP&amp;FT=D&amp;date=20170222&amp;CC=CN&amp;NR=205969004U&amp;KC=U</v>
      </c>
    </row>
    <row r="2465" spans="3:5" x14ac:dyDescent="0.25">
      <c r="C2465" t="s">
        <v>4071</v>
      </c>
      <c r="D2465" t="s">
        <v>4072</v>
      </c>
      <c r="E2465" t="str">
        <f>HYPERLINK("https://worldwide.espacenet.com/publicationDetails/biblio?II=140&amp;ND=3&amp;adjacent=true&amp;locale=en_EP&amp;FT=D&amp;date=20171003&amp;CC=CN&amp;NR=206536449U&amp;KC=U")</f>
        <v>https://worldwide.espacenet.com/publicationDetails/biblio?II=140&amp;ND=3&amp;adjacent=true&amp;locale=en_EP&amp;FT=D&amp;date=20171003&amp;CC=CN&amp;NR=206536449U&amp;KC=U</v>
      </c>
    </row>
    <row r="2466" spans="3:5" x14ac:dyDescent="0.25">
      <c r="C2466" t="s">
        <v>987</v>
      </c>
      <c r="D2466" t="s">
        <v>988</v>
      </c>
      <c r="E2466" t="str">
        <f>HYPERLINK("https://worldwide.espacenet.com/publicationDetails/biblio?II=141&amp;ND=3&amp;adjacent=true&amp;locale=en_EP&amp;FT=D&amp;date=20170922&amp;CC=CN&amp;NR=107186736A&amp;KC=A")</f>
        <v>https://worldwide.espacenet.com/publicationDetails/biblio?II=141&amp;ND=3&amp;adjacent=true&amp;locale=en_EP&amp;FT=D&amp;date=20170922&amp;CC=CN&amp;NR=107186736A&amp;KC=A</v>
      </c>
    </row>
    <row r="2467" spans="3:5" x14ac:dyDescent="0.25">
      <c r="C2467" t="s">
        <v>4073</v>
      </c>
      <c r="D2467" t="s">
        <v>4074</v>
      </c>
      <c r="E2467" t="str">
        <f>HYPERLINK("https://worldwide.espacenet.com/publicationDetails/biblio?II=142&amp;ND=3&amp;adjacent=true&amp;locale=en_EP&amp;FT=D&amp;date=20170922&amp;CC=CN&amp;NR=206510717U&amp;KC=U")</f>
        <v>https://worldwide.espacenet.com/publicationDetails/biblio?II=142&amp;ND=3&amp;adjacent=true&amp;locale=en_EP&amp;FT=D&amp;date=20170922&amp;CC=CN&amp;NR=206510717U&amp;KC=U</v>
      </c>
    </row>
    <row r="2468" spans="3:5" x14ac:dyDescent="0.25">
      <c r="C2468" t="s">
        <v>989</v>
      </c>
      <c r="D2468" t="s">
        <v>990</v>
      </c>
      <c r="E2468" t="str">
        <f>HYPERLINK("https://worldwide.espacenet.com/publicationDetails/biblio?II=143&amp;ND=3&amp;adjacent=true&amp;locale=en_EP&amp;FT=D&amp;date=20170919&amp;CC=CN&amp;NR=206499863U&amp;KC=U")</f>
        <v>https://worldwide.espacenet.com/publicationDetails/biblio?II=143&amp;ND=3&amp;adjacent=true&amp;locale=en_EP&amp;FT=D&amp;date=20170919&amp;CC=CN&amp;NR=206499863U&amp;KC=U</v>
      </c>
    </row>
    <row r="2469" spans="3:5" x14ac:dyDescent="0.25">
      <c r="C2469" t="s">
        <v>3535</v>
      </c>
      <c r="D2469" t="s">
        <v>3536</v>
      </c>
      <c r="E2469" t="str">
        <f>HYPERLINK("https://worldwide.espacenet.com/publicationDetails/biblio?II=144&amp;ND=3&amp;adjacent=true&amp;locale=en_EP&amp;FT=D&amp;date=20170919&amp;CC=CN&amp;NR=206501103U&amp;KC=U")</f>
        <v>https://worldwide.espacenet.com/publicationDetails/biblio?II=144&amp;ND=3&amp;adjacent=true&amp;locale=en_EP&amp;FT=D&amp;date=20170919&amp;CC=CN&amp;NR=206501103U&amp;KC=U</v>
      </c>
    </row>
    <row r="2470" spans="3:5" x14ac:dyDescent="0.25">
      <c r="C2470" t="s">
        <v>4075</v>
      </c>
      <c r="D2470" t="s">
        <v>4076</v>
      </c>
      <c r="E2470" t="str">
        <f>HYPERLINK("https://worldwide.espacenet.com/publicationDetails/biblio?II=145&amp;ND=3&amp;adjacent=true&amp;locale=en_EP&amp;FT=D&amp;date=20170912&amp;CC=CN&amp;NR=107150341A&amp;KC=A")</f>
        <v>https://worldwide.espacenet.com/publicationDetails/biblio?II=145&amp;ND=3&amp;adjacent=true&amp;locale=en_EP&amp;FT=D&amp;date=20170912&amp;CC=CN&amp;NR=107150341A&amp;KC=A</v>
      </c>
    </row>
    <row r="2471" spans="3:5" x14ac:dyDescent="0.25">
      <c r="C2471" t="s">
        <v>3547</v>
      </c>
      <c r="D2471" t="s">
        <v>3548</v>
      </c>
      <c r="E2471" t="str">
        <f>HYPERLINK("https://worldwide.espacenet.com/publicationDetails/biblio?II=146&amp;ND=3&amp;adjacent=true&amp;locale=en_EP&amp;FT=D&amp;date=20170908&amp;CC=CN&amp;NR=107139188A&amp;KC=A")</f>
        <v>https://worldwide.espacenet.com/publicationDetails/biblio?II=146&amp;ND=3&amp;adjacent=true&amp;locale=en_EP&amp;FT=D&amp;date=20170908&amp;CC=CN&amp;NR=107139188A&amp;KC=A</v>
      </c>
    </row>
    <row r="2472" spans="3:5" x14ac:dyDescent="0.25">
      <c r="C2472" t="s">
        <v>991</v>
      </c>
      <c r="D2472" t="s">
        <v>992</v>
      </c>
      <c r="E2472" t="str">
        <f>HYPERLINK("https://worldwide.espacenet.com/publicationDetails/biblio?II=147&amp;ND=3&amp;adjacent=true&amp;locale=en_EP&amp;FT=D&amp;date=20170912&amp;CC=CN&amp;NR=206484588U&amp;KC=U")</f>
        <v>https://worldwide.espacenet.com/publicationDetails/biblio?II=147&amp;ND=3&amp;adjacent=true&amp;locale=en_EP&amp;FT=D&amp;date=20170912&amp;CC=CN&amp;NR=206484588U&amp;KC=U</v>
      </c>
    </row>
    <row r="2473" spans="3:5" x14ac:dyDescent="0.25">
      <c r="C2473" t="s">
        <v>4077</v>
      </c>
      <c r="D2473" t="s">
        <v>4078</v>
      </c>
      <c r="E2473" t="str">
        <f>HYPERLINK("https://worldwide.espacenet.com/publicationDetails/biblio?II=148&amp;ND=3&amp;adjacent=true&amp;locale=en_EP&amp;FT=D&amp;date=20170905&amp;CC=CN&amp;NR=107127767A&amp;KC=A")</f>
        <v>https://worldwide.espacenet.com/publicationDetails/biblio?II=148&amp;ND=3&amp;adjacent=true&amp;locale=en_EP&amp;FT=D&amp;date=20170905&amp;CC=CN&amp;NR=107127767A&amp;KC=A</v>
      </c>
    </row>
    <row r="2474" spans="3:5" x14ac:dyDescent="0.25">
      <c r="C2474" t="s">
        <v>4079</v>
      </c>
      <c r="D2474" t="s">
        <v>4080</v>
      </c>
      <c r="E2474" t="str">
        <f>HYPERLINK("https://worldwide.espacenet.com/publicationDetails/biblio?II=149&amp;ND=3&amp;adjacent=true&amp;locale=en_EP&amp;FT=D&amp;date=20170907&amp;CC=US&amp;NR=2017252926A1&amp;KC=A1")</f>
        <v>https://worldwide.espacenet.com/publicationDetails/biblio?II=149&amp;ND=3&amp;adjacent=true&amp;locale=en_EP&amp;FT=D&amp;date=20170907&amp;CC=US&amp;NR=2017252926A1&amp;KC=A1</v>
      </c>
    </row>
    <row r="2475" spans="3:5" x14ac:dyDescent="0.25">
      <c r="C2475" t="s">
        <v>4081</v>
      </c>
      <c r="D2475" t="s">
        <v>4082</v>
      </c>
      <c r="E2475" t="str">
        <f>HYPERLINK("https://worldwide.espacenet.com/publicationDetails/biblio?II=150&amp;ND=3&amp;adjacent=true&amp;locale=en_EP&amp;FT=D&amp;date=20170905&amp;CC=CN&amp;NR=107128383A&amp;KC=A")</f>
        <v>https://worldwide.espacenet.com/publicationDetails/biblio?II=150&amp;ND=3&amp;adjacent=true&amp;locale=en_EP&amp;FT=D&amp;date=20170905&amp;CC=CN&amp;NR=107128383A&amp;KC=A</v>
      </c>
    </row>
    <row r="2476" spans="3:5" x14ac:dyDescent="0.25">
      <c r="C2476" t="s">
        <v>4083</v>
      </c>
      <c r="D2476" t="s">
        <v>4084</v>
      </c>
      <c r="E2476" t="str">
        <f>HYPERLINK("https://worldwide.espacenet.com/publicationDetails/biblio?II=151&amp;ND=3&amp;adjacent=true&amp;locale=en_EP&amp;FT=D&amp;date=20170901&amp;CC=CN&amp;NR=206455665U&amp;KC=U")</f>
        <v>https://worldwide.espacenet.com/publicationDetails/biblio?II=151&amp;ND=3&amp;adjacent=true&amp;locale=en_EP&amp;FT=D&amp;date=20170901&amp;CC=CN&amp;NR=206455665U&amp;KC=U</v>
      </c>
    </row>
    <row r="2477" spans="3:5" x14ac:dyDescent="0.25">
      <c r="C2477" t="s">
        <v>4085</v>
      </c>
      <c r="D2477" t="s">
        <v>4086</v>
      </c>
      <c r="E2477" t="str">
        <f>HYPERLINK("https://worldwide.espacenet.com/publicationDetails/biblio?II=152&amp;ND=3&amp;adjacent=true&amp;locale=en_EP&amp;FT=D&amp;date=20170825&amp;CC=CN&amp;NR=206436228U&amp;KC=U")</f>
        <v>https://worldwide.espacenet.com/publicationDetails/biblio?II=152&amp;ND=3&amp;adjacent=true&amp;locale=en_EP&amp;FT=D&amp;date=20170825&amp;CC=CN&amp;NR=206436228U&amp;KC=U</v>
      </c>
    </row>
    <row r="2478" spans="3:5" x14ac:dyDescent="0.25">
      <c r="C2478" t="s">
        <v>4087</v>
      </c>
      <c r="D2478" t="s">
        <v>4088</v>
      </c>
      <c r="E2478" t="str">
        <f>HYPERLINK("https://worldwide.espacenet.com/publicationDetails/biblio?II=153&amp;ND=3&amp;adjacent=true&amp;locale=en_EP&amp;FT=D&amp;date=20170825&amp;CC=CN&amp;NR=206436270U&amp;KC=U")</f>
        <v>https://worldwide.espacenet.com/publicationDetails/biblio?II=153&amp;ND=3&amp;adjacent=true&amp;locale=en_EP&amp;FT=D&amp;date=20170825&amp;CC=CN&amp;NR=206436270U&amp;KC=U</v>
      </c>
    </row>
    <row r="2479" spans="3:5" x14ac:dyDescent="0.25">
      <c r="C2479" t="s">
        <v>1354</v>
      </c>
      <c r="D2479" t="s">
        <v>4089</v>
      </c>
      <c r="E2479" t="str">
        <f>HYPERLINK("https://worldwide.espacenet.com/publicationDetails/biblio?II=154&amp;ND=3&amp;adjacent=true&amp;locale=en_EP&amp;FT=D&amp;date=20170818&amp;CC=CN&amp;NR=107077139A&amp;KC=A")</f>
        <v>https://worldwide.espacenet.com/publicationDetails/biblio?II=154&amp;ND=3&amp;adjacent=true&amp;locale=en_EP&amp;FT=D&amp;date=20170818&amp;CC=CN&amp;NR=107077139A&amp;KC=A</v>
      </c>
    </row>
    <row r="2480" spans="3:5" x14ac:dyDescent="0.25">
      <c r="C2480" t="s">
        <v>4090</v>
      </c>
      <c r="D2480" t="s">
        <v>4091</v>
      </c>
      <c r="E2480" t="str">
        <f>HYPERLINK("https://worldwide.espacenet.com/publicationDetails/biblio?II=155&amp;ND=3&amp;adjacent=true&amp;locale=en_EP&amp;FT=D&amp;date=20170818&amp;CC=CN&amp;NR=107053163A&amp;KC=A")</f>
        <v>https://worldwide.espacenet.com/publicationDetails/biblio?II=155&amp;ND=3&amp;adjacent=true&amp;locale=en_EP&amp;FT=D&amp;date=20170818&amp;CC=CN&amp;NR=107053163A&amp;KC=A</v>
      </c>
    </row>
    <row r="2481" spans="3:5" x14ac:dyDescent="0.25">
      <c r="C2481" t="s">
        <v>3580</v>
      </c>
      <c r="D2481" t="s">
        <v>3581</v>
      </c>
      <c r="E2481" t="str">
        <f>HYPERLINK("https://worldwide.espacenet.com/publicationDetails/biblio?II=156&amp;ND=3&amp;adjacent=true&amp;locale=en_EP&amp;FT=D&amp;date=20170822&amp;CC=CN&amp;NR=107081483A&amp;KC=A")</f>
        <v>https://worldwide.espacenet.com/publicationDetails/biblio?II=156&amp;ND=3&amp;adjacent=true&amp;locale=en_EP&amp;FT=D&amp;date=20170822&amp;CC=CN&amp;NR=107081483A&amp;KC=A</v>
      </c>
    </row>
    <row r="2482" spans="3:5" x14ac:dyDescent="0.25">
      <c r="C2482" t="s">
        <v>4092</v>
      </c>
      <c r="D2482" t="s">
        <v>4093</v>
      </c>
      <c r="E2482" t="str">
        <f>HYPERLINK("https://worldwide.espacenet.com/publicationDetails/biblio?II=157&amp;ND=3&amp;adjacent=true&amp;locale=en_EP&amp;FT=D&amp;date=20170822&amp;CC=CN&amp;NR=206427145U&amp;KC=U")</f>
        <v>https://worldwide.espacenet.com/publicationDetails/biblio?II=157&amp;ND=3&amp;adjacent=true&amp;locale=en_EP&amp;FT=D&amp;date=20170822&amp;CC=CN&amp;NR=206427145U&amp;KC=U</v>
      </c>
    </row>
    <row r="2483" spans="3:5" x14ac:dyDescent="0.25">
      <c r="C2483" t="s">
        <v>4094</v>
      </c>
      <c r="D2483" t="s">
        <v>4095</v>
      </c>
      <c r="E2483" t="str">
        <f>HYPERLINK("https://worldwide.espacenet.com/publicationDetails/biblio?II=158&amp;ND=3&amp;adjacent=true&amp;locale=en_EP&amp;FT=D&amp;date=20170818&amp;CC=CN&amp;NR=206416188U&amp;KC=U")</f>
        <v>https://worldwide.espacenet.com/publicationDetails/biblio?II=158&amp;ND=3&amp;adjacent=true&amp;locale=en_EP&amp;FT=D&amp;date=20170818&amp;CC=CN&amp;NR=206416188U&amp;KC=U</v>
      </c>
    </row>
    <row r="2484" spans="3:5" x14ac:dyDescent="0.25">
      <c r="C2484" t="s">
        <v>3592</v>
      </c>
      <c r="D2484" t="s">
        <v>3593</v>
      </c>
      <c r="E2484" t="str">
        <f>HYPERLINK("https://worldwide.espacenet.com/publicationDetails/biblio?II=159&amp;ND=3&amp;adjacent=true&amp;locale=en_EP&amp;FT=D&amp;date=20170815&amp;CC=CN&amp;NR=107041669A&amp;KC=A")</f>
        <v>https://worldwide.espacenet.com/publicationDetails/biblio?II=159&amp;ND=3&amp;adjacent=true&amp;locale=en_EP&amp;FT=D&amp;date=20170815&amp;CC=CN&amp;NR=107041669A&amp;KC=A</v>
      </c>
    </row>
    <row r="2485" spans="3:5" x14ac:dyDescent="0.25">
      <c r="C2485" t="s">
        <v>993</v>
      </c>
      <c r="D2485" t="s">
        <v>994</v>
      </c>
      <c r="E2485" t="str">
        <f>HYPERLINK("https://worldwide.espacenet.com/publicationDetails/biblio?II=160&amp;ND=3&amp;adjacent=true&amp;locale=en_EP&amp;FT=D&amp;date=20170811&amp;CC=CN&amp;NR=107037825A&amp;KC=A")</f>
        <v>https://worldwide.espacenet.com/publicationDetails/biblio?II=160&amp;ND=3&amp;adjacent=true&amp;locale=en_EP&amp;FT=D&amp;date=20170811&amp;CC=CN&amp;NR=107037825A&amp;KC=A</v>
      </c>
    </row>
    <row r="2486" spans="3:5" x14ac:dyDescent="0.25">
      <c r="C2486" t="s">
        <v>4096</v>
      </c>
      <c r="D2486" t="s">
        <v>4097</v>
      </c>
      <c r="E2486" t="str">
        <f>HYPERLINK("https://worldwide.espacenet.com/publicationDetails/biblio?II=161&amp;ND=3&amp;adjacent=true&amp;locale=en_EP&amp;FT=D&amp;date=20170808&amp;CC=CN&amp;NR=107023272A&amp;KC=A")</f>
        <v>https://worldwide.espacenet.com/publicationDetails/biblio?II=161&amp;ND=3&amp;adjacent=true&amp;locale=en_EP&amp;FT=D&amp;date=20170808&amp;CC=CN&amp;NR=107023272A&amp;KC=A</v>
      </c>
    </row>
    <row r="2487" spans="3:5" x14ac:dyDescent="0.25">
      <c r="C2487" t="s">
        <v>4098</v>
      </c>
      <c r="D2487" t="s">
        <v>4099</v>
      </c>
      <c r="E2487" t="str">
        <f>HYPERLINK("https://worldwide.espacenet.com/publicationDetails/biblio?II=162&amp;ND=3&amp;adjacent=true&amp;locale=en_EP&amp;FT=D&amp;date=20170714&amp;CC=CN&amp;NR=106942198A&amp;KC=A")</f>
        <v>https://worldwide.espacenet.com/publicationDetails/biblio?II=162&amp;ND=3&amp;adjacent=true&amp;locale=en_EP&amp;FT=D&amp;date=20170714&amp;CC=CN&amp;NR=106942198A&amp;KC=A</v>
      </c>
    </row>
    <row r="2488" spans="3:5" x14ac:dyDescent="0.25">
      <c r="C2488" t="s">
        <v>3608</v>
      </c>
      <c r="D2488" t="s">
        <v>3609</v>
      </c>
      <c r="E2488" t="str">
        <f>HYPERLINK("https://worldwide.espacenet.com/publicationDetails/biblio?II=163&amp;ND=3&amp;adjacent=true&amp;locale=en_EP&amp;FT=D&amp;date=20170714&amp;CC=CN&amp;NR=106949105A&amp;KC=A")</f>
        <v>https://worldwide.espacenet.com/publicationDetails/biblio?II=163&amp;ND=3&amp;adjacent=true&amp;locale=en_EP&amp;FT=D&amp;date=20170714&amp;CC=CN&amp;NR=106949105A&amp;KC=A</v>
      </c>
    </row>
    <row r="2489" spans="3:5" x14ac:dyDescent="0.25">
      <c r="C2489" t="s">
        <v>3614</v>
      </c>
      <c r="D2489" t="s">
        <v>3615</v>
      </c>
      <c r="E2489" t="str">
        <f>HYPERLINK("https://worldwide.espacenet.com/publicationDetails/biblio?II=164&amp;ND=3&amp;adjacent=true&amp;locale=en_EP&amp;FT=D&amp;date=20170704&amp;CC=CN&amp;NR=106914909A&amp;KC=A")</f>
        <v>https://worldwide.espacenet.com/publicationDetails/biblio?II=164&amp;ND=3&amp;adjacent=true&amp;locale=en_EP&amp;FT=D&amp;date=20170704&amp;CC=CN&amp;NR=106914909A&amp;KC=A</v>
      </c>
    </row>
    <row r="2490" spans="3:5" x14ac:dyDescent="0.25">
      <c r="C2490" t="s">
        <v>3616</v>
      </c>
      <c r="D2490" t="s">
        <v>3617</v>
      </c>
      <c r="E2490" t="str">
        <f>HYPERLINK("https://worldwide.espacenet.com/publicationDetails/biblio?II=165&amp;ND=3&amp;adjacent=true&amp;locale=en_EP&amp;FT=D&amp;date=20170704&amp;CC=CN&amp;NR=106915390A&amp;KC=A")</f>
        <v>https://worldwide.espacenet.com/publicationDetails/biblio?II=165&amp;ND=3&amp;adjacent=true&amp;locale=en_EP&amp;FT=D&amp;date=20170704&amp;CC=CN&amp;NR=106915390A&amp;KC=A</v>
      </c>
    </row>
    <row r="2491" spans="3:5" x14ac:dyDescent="0.25">
      <c r="C2491" t="s">
        <v>3970</v>
      </c>
      <c r="D2491" t="s">
        <v>4100</v>
      </c>
      <c r="E2491" t="str">
        <f>HYPERLINK("https://worldwide.espacenet.com/publicationDetails/biblio?II=166&amp;ND=3&amp;adjacent=true&amp;locale=en_EP&amp;FT=D&amp;date=20170804&amp;CC=CN&amp;NR=107009344A&amp;KC=A")</f>
        <v>https://worldwide.espacenet.com/publicationDetails/biblio?II=166&amp;ND=3&amp;adjacent=true&amp;locale=en_EP&amp;FT=D&amp;date=20170804&amp;CC=CN&amp;NR=107009344A&amp;KC=A</v>
      </c>
    </row>
    <row r="2492" spans="3:5" x14ac:dyDescent="0.25">
      <c r="C2492" t="s">
        <v>995</v>
      </c>
      <c r="D2492" t="s">
        <v>996</v>
      </c>
      <c r="E2492" t="str">
        <f>HYPERLINK("https://worldwide.espacenet.com/publicationDetails/biblio?II=167&amp;ND=3&amp;adjacent=true&amp;locale=en_EP&amp;FT=D&amp;date=20170801&amp;CC=CN&amp;NR=106994688A&amp;KC=A")</f>
        <v>https://worldwide.espacenet.com/publicationDetails/biblio?II=167&amp;ND=3&amp;adjacent=true&amp;locale=en_EP&amp;FT=D&amp;date=20170801&amp;CC=CN&amp;NR=106994688A&amp;KC=A</v>
      </c>
    </row>
    <row r="2493" spans="3:5" x14ac:dyDescent="0.25">
      <c r="C2493" t="s">
        <v>4101</v>
      </c>
      <c r="D2493" t="s">
        <v>4102</v>
      </c>
      <c r="E2493" t="str">
        <f>HYPERLINK("https://worldwide.espacenet.com/publicationDetails/biblio?II=168&amp;ND=3&amp;adjacent=true&amp;locale=en_EP&amp;FT=D&amp;date=20170804&amp;CC=CN&amp;NR=206373929U&amp;KC=U")</f>
        <v>https://worldwide.espacenet.com/publicationDetails/biblio?II=168&amp;ND=3&amp;adjacent=true&amp;locale=en_EP&amp;FT=D&amp;date=20170804&amp;CC=CN&amp;NR=206373929U&amp;KC=U</v>
      </c>
    </row>
    <row r="2494" spans="3:5" x14ac:dyDescent="0.25">
      <c r="C2494" t="s">
        <v>3628</v>
      </c>
      <c r="D2494" t="s">
        <v>3629</v>
      </c>
      <c r="E2494" t="str">
        <f>HYPERLINK("https://worldwide.espacenet.com/publicationDetails/biblio?II=169&amp;ND=3&amp;adjacent=true&amp;locale=en_EP&amp;FT=D&amp;date=20170804&amp;CC=CN&amp;NR=206372520U&amp;KC=U")</f>
        <v>https://worldwide.espacenet.com/publicationDetails/biblio?II=169&amp;ND=3&amp;adjacent=true&amp;locale=en_EP&amp;FT=D&amp;date=20170804&amp;CC=CN&amp;NR=206372520U&amp;KC=U</v>
      </c>
    </row>
    <row r="2495" spans="3:5" x14ac:dyDescent="0.25">
      <c r="C2495" t="s">
        <v>4103</v>
      </c>
      <c r="D2495" t="s">
        <v>4104</v>
      </c>
      <c r="E2495" t="str">
        <f>HYPERLINK("https://worldwide.espacenet.com/publicationDetails/biblio?II=170&amp;ND=3&amp;adjacent=true&amp;locale=en_EP&amp;FT=D&amp;date=20170728&amp;CC=CN&amp;NR=206357221U&amp;KC=U")</f>
        <v>https://worldwide.espacenet.com/publicationDetails/biblio?II=170&amp;ND=3&amp;adjacent=true&amp;locale=en_EP&amp;FT=D&amp;date=20170728&amp;CC=CN&amp;NR=206357221U&amp;KC=U</v>
      </c>
    </row>
    <row r="2496" spans="3:5" x14ac:dyDescent="0.25">
      <c r="C2496" t="s">
        <v>997</v>
      </c>
      <c r="D2496" t="s">
        <v>998</v>
      </c>
      <c r="E2496" t="str">
        <f>HYPERLINK("https://worldwide.espacenet.com/publicationDetails/biblio?II=171&amp;ND=3&amp;adjacent=true&amp;locale=en_EP&amp;FT=D&amp;date=20170721&amp;CC=CN&amp;NR=206344175U&amp;KC=U")</f>
        <v>https://worldwide.espacenet.com/publicationDetails/biblio?II=171&amp;ND=3&amp;adjacent=true&amp;locale=en_EP&amp;FT=D&amp;date=20170721&amp;CC=CN&amp;NR=206344175U&amp;KC=U</v>
      </c>
    </row>
    <row r="2497" spans="3:5" x14ac:dyDescent="0.25">
      <c r="C2497" t="s">
        <v>999</v>
      </c>
      <c r="D2497" t="s">
        <v>1000</v>
      </c>
      <c r="E2497" t="str">
        <f>HYPERLINK("https://worldwide.espacenet.com/publicationDetails/biblio?II=172&amp;ND=3&amp;adjacent=true&amp;locale=en_EP&amp;FT=D&amp;date=20170721&amp;CC=CN&amp;NR=206342431U&amp;KC=U")</f>
        <v>https://worldwide.espacenet.com/publicationDetails/biblio?II=172&amp;ND=3&amp;adjacent=true&amp;locale=en_EP&amp;FT=D&amp;date=20170721&amp;CC=CN&amp;NR=206342431U&amp;KC=U</v>
      </c>
    </row>
    <row r="2498" spans="3:5" x14ac:dyDescent="0.25">
      <c r="C2498" t="s">
        <v>4105</v>
      </c>
      <c r="D2498" t="s">
        <v>4106</v>
      </c>
      <c r="E2498" t="str">
        <f>HYPERLINK("https://worldwide.espacenet.com/publicationDetails/biblio?II=173&amp;ND=3&amp;adjacent=true&amp;locale=en_EP&amp;FT=D&amp;date=20170707&amp;CC=CN&amp;NR=206307256U&amp;KC=U")</f>
        <v>https://worldwide.espacenet.com/publicationDetails/biblio?II=173&amp;ND=3&amp;adjacent=true&amp;locale=en_EP&amp;FT=D&amp;date=20170707&amp;CC=CN&amp;NR=206307256U&amp;KC=U</v>
      </c>
    </row>
    <row r="2499" spans="3:5" x14ac:dyDescent="0.25">
      <c r="C2499" t="s">
        <v>3644</v>
      </c>
      <c r="D2499" t="s">
        <v>3645</v>
      </c>
      <c r="E2499" t="str">
        <f>HYPERLINK("https://worldwide.espacenet.com/publicationDetails/biblio?II=174&amp;ND=3&amp;adjacent=true&amp;locale=en_EP&amp;FT=D&amp;date=20170707&amp;CC=CN&amp;NR=206303859U&amp;KC=U")</f>
        <v>https://worldwide.espacenet.com/publicationDetails/biblio?II=174&amp;ND=3&amp;adjacent=true&amp;locale=en_EP&amp;FT=D&amp;date=20170707&amp;CC=CN&amp;NR=206303859U&amp;KC=U</v>
      </c>
    </row>
    <row r="2500" spans="3:5" x14ac:dyDescent="0.25">
      <c r="C2500" t="s">
        <v>3648</v>
      </c>
      <c r="D2500" t="s">
        <v>3649</v>
      </c>
      <c r="E2500" t="str">
        <f>HYPERLINK("https://worldwide.espacenet.com/publicationDetails/biblio?II=175&amp;ND=3&amp;adjacent=true&amp;locale=en_EP&amp;FT=D&amp;date=20170704&amp;CC=CN&amp;NR=206296677U&amp;KC=U")</f>
        <v>https://worldwide.espacenet.com/publicationDetails/biblio?II=175&amp;ND=3&amp;adjacent=true&amp;locale=en_EP&amp;FT=D&amp;date=20170704&amp;CC=CN&amp;NR=206296677U&amp;KC=U</v>
      </c>
    </row>
    <row r="2501" spans="3:5" x14ac:dyDescent="0.25">
      <c r="C2501" t="s">
        <v>1001</v>
      </c>
      <c r="D2501" t="s">
        <v>1002</v>
      </c>
      <c r="E2501" t="str">
        <f>HYPERLINK("https://worldwide.espacenet.com/publicationDetails/biblio?II=176&amp;ND=3&amp;adjacent=true&amp;locale=en_EP&amp;FT=D&amp;date=20170630&amp;CC=CN&amp;NR=106904153A&amp;KC=A")</f>
        <v>https://worldwide.espacenet.com/publicationDetails/biblio?II=176&amp;ND=3&amp;adjacent=true&amp;locale=en_EP&amp;FT=D&amp;date=20170630&amp;CC=CN&amp;NR=106904153A&amp;KC=A</v>
      </c>
    </row>
    <row r="2502" spans="3:5" x14ac:dyDescent="0.25">
      <c r="C2502" t="s">
        <v>4107</v>
      </c>
      <c r="D2502" t="s">
        <v>4108</v>
      </c>
      <c r="E2502" t="str">
        <f>HYPERLINK("https://worldwide.espacenet.com/publicationDetails/biblio?II=177&amp;ND=3&amp;adjacent=true&amp;locale=en_EP&amp;FT=D&amp;date=20170623&amp;CC=CN&amp;NR=106881242A&amp;KC=A")</f>
        <v>https://worldwide.espacenet.com/publicationDetails/biblio?II=177&amp;ND=3&amp;adjacent=true&amp;locale=en_EP&amp;FT=D&amp;date=20170623&amp;CC=CN&amp;NR=106881242A&amp;KC=A</v>
      </c>
    </row>
    <row r="2503" spans="3:5" x14ac:dyDescent="0.25">
      <c r="C2503" t="s">
        <v>1003</v>
      </c>
      <c r="D2503" t="s">
        <v>1004</v>
      </c>
      <c r="E2503" t="str">
        <f>HYPERLINK("https://worldwide.espacenet.com/publicationDetails/biblio?II=178&amp;ND=3&amp;adjacent=true&amp;locale=en_EP&amp;FT=D&amp;date=20170620&amp;CC=CN&amp;NR=106864617A&amp;KC=A")</f>
        <v>https://worldwide.espacenet.com/publicationDetails/biblio?II=178&amp;ND=3&amp;adjacent=true&amp;locale=en_EP&amp;FT=D&amp;date=20170620&amp;CC=CN&amp;NR=106864617A&amp;KC=A</v>
      </c>
    </row>
    <row r="2504" spans="3:5" x14ac:dyDescent="0.25">
      <c r="C2504" t="s">
        <v>974</v>
      </c>
      <c r="D2504" t="s">
        <v>975</v>
      </c>
      <c r="E2504" t="str">
        <f>HYPERLINK("https://worldwide.espacenet.com/publicationDetails/biblio?II=179&amp;ND=3&amp;adjacent=true&amp;locale=en_EP&amp;FT=D&amp;date=20170613&amp;CC=CN&amp;NR=106826753A&amp;KC=A")</f>
        <v>https://worldwide.espacenet.com/publicationDetails/biblio?II=179&amp;ND=3&amp;adjacent=true&amp;locale=en_EP&amp;FT=D&amp;date=20170613&amp;CC=CN&amp;NR=106826753A&amp;KC=A</v>
      </c>
    </row>
    <row r="2505" spans="3:5" x14ac:dyDescent="0.25">
      <c r="C2505" t="s">
        <v>1005</v>
      </c>
      <c r="D2505" t="s">
        <v>1006</v>
      </c>
      <c r="E2505" t="str">
        <f>HYPERLINK("https://worldwide.espacenet.com/publicationDetails/biblio?II=180&amp;ND=3&amp;adjacent=true&amp;locale=en_EP&amp;FT=D&amp;date=20170613&amp;CC=CN&amp;NR=106842927A&amp;KC=A")</f>
        <v>https://worldwide.espacenet.com/publicationDetails/biblio?II=180&amp;ND=3&amp;adjacent=true&amp;locale=en_EP&amp;FT=D&amp;date=20170613&amp;CC=CN&amp;NR=106842927A&amp;KC=A</v>
      </c>
    </row>
    <row r="2506" spans="3:5" x14ac:dyDescent="0.25">
      <c r="C2506" t="s">
        <v>4109</v>
      </c>
      <c r="D2506" t="s">
        <v>4110</v>
      </c>
      <c r="E2506" t="str">
        <f>HYPERLINK("https://worldwide.espacenet.com/publicationDetails/biblio?II=181&amp;ND=3&amp;adjacent=true&amp;locale=en_EP&amp;FT=D&amp;date=20170613&amp;CC=CN&amp;NR=106840724A&amp;KC=A")</f>
        <v>https://worldwide.espacenet.com/publicationDetails/biblio?II=181&amp;ND=3&amp;adjacent=true&amp;locale=en_EP&amp;FT=D&amp;date=20170613&amp;CC=CN&amp;NR=106840724A&amp;KC=A</v>
      </c>
    </row>
    <row r="2507" spans="3:5" x14ac:dyDescent="0.25">
      <c r="C2507" t="s">
        <v>1007</v>
      </c>
      <c r="D2507" t="s">
        <v>1008</v>
      </c>
      <c r="E2507" t="str">
        <f>HYPERLINK("https://worldwide.espacenet.com/publicationDetails/biblio?II=182&amp;ND=3&amp;adjacent=true&amp;locale=en_EP&amp;FT=D&amp;date=20170627&amp;CC=CN&amp;NR=206277398U&amp;KC=U")</f>
        <v>https://worldwide.espacenet.com/publicationDetails/biblio?II=182&amp;ND=3&amp;adjacent=true&amp;locale=en_EP&amp;FT=D&amp;date=20170627&amp;CC=CN&amp;NR=206277398U&amp;KC=U</v>
      </c>
    </row>
    <row r="2508" spans="3:5" x14ac:dyDescent="0.25">
      <c r="C2508" t="s">
        <v>3684</v>
      </c>
      <c r="D2508" t="s">
        <v>3685</v>
      </c>
      <c r="E2508" t="str">
        <f>HYPERLINK("https://worldwide.espacenet.com/publicationDetails/biblio?II=183&amp;ND=3&amp;adjacent=true&amp;locale=en_EP&amp;FT=D&amp;date=20170627&amp;CC=CN&amp;NR=206277418U&amp;KC=U")</f>
        <v>https://worldwide.espacenet.com/publicationDetails/biblio?II=183&amp;ND=3&amp;adjacent=true&amp;locale=en_EP&amp;FT=D&amp;date=20170627&amp;CC=CN&amp;NR=206277418U&amp;KC=U</v>
      </c>
    </row>
    <row r="2509" spans="3:5" x14ac:dyDescent="0.25">
      <c r="C2509" t="s">
        <v>4111</v>
      </c>
      <c r="D2509" t="s">
        <v>4112</v>
      </c>
      <c r="E2509" t="str">
        <f>HYPERLINK("https://worldwide.espacenet.com/publicationDetails/biblio?II=184&amp;ND=3&amp;adjacent=true&amp;locale=en_EP&amp;FT=D&amp;date=20170623&amp;CC=CN&amp;NR=206273540U&amp;KC=U")</f>
        <v>https://worldwide.espacenet.com/publicationDetails/biblio?II=184&amp;ND=3&amp;adjacent=true&amp;locale=en_EP&amp;FT=D&amp;date=20170623&amp;CC=CN&amp;NR=206273540U&amp;KC=U</v>
      </c>
    </row>
    <row r="2510" spans="3:5" x14ac:dyDescent="0.25">
      <c r="C2510" t="s">
        <v>4113</v>
      </c>
      <c r="D2510" t="s">
        <v>4114</v>
      </c>
      <c r="E2510" t="str">
        <f>HYPERLINK("https://worldwide.espacenet.com/publicationDetails/biblio?II=185&amp;ND=3&amp;adjacent=true&amp;locale=en_EP&amp;FT=D&amp;date=20170531&amp;CC=CN&amp;NR=106739754A&amp;KC=A")</f>
        <v>https://worldwide.espacenet.com/publicationDetails/biblio?II=185&amp;ND=3&amp;adjacent=true&amp;locale=en_EP&amp;FT=D&amp;date=20170531&amp;CC=CN&amp;NR=106739754A&amp;KC=A</v>
      </c>
    </row>
    <row r="2511" spans="3:5" x14ac:dyDescent="0.25">
      <c r="C2511" t="s">
        <v>3710</v>
      </c>
      <c r="D2511" t="s">
        <v>3711</v>
      </c>
      <c r="E2511" t="str">
        <f>HYPERLINK("https://worldwide.espacenet.com/publicationDetails/biblio?II=186&amp;ND=3&amp;adjacent=true&amp;locale=en_EP&amp;FT=D&amp;date=20170531&amp;CC=CN&amp;NR=106741291A&amp;KC=A")</f>
        <v>https://worldwide.espacenet.com/publicationDetails/biblio?II=186&amp;ND=3&amp;adjacent=true&amp;locale=en_EP&amp;FT=D&amp;date=20170531&amp;CC=CN&amp;NR=106741291A&amp;KC=A</v>
      </c>
    </row>
    <row r="2512" spans="3:5" x14ac:dyDescent="0.25">
      <c r="C2512" t="s">
        <v>1009</v>
      </c>
      <c r="D2512" t="s">
        <v>1010</v>
      </c>
      <c r="E2512" t="str">
        <f>HYPERLINK("https://worldwide.espacenet.com/publicationDetails/biblio?II=187&amp;ND=3&amp;adjacent=true&amp;locale=en_EP&amp;FT=D&amp;date=20170531&amp;CC=CN&amp;NR=106737841A&amp;KC=A")</f>
        <v>https://worldwide.espacenet.com/publicationDetails/biblio?II=187&amp;ND=3&amp;adjacent=true&amp;locale=en_EP&amp;FT=D&amp;date=20170531&amp;CC=CN&amp;NR=106737841A&amp;KC=A</v>
      </c>
    </row>
    <row r="2513" spans="3:5" x14ac:dyDescent="0.25">
      <c r="C2513" t="s">
        <v>4115</v>
      </c>
      <c r="D2513" t="s">
        <v>4116</v>
      </c>
      <c r="E2513" t="str">
        <f>HYPERLINK("https://worldwide.espacenet.com/publicationDetails/biblio?II=188&amp;ND=3&amp;adjacent=true&amp;locale=en_EP&amp;FT=D&amp;date=20170531&amp;CC=CN&amp;NR=106741288A&amp;KC=A")</f>
        <v>https://worldwide.espacenet.com/publicationDetails/biblio?II=188&amp;ND=3&amp;adjacent=true&amp;locale=en_EP&amp;FT=D&amp;date=20170531&amp;CC=CN&amp;NR=106741288A&amp;KC=A</v>
      </c>
    </row>
    <row r="2514" spans="3:5" x14ac:dyDescent="0.25">
      <c r="C2514" t="s">
        <v>4117</v>
      </c>
      <c r="D2514" t="s">
        <v>4118</v>
      </c>
      <c r="E2514" t="str">
        <f>HYPERLINK("https://worldwide.espacenet.com/publicationDetails/biblio?II=189&amp;ND=3&amp;adjacent=true&amp;locale=en_EP&amp;FT=D&amp;date=20170531&amp;CC=CN&amp;NR=106730885A&amp;KC=A")</f>
        <v>https://worldwide.espacenet.com/publicationDetails/biblio?II=189&amp;ND=3&amp;adjacent=true&amp;locale=en_EP&amp;FT=D&amp;date=20170531&amp;CC=CN&amp;NR=106730885A&amp;KC=A</v>
      </c>
    </row>
    <row r="2515" spans="3:5" x14ac:dyDescent="0.25">
      <c r="C2515" t="s">
        <v>3724</v>
      </c>
      <c r="D2515" t="s">
        <v>3725</v>
      </c>
      <c r="E2515" t="str">
        <f>HYPERLINK("https://worldwide.espacenet.com/publicationDetails/biblio?II=190&amp;ND=3&amp;adjacent=true&amp;locale=en_EP&amp;FT=D&amp;date=20170531&amp;CC=CN&amp;NR=106737587A&amp;KC=A")</f>
        <v>https://worldwide.espacenet.com/publicationDetails/biblio?II=190&amp;ND=3&amp;adjacent=true&amp;locale=en_EP&amp;FT=D&amp;date=20170531&amp;CC=CN&amp;NR=106737587A&amp;KC=A</v>
      </c>
    </row>
    <row r="2516" spans="3:5" x14ac:dyDescent="0.25">
      <c r="C2516" t="s">
        <v>3726</v>
      </c>
      <c r="D2516" t="s">
        <v>3727</v>
      </c>
      <c r="E2516" t="str">
        <f>HYPERLINK("https://worldwide.espacenet.com/publicationDetails/biblio?II=191&amp;ND=3&amp;adjacent=true&amp;locale=en_EP&amp;FT=D&amp;date=20170524&amp;CC=CN&amp;NR=106695807A&amp;KC=A")</f>
        <v>https://worldwide.espacenet.com/publicationDetails/biblio?II=191&amp;ND=3&amp;adjacent=true&amp;locale=en_EP&amp;FT=D&amp;date=20170524&amp;CC=CN&amp;NR=106695807A&amp;KC=A</v>
      </c>
    </row>
    <row r="2517" spans="3:5" x14ac:dyDescent="0.25">
      <c r="C2517" t="s">
        <v>1011</v>
      </c>
      <c r="D2517" t="s">
        <v>1012</v>
      </c>
      <c r="E2517" t="str">
        <f>HYPERLINK("https://worldwide.espacenet.com/publicationDetails/biblio?II=192&amp;ND=3&amp;adjacent=true&amp;locale=en_EP&amp;FT=D&amp;date=20170524&amp;CC=CN&amp;NR=106696629A&amp;KC=A")</f>
        <v>https://worldwide.espacenet.com/publicationDetails/biblio?II=192&amp;ND=3&amp;adjacent=true&amp;locale=en_EP&amp;FT=D&amp;date=20170524&amp;CC=CN&amp;NR=106696629A&amp;KC=A</v>
      </c>
    </row>
    <row r="2518" spans="3:5" x14ac:dyDescent="0.25">
      <c r="C2518" t="s">
        <v>1013</v>
      </c>
      <c r="D2518" t="s">
        <v>1014</v>
      </c>
      <c r="E2518" t="str">
        <f>HYPERLINK("https://worldwide.espacenet.com/publicationDetails/biblio?II=193&amp;ND=3&amp;adjacent=true&amp;locale=en_EP&amp;FT=D&amp;date=20170531&amp;CC=CN&amp;NR=106773663A&amp;KC=A")</f>
        <v>https://worldwide.espacenet.com/publicationDetails/biblio?II=193&amp;ND=3&amp;adjacent=true&amp;locale=en_EP&amp;FT=D&amp;date=20170531&amp;CC=CN&amp;NR=106773663A&amp;KC=A</v>
      </c>
    </row>
    <row r="2519" spans="3:5" x14ac:dyDescent="0.25">
      <c r="C2519" t="s">
        <v>3734</v>
      </c>
      <c r="D2519" t="s">
        <v>3735</v>
      </c>
      <c r="E2519" t="str">
        <f>HYPERLINK("https://worldwide.espacenet.com/publicationDetails/biblio?II=194&amp;ND=3&amp;adjacent=true&amp;locale=en_EP&amp;FT=D&amp;date=20170531&amp;CC=CN&amp;NR=106760767A&amp;KC=A")</f>
        <v>https://worldwide.espacenet.com/publicationDetails/biblio?II=194&amp;ND=3&amp;adjacent=true&amp;locale=en_EP&amp;FT=D&amp;date=20170531&amp;CC=CN&amp;NR=106760767A&amp;KC=A</v>
      </c>
    </row>
    <row r="2520" spans="3:5" x14ac:dyDescent="0.25">
      <c r="C2520" t="s">
        <v>4119</v>
      </c>
      <c r="D2520" t="s">
        <v>4120</v>
      </c>
      <c r="E2520" t="str">
        <f>HYPERLINK("https://worldwide.espacenet.com/publicationDetails/biblio?II=195&amp;ND=3&amp;adjacent=true&amp;locale=en_EP&amp;FT=D&amp;date=20170531&amp;CC=CN&amp;NR=106760766A&amp;KC=A")</f>
        <v>https://worldwide.espacenet.com/publicationDetails/biblio?II=195&amp;ND=3&amp;adjacent=true&amp;locale=en_EP&amp;FT=D&amp;date=20170531&amp;CC=CN&amp;NR=106760766A&amp;KC=A</v>
      </c>
    </row>
    <row r="2521" spans="3:5" x14ac:dyDescent="0.25">
      <c r="C2521" t="s">
        <v>4121</v>
      </c>
      <c r="D2521" t="s">
        <v>4122</v>
      </c>
      <c r="E2521" t="str">
        <f>HYPERLINK("https://worldwide.espacenet.com/publicationDetails/biblio?II=196&amp;ND=3&amp;adjacent=true&amp;locale=en_EP&amp;FT=D&amp;date=20170531&amp;CC=CN&amp;NR=106720285A&amp;KC=A")</f>
        <v>https://worldwide.espacenet.com/publicationDetails/biblio?II=196&amp;ND=3&amp;adjacent=true&amp;locale=en_EP&amp;FT=D&amp;date=20170531&amp;CC=CN&amp;NR=106720285A&amp;KC=A</v>
      </c>
    </row>
    <row r="2522" spans="3:5" x14ac:dyDescent="0.25">
      <c r="C2522" t="s">
        <v>1015</v>
      </c>
      <c r="D2522" t="s">
        <v>1016</v>
      </c>
      <c r="E2522" t="str">
        <f>HYPERLINK("https://worldwide.espacenet.com/publicationDetails/biblio?II=197&amp;ND=3&amp;adjacent=true&amp;locale=en_EP&amp;FT=D&amp;date=20170531&amp;CC=CN&amp;NR=106733875A&amp;KC=A")</f>
        <v>https://worldwide.espacenet.com/publicationDetails/biblio?II=197&amp;ND=3&amp;adjacent=true&amp;locale=en_EP&amp;FT=D&amp;date=20170531&amp;CC=CN&amp;NR=106733875A&amp;KC=A</v>
      </c>
    </row>
    <row r="2523" spans="3:5" x14ac:dyDescent="0.25">
      <c r="C2523" t="s">
        <v>4123</v>
      </c>
      <c r="D2523" t="s">
        <v>4124</v>
      </c>
      <c r="E2523" t="str">
        <f>HYPERLINK("https://worldwide.espacenet.com/publicationDetails/biblio?II=198&amp;ND=3&amp;adjacent=true&amp;locale=en_EP&amp;FT=D&amp;date=20170524&amp;CC=CN&amp;NR=106711861A&amp;KC=A")</f>
        <v>https://worldwide.espacenet.com/publicationDetails/biblio?II=198&amp;ND=3&amp;adjacent=true&amp;locale=en_EP&amp;FT=D&amp;date=20170524&amp;CC=CN&amp;NR=106711861A&amp;KC=A</v>
      </c>
    </row>
    <row r="2524" spans="3:5" x14ac:dyDescent="0.25">
      <c r="C2524" t="s">
        <v>1017</v>
      </c>
      <c r="D2524" t="s">
        <v>1018</v>
      </c>
      <c r="E2524" t="str">
        <f>HYPERLINK("https://worldwide.espacenet.com/publicationDetails/biblio?II=199&amp;ND=3&amp;adjacent=true&amp;locale=en_EP&amp;FT=D&amp;date=20170510&amp;CC=CN&amp;NR=106625569A&amp;KC=A")</f>
        <v>https://worldwide.espacenet.com/publicationDetails/biblio?II=199&amp;ND=3&amp;adjacent=true&amp;locale=en_EP&amp;FT=D&amp;date=20170510&amp;CC=CN&amp;NR=106625569A&amp;KC=A</v>
      </c>
    </row>
    <row r="2525" spans="3:5" x14ac:dyDescent="0.25">
      <c r="C2525" t="s">
        <v>3750</v>
      </c>
      <c r="D2525" t="s">
        <v>3751</v>
      </c>
      <c r="E2525" t="str">
        <f>HYPERLINK("https://worldwide.espacenet.com/publicationDetails/biblio?II=200&amp;ND=3&amp;adjacent=true&amp;locale=en_EP&amp;FT=D&amp;date=20170510&amp;CC=CN&amp;NR=106629090A&amp;KC=A")</f>
        <v>https://worldwide.espacenet.com/publicationDetails/biblio?II=200&amp;ND=3&amp;adjacent=true&amp;locale=en_EP&amp;FT=D&amp;date=20170510&amp;CC=CN&amp;NR=106629090A&amp;KC=A</v>
      </c>
    </row>
    <row r="2526" spans="3:5" x14ac:dyDescent="0.25">
      <c r="C2526" t="s">
        <v>4125</v>
      </c>
      <c r="D2526" t="s">
        <v>4126</v>
      </c>
      <c r="E2526" t="str">
        <f>HYPERLINK("https://worldwide.espacenet.com/publicationDetails/biblio?II=201&amp;ND=3&amp;adjacent=true&amp;locale=en_EP&amp;FT=D&amp;date=20170517&amp;CC=CN&amp;NR=106671094A&amp;KC=A")</f>
        <v>https://worldwide.espacenet.com/publicationDetails/biblio?II=201&amp;ND=3&amp;adjacent=true&amp;locale=en_EP&amp;FT=D&amp;date=20170517&amp;CC=CN&amp;NR=106671094A&amp;KC=A</v>
      </c>
    </row>
    <row r="2527" spans="3:5" x14ac:dyDescent="0.25">
      <c r="C2527" t="s">
        <v>1019</v>
      </c>
      <c r="D2527" t="s">
        <v>1020</v>
      </c>
      <c r="E2527" t="str">
        <f>HYPERLINK("https://worldwide.espacenet.com/publicationDetails/biblio?II=202&amp;ND=3&amp;adjacent=true&amp;locale=en_EP&amp;FT=D&amp;date=20170510&amp;CC=CN&amp;NR=106627894A&amp;KC=A")</f>
        <v>https://worldwide.espacenet.com/publicationDetails/biblio?II=202&amp;ND=3&amp;adjacent=true&amp;locale=en_EP&amp;FT=D&amp;date=20170510&amp;CC=CN&amp;NR=106627894A&amp;KC=A</v>
      </c>
    </row>
    <row r="2528" spans="3:5" x14ac:dyDescent="0.25">
      <c r="C2528" t="s">
        <v>3756</v>
      </c>
      <c r="D2528" t="s">
        <v>3757</v>
      </c>
      <c r="E2528" t="str">
        <f>HYPERLINK("https://worldwide.espacenet.com/publicationDetails/biblio?II=203&amp;ND=3&amp;adjacent=true&amp;locale=en_EP&amp;FT=D&amp;date=20170510&amp;CC=CN&amp;NR=106625592A&amp;KC=A")</f>
        <v>https://worldwide.espacenet.com/publicationDetails/biblio?II=203&amp;ND=3&amp;adjacent=true&amp;locale=en_EP&amp;FT=D&amp;date=20170510&amp;CC=CN&amp;NR=106625592A&amp;KC=A</v>
      </c>
    </row>
    <row r="2529" spans="3:5" x14ac:dyDescent="0.25">
      <c r="C2529" t="s">
        <v>976</v>
      </c>
      <c r="D2529" t="s">
        <v>977</v>
      </c>
      <c r="E2529" t="str">
        <f>HYPERLINK("https://worldwide.espacenet.com/publicationDetails/biblio?II=204&amp;ND=3&amp;adjacent=true&amp;locale=en_EP&amp;FT=D&amp;date=20170510&amp;CC=CN&amp;NR=106627824A&amp;KC=A")</f>
        <v>https://worldwide.espacenet.com/publicationDetails/biblio?II=204&amp;ND=3&amp;adjacent=true&amp;locale=en_EP&amp;FT=D&amp;date=20170510&amp;CC=CN&amp;NR=106627824A&amp;KC=A</v>
      </c>
    </row>
    <row r="2530" spans="3:5" x14ac:dyDescent="0.25">
      <c r="C2530" t="s">
        <v>4127</v>
      </c>
      <c r="D2530" t="s">
        <v>4128</v>
      </c>
      <c r="E2530" t="str">
        <f>HYPERLINK("https://worldwide.espacenet.com/publicationDetails/biblio?II=205&amp;ND=3&amp;adjacent=true&amp;locale=en_EP&amp;FT=D&amp;date=20170510&amp;CC=CN&amp;NR=106656706A&amp;KC=A")</f>
        <v>https://worldwide.espacenet.com/publicationDetails/biblio?II=205&amp;ND=3&amp;adjacent=true&amp;locale=en_EP&amp;FT=D&amp;date=20170510&amp;CC=CN&amp;NR=106656706A&amp;KC=A</v>
      </c>
    </row>
    <row r="2531" spans="3:5" x14ac:dyDescent="0.25">
      <c r="C2531" t="s">
        <v>4129</v>
      </c>
      <c r="D2531" t="s">
        <v>4130</v>
      </c>
      <c r="E2531" t="str">
        <f>HYPERLINK("https://worldwide.espacenet.com/publicationDetails/biblio?II=206&amp;ND=3&amp;adjacent=true&amp;locale=en_EP&amp;FT=D&amp;date=20170510&amp;CC=CN&amp;NR=106625584A&amp;KC=A")</f>
        <v>https://worldwide.espacenet.com/publicationDetails/biblio?II=206&amp;ND=3&amp;adjacent=true&amp;locale=en_EP&amp;FT=D&amp;date=20170510&amp;CC=CN&amp;NR=106625584A&amp;KC=A</v>
      </c>
    </row>
    <row r="2532" spans="3:5" x14ac:dyDescent="0.25">
      <c r="C2532" t="s">
        <v>4131</v>
      </c>
      <c r="D2532" t="s">
        <v>4132</v>
      </c>
      <c r="E2532" t="str">
        <f>HYPERLINK("https://worldwide.espacenet.com/publicationDetails/biblio?II=207&amp;ND=3&amp;adjacent=true&amp;locale=en_EP&amp;FT=D&amp;date=20170606&amp;CC=CN&amp;NR=206216673U&amp;KC=U")</f>
        <v>https://worldwide.espacenet.com/publicationDetails/biblio?II=207&amp;ND=3&amp;adjacent=true&amp;locale=en_EP&amp;FT=D&amp;date=20170606&amp;CC=CN&amp;NR=206216673U&amp;KC=U</v>
      </c>
    </row>
    <row r="2533" spans="3:5" x14ac:dyDescent="0.25">
      <c r="C2533" t="s">
        <v>1007</v>
      </c>
      <c r="D2533" t="s">
        <v>1021</v>
      </c>
      <c r="E2533" t="str">
        <f>HYPERLINK("https://worldwide.espacenet.com/publicationDetails/biblio?II=208&amp;ND=3&amp;adjacent=true&amp;locale=en_EP&amp;FT=D&amp;date=20170524&amp;CC=CN&amp;NR=206185856U&amp;KC=U")</f>
        <v>https://worldwide.espacenet.com/publicationDetails/biblio?II=208&amp;ND=3&amp;adjacent=true&amp;locale=en_EP&amp;FT=D&amp;date=20170524&amp;CC=CN&amp;NR=206185856U&amp;KC=U</v>
      </c>
    </row>
    <row r="2534" spans="3:5" x14ac:dyDescent="0.25">
      <c r="C2534" t="s">
        <v>3842</v>
      </c>
      <c r="D2534" t="s">
        <v>4133</v>
      </c>
      <c r="E2534" t="str">
        <f>HYPERLINK("https://worldwide.espacenet.com/publicationDetails/biblio?II=209&amp;ND=3&amp;adjacent=true&amp;locale=en_EP&amp;FT=D&amp;date=20170510&amp;CC=CN&amp;NR=206154281U&amp;KC=U")</f>
        <v>https://worldwide.espacenet.com/publicationDetails/biblio?II=209&amp;ND=3&amp;adjacent=true&amp;locale=en_EP&amp;FT=D&amp;date=20170510&amp;CC=CN&amp;NR=206154281U&amp;KC=U</v>
      </c>
    </row>
    <row r="2535" spans="3:5" x14ac:dyDescent="0.25">
      <c r="C2535" t="s">
        <v>4134</v>
      </c>
      <c r="D2535" t="s">
        <v>4135</v>
      </c>
      <c r="E2535" t="str">
        <f>HYPERLINK("https://worldwide.espacenet.com/publicationDetails/biblio?II=210&amp;ND=3&amp;adjacent=true&amp;locale=en_EP&amp;FT=D&amp;date=20170403&amp;CC=KR&amp;NR=20170036443A&amp;KC=A")</f>
        <v>https://worldwide.espacenet.com/publicationDetails/biblio?II=210&amp;ND=3&amp;adjacent=true&amp;locale=en_EP&amp;FT=D&amp;date=20170403&amp;CC=KR&amp;NR=20170036443A&amp;KC=A</v>
      </c>
    </row>
    <row r="2536" spans="3:5" x14ac:dyDescent="0.25">
      <c r="C2536" t="s">
        <v>1022</v>
      </c>
      <c r="D2536" t="s">
        <v>1023</v>
      </c>
      <c r="E2536" t="str">
        <f>HYPERLINK("https://worldwide.espacenet.com/publicationDetails/biblio?II=211&amp;ND=3&amp;adjacent=true&amp;locale=en_EP&amp;FT=D&amp;date=20170426&amp;CC=CN&amp;NR=106593438A&amp;KC=A")</f>
        <v>https://worldwide.espacenet.com/publicationDetails/biblio?II=211&amp;ND=3&amp;adjacent=true&amp;locale=en_EP&amp;FT=D&amp;date=20170426&amp;CC=CN&amp;NR=106593438A&amp;KC=A</v>
      </c>
    </row>
    <row r="2537" spans="3:5" x14ac:dyDescent="0.25">
      <c r="C2537" t="s">
        <v>4136</v>
      </c>
      <c r="D2537" t="s">
        <v>4137</v>
      </c>
      <c r="E2537" t="str">
        <f>HYPERLINK("https://worldwide.espacenet.com/publicationDetails/biblio?II=212&amp;ND=3&amp;adjacent=true&amp;locale=en_EP&amp;FT=D&amp;date=20170419&amp;CC=CN&amp;NR=106564539A&amp;KC=A")</f>
        <v>https://worldwide.espacenet.com/publicationDetails/biblio?II=212&amp;ND=3&amp;adjacent=true&amp;locale=en_EP&amp;FT=D&amp;date=20170419&amp;CC=CN&amp;NR=106564539A&amp;KC=A</v>
      </c>
    </row>
    <row r="2538" spans="3:5" x14ac:dyDescent="0.25">
      <c r="C2538" t="s">
        <v>1024</v>
      </c>
      <c r="D2538" t="s">
        <v>1025</v>
      </c>
      <c r="E2538" t="str">
        <f>HYPERLINK("https://worldwide.espacenet.com/publicationDetails/biblio?II=213&amp;ND=3&amp;adjacent=true&amp;locale=en_EP&amp;FT=D&amp;date=20170420&amp;CC=US&amp;NR=2017106738A1&amp;KC=A1")</f>
        <v>https://worldwide.espacenet.com/publicationDetails/biblio?II=213&amp;ND=3&amp;adjacent=true&amp;locale=en_EP&amp;FT=D&amp;date=20170420&amp;CC=US&amp;NR=2017106738A1&amp;KC=A1</v>
      </c>
    </row>
    <row r="2539" spans="3:5" x14ac:dyDescent="0.25">
      <c r="C2539" t="s">
        <v>4138</v>
      </c>
      <c r="D2539" t="s">
        <v>4139</v>
      </c>
      <c r="E2539" t="str">
        <f>HYPERLINK("https://worldwide.espacenet.com/publicationDetails/biblio?II=214&amp;ND=3&amp;adjacent=true&amp;locale=en_EP&amp;FT=D&amp;date=20170406&amp;CC=JP&amp;NR=2017064868A&amp;KC=A")</f>
        <v>https://worldwide.espacenet.com/publicationDetails/biblio?II=214&amp;ND=3&amp;adjacent=true&amp;locale=en_EP&amp;FT=D&amp;date=20170406&amp;CC=JP&amp;NR=2017064868A&amp;KC=A</v>
      </c>
    </row>
    <row r="2540" spans="3:5" x14ac:dyDescent="0.25">
      <c r="C2540" t="s">
        <v>4140</v>
      </c>
      <c r="D2540" t="s">
        <v>4141</v>
      </c>
      <c r="E2540" t="str">
        <f>HYPERLINK("https://worldwide.espacenet.com/publicationDetails/biblio?II=215&amp;ND=3&amp;adjacent=true&amp;locale=en_EP&amp;FT=D&amp;date=20170412&amp;CC=CN&amp;NR=206088327U&amp;KC=U")</f>
        <v>https://worldwide.espacenet.com/publicationDetails/biblio?II=215&amp;ND=3&amp;adjacent=true&amp;locale=en_EP&amp;FT=D&amp;date=20170412&amp;CC=CN&amp;NR=206088327U&amp;KC=U</v>
      </c>
    </row>
    <row r="2541" spans="3:5" x14ac:dyDescent="0.25">
      <c r="C2541" t="s">
        <v>4142</v>
      </c>
      <c r="D2541" t="s">
        <v>4143</v>
      </c>
      <c r="E2541" t="str">
        <f>HYPERLINK("https://worldwide.espacenet.com/publicationDetails/biblio?II=216&amp;ND=3&amp;adjacent=true&amp;locale=en_EP&amp;FT=D&amp;date=20170412&amp;CC=CN&amp;NR=206085064U&amp;KC=U")</f>
        <v>https://worldwide.espacenet.com/publicationDetails/biblio?II=216&amp;ND=3&amp;adjacent=true&amp;locale=en_EP&amp;FT=D&amp;date=20170412&amp;CC=CN&amp;NR=206085064U&amp;KC=U</v>
      </c>
    </row>
    <row r="2542" spans="3:5" x14ac:dyDescent="0.25">
      <c r="C2542" t="s">
        <v>4144</v>
      </c>
      <c r="D2542" t="s">
        <v>4145</v>
      </c>
      <c r="E2542" t="str">
        <f>HYPERLINK("https://worldwide.espacenet.com/publicationDetails/biblio?II=217&amp;ND=3&amp;adjacent=true&amp;locale=en_EP&amp;FT=D&amp;date=20170412&amp;CC=CN&amp;NR=206085063U&amp;KC=U")</f>
        <v>https://worldwide.espacenet.com/publicationDetails/biblio?II=217&amp;ND=3&amp;adjacent=true&amp;locale=en_EP&amp;FT=D&amp;date=20170412&amp;CC=CN&amp;NR=206085063U&amp;KC=U</v>
      </c>
    </row>
    <row r="2543" spans="3:5" x14ac:dyDescent="0.25">
      <c r="C2543" t="s">
        <v>3784</v>
      </c>
      <c r="D2543" t="s">
        <v>3785</v>
      </c>
      <c r="E2543" t="str">
        <f>HYPERLINK("https://worldwide.espacenet.com/publicationDetails/biblio?II=218&amp;ND=3&amp;adjacent=true&amp;locale=en_EP&amp;FT=D&amp;date=20170405&amp;CC=CN&amp;NR=206066439U&amp;KC=U")</f>
        <v>https://worldwide.espacenet.com/publicationDetails/biblio?II=218&amp;ND=3&amp;adjacent=true&amp;locale=en_EP&amp;FT=D&amp;date=20170405&amp;CC=CN&amp;NR=206066439U&amp;KC=U</v>
      </c>
    </row>
    <row r="2544" spans="3:5" x14ac:dyDescent="0.25">
      <c r="C2544" t="s">
        <v>3796</v>
      </c>
      <c r="D2544" t="s">
        <v>3797</v>
      </c>
      <c r="E2544" t="str">
        <f>HYPERLINK("https://worldwide.espacenet.com/publicationDetails/biblio?II=219&amp;ND=3&amp;adjacent=true&amp;locale=en_EP&amp;FT=D&amp;date=20170329&amp;CC=CN&amp;NR=206048180U&amp;KC=U")</f>
        <v>https://worldwide.espacenet.com/publicationDetails/biblio?II=219&amp;ND=3&amp;adjacent=true&amp;locale=en_EP&amp;FT=D&amp;date=20170329&amp;CC=CN&amp;NR=206048180U&amp;KC=U</v>
      </c>
    </row>
    <row r="2545" spans="3:5" x14ac:dyDescent="0.25">
      <c r="C2545" t="s">
        <v>4146</v>
      </c>
      <c r="D2545" t="s">
        <v>4147</v>
      </c>
      <c r="E2545" t="str">
        <f>HYPERLINK("https://worldwide.espacenet.com/publicationDetails/biblio?II=220&amp;ND=3&amp;adjacent=true&amp;locale=en_EP&amp;FT=D&amp;date=20170322&amp;CC=CN&amp;NR=106534121A&amp;KC=A")</f>
        <v>https://worldwide.espacenet.com/publicationDetails/biblio?II=220&amp;ND=3&amp;adjacent=true&amp;locale=en_EP&amp;FT=D&amp;date=20170322&amp;CC=CN&amp;NR=106534121A&amp;KC=A</v>
      </c>
    </row>
    <row r="2546" spans="3:5" x14ac:dyDescent="0.25">
      <c r="C2546" t="s">
        <v>4148</v>
      </c>
      <c r="D2546" t="s">
        <v>4149</v>
      </c>
      <c r="E2546" t="str">
        <f>HYPERLINK("https://worldwide.espacenet.com/publicationDetails/biblio?II=221&amp;ND=3&amp;adjacent=true&amp;locale=en_EP&amp;FT=D&amp;date=20170322&amp;CC=CN&amp;NR=206029948U&amp;KC=U")</f>
        <v>https://worldwide.espacenet.com/publicationDetails/biblio?II=221&amp;ND=3&amp;adjacent=true&amp;locale=en_EP&amp;FT=D&amp;date=20170322&amp;CC=CN&amp;NR=206029948U&amp;KC=U</v>
      </c>
    </row>
    <row r="2547" spans="3:5" x14ac:dyDescent="0.25">
      <c r="C2547" t="s">
        <v>3806</v>
      </c>
      <c r="D2547" t="s">
        <v>3807</v>
      </c>
      <c r="E2547" t="str">
        <f>HYPERLINK("https://worldwide.espacenet.com/publicationDetails/biblio?II=222&amp;ND=3&amp;adjacent=true&amp;locale=en_EP&amp;FT=D&amp;date=20170322&amp;CC=CN&amp;NR=206029881U&amp;KC=U")</f>
        <v>https://worldwide.espacenet.com/publicationDetails/biblio?II=222&amp;ND=3&amp;adjacent=true&amp;locale=en_EP&amp;FT=D&amp;date=20170322&amp;CC=CN&amp;NR=206029881U&amp;KC=U</v>
      </c>
    </row>
    <row r="2548" spans="3:5" x14ac:dyDescent="0.25">
      <c r="C2548" t="s">
        <v>4150</v>
      </c>
      <c r="D2548" t="s">
        <v>4151</v>
      </c>
      <c r="E2548" t="str">
        <f>HYPERLINK("https://worldwide.espacenet.com/publicationDetails/biblio?II=223&amp;ND=3&amp;adjacent=true&amp;locale=en_EP&amp;FT=D&amp;date=20170322&amp;CC=CN&amp;NR=206031548U&amp;KC=U")</f>
        <v>https://worldwide.espacenet.com/publicationDetails/biblio?II=223&amp;ND=3&amp;adjacent=true&amp;locale=en_EP&amp;FT=D&amp;date=20170322&amp;CC=CN&amp;NR=206031548U&amp;KC=U</v>
      </c>
    </row>
    <row r="2549" spans="3:5" x14ac:dyDescent="0.25">
      <c r="C2549" t="s">
        <v>4152</v>
      </c>
      <c r="D2549" t="s">
        <v>4153</v>
      </c>
      <c r="E2549" t="str">
        <f>HYPERLINK("https://worldwide.espacenet.com/publicationDetails/biblio?II=224&amp;ND=3&amp;adjacent=true&amp;locale=en_EP&amp;FT=D&amp;date=20170315&amp;CC=CN&amp;NR=106502243A&amp;KC=A")</f>
        <v>https://worldwide.espacenet.com/publicationDetails/biblio?II=224&amp;ND=3&amp;adjacent=true&amp;locale=en_EP&amp;FT=D&amp;date=20170315&amp;CC=CN&amp;NR=106502243A&amp;KC=A</v>
      </c>
    </row>
    <row r="2550" spans="3:5" x14ac:dyDescent="0.25">
      <c r="C2550" t="s">
        <v>3816</v>
      </c>
      <c r="D2550" t="s">
        <v>3817</v>
      </c>
      <c r="E2550" t="str">
        <f>HYPERLINK("https://worldwide.espacenet.com/publicationDetails/biblio?II=225&amp;ND=3&amp;adjacent=true&amp;locale=en_EP&amp;FT=D&amp;date=20170323&amp;CC=US&amp;NR=2017080558A1&amp;KC=A1")</f>
        <v>https://worldwide.espacenet.com/publicationDetails/biblio?II=225&amp;ND=3&amp;adjacent=true&amp;locale=en_EP&amp;FT=D&amp;date=20170323&amp;CC=US&amp;NR=2017080558A1&amp;KC=A1</v>
      </c>
    </row>
    <row r="2551" spans="3:5" x14ac:dyDescent="0.25">
      <c r="C2551" t="s">
        <v>4154</v>
      </c>
      <c r="D2551" t="s">
        <v>4155</v>
      </c>
      <c r="E2551" t="str">
        <f>HYPERLINK("https://worldwide.espacenet.com/publicationDetails/biblio?II=226&amp;ND=3&amp;adjacent=true&amp;locale=en_EP&amp;FT=D&amp;date=20170315&amp;CC=CN&amp;NR=206011141U&amp;KC=U")</f>
        <v>https://worldwide.espacenet.com/publicationDetails/biblio?II=226&amp;ND=3&amp;adjacent=true&amp;locale=en_EP&amp;FT=D&amp;date=20170315&amp;CC=CN&amp;NR=206011141U&amp;KC=U</v>
      </c>
    </row>
    <row r="2552" spans="3:5" x14ac:dyDescent="0.25">
      <c r="C2552" t="s">
        <v>4156</v>
      </c>
      <c r="D2552" t="s">
        <v>4157</v>
      </c>
      <c r="E2552" t="str">
        <f>HYPERLINK("https://worldwide.espacenet.com/publicationDetails/biblio?II=227&amp;ND=3&amp;adjacent=true&amp;locale=en_EP&amp;FT=D&amp;date=20170222&amp;CC=CN&amp;NR=106426193A&amp;KC=A")</f>
        <v>https://worldwide.espacenet.com/publicationDetails/biblio?II=227&amp;ND=3&amp;adjacent=true&amp;locale=en_EP&amp;FT=D&amp;date=20170222&amp;CC=CN&amp;NR=106426193A&amp;KC=A</v>
      </c>
    </row>
    <row r="2553" spans="3:5" x14ac:dyDescent="0.25">
      <c r="C2553" t="s">
        <v>1026</v>
      </c>
      <c r="D2553" t="s">
        <v>1027</v>
      </c>
      <c r="E2553" t="str">
        <f>HYPERLINK("https://worldwide.espacenet.com/publicationDetails/biblio?II=228&amp;ND=3&amp;adjacent=true&amp;locale=en_EP&amp;FT=D&amp;date=20170222&amp;CC=CN&amp;NR=106452206A&amp;KC=A")</f>
        <v>https://worldwide.espacenet.com/publicationDetails/biblio?II=228&amp;ND=3&amp;adjacent=true&amp;locale=en_EP&amp;FT=D&amp;date=20170222&amp;CC=CN&amp;NR=106452206A&amp;KC=A</v>
      </c>
    </row>
    <row r="2554" spans="3:5" x14ac:dyDescent="0.25">
      <c r="C2554" t="s">
        <v>4158</v>
      </c>
      <c r="D2554" t="s">
        <v>4159</v>
      </c>
      <c r="E2554" t="str">
        <f>HYPERLINK("https://worldwide.espacenet.com/publicationDetails/biblio?II=229&amp;ND=3&amp;adjacent=true&amp;locale=en_EP&amp;FT=D&amp;date=20170222&amp;CC=CN&amp;NR=106439222A&amp;KC=A")</f>
        <v>https://worldwide.espacenet.com/publicationDetails/biblio?II=229&amp;ND=3&amp;adjacent=true&amp;locale=en_EP&amp;FT=D&amp;date=20170222&amp;CC=CN&amp;NR=106439222A&amp;KC=A</v>
      </c>
    </row>
    <row r="2555" spans="3:5" x14ac:dyDescent="0.25">
      <c r="C2555" t="s">
        <v>3828</v>
      </c>
      <c r="D2555" t="s">
        <v>3829</v>
      </c>
      <c r="E2555" t="str">
        <f>HYPERLINK("https://worldwide.espacenet.com/publicationDetails/biblio?II=230&amp;ND=3&amp;adjacent=true&amp;locale=en_EP&amp;FT=D&amp;date=20170222&amp;CC=CN&amp;NR=106426126A&amp;KC=A")</f>
        <v>https://worldwide.espacenet.com/publicationDetails/biblio?II=230&amp;ND=3&amp;adjacent=true&amp;locale=en_EP&amp;FT=D&amp;date=20170222&amp;CC=CN&amp;NR=106426126A&amp;KC=A</v>
      </c>
    </row>
    <row r="2556" spans="3:5" x14ac:dyDescent="0.25">
      <c r="C2556" t="s">
        <v>4160</v>
      </c>
      <c r="D2556" t="s">
        <v>4161</v>
      </c>
      <c r="E2556" t="str">
        <f>HYPERLINK("https://worldwide.espacenet.com/publicationDetails/biblio?II=231&amp;ND=3&amp;adjacent=true&amp;locale=en_EP&amp;FT=D&amp;date=20170222&amp;CC=CN&amp;NR=106428823A&amp;KC=A")</f>
        <v>https://worldwide.espacenet.com/publicationDetails/biblio?II=231&amp;ND=3&amp;adjacent=true&amp;locale=en_EP&amp;FT=D&amp;date=20170222&amp;CC=CN&amp;NR=106428823A&amp;KC=A</v>
      </c>
    </row>
    <row r="2557" spans="3:5" x14ac:dyDescent="0.25">
      <c r="C2557" t="s">
        <v>4162</v>
      </c>
      <c r="D2557" t="s">
        <v>4163</v>
      </c>
      <c r="E2557" t="str">
        <f>HYPERLINK("https://worldwide.espacenet.com/publicationDetails/biblio?II=232&amp;ND=3&amp;adjacent=true&amp;locale=en_EP&amp;FT=D&amp;date=20170222&amp;CC=CN&amp;NR=106420257A&amp;KC=A")</f>
        <v>https://worldwide.espacenet.com/publicationDetails/biblio?II=232&amp;ND=3&amp;adjacent=true&amp;locale=en_EP&amp;FT=D&amp;date=20170222&amp;CC=CN&amp;NR=106420257A&amp;KC=A</v>
      </c>
    </row>
    <row r="2558" spans="3:5" x14ac:dyDescent="0.25">
      <c r="C2558" t="s">
        <v>4164</v>
      </c>
      <c r="D2558" t="s">
        <v>4165</v>
      </c>
      <c r="E2558" t="str">
        <f>HYPERLINK("https://worldwide.espacenet.com/publicationDetails/biblio?II=233&amp;ND=3&amp;adjacent=true&amp;locale=en_EP&amp;FT=D&amp;date=20161228&amp;CC=CN&amp;NR=205836515U&amp;KC=U")</f>
        <v>https://worldwide.espacenet.com/publicationDetails/biblio?II=233&amp;ND=3&amp;adjacent=true&amp;locale=en_EP&amp;FT=D&amp;date=20161228&amp;CC=CN&amp;NR=205836515U&amp;KC=U</v>
      </c>
    </row>
    <row r="2559" spans="3:5" x14ac:dyDescent="0.25">
      <c r="C2559" t="s">
        <v>4166</v>
      </c>
      <c r="D2559" t="s">
        <v>4167</v>
      </c>
      <c r="E2559" t="str">
        <f>HYPERLINK("https://worldwide.espacenet.com/publicationDetails/biblio?II=234&amp;ND=3&amp;adjacent=true&amp;locale=en_EP&amp;FT=D&amp;date=20161228&amp;CC=CN&amp;NR=205835292U&amp;KC=U")</f>
        <v>https://worldwide.espacenet.com/publicationDetails/biblio?II=234&amp;ND=3&amp;adjacent=true&amp;locale=en_EP&amp;FT=D&amp;date=20161228&amp;CC=CN&amp;NR=205835292U&amp;KC=U</v>
      </c>
    </row>
    <row r="2560" spans="3:5" x14ac:dyDescent="0.25">
      <c r="C2560" t="s">
        <v>4168</v>
      </c>
      <c r="D2560" t="s">
        <v>4169</v>
      </c>
      <c r="E2560" t="str">
        <f>HYPERLINK("https://worldwide.espacenet.com/publicationDetails/biblio?II=235&amp;ND=3&amp;adjacent=true&amp;locale=en_EP&amp;FT=D&amp;date=20161214&amp;CC=CN&amp;NR=205801472U&amp;KC=U")</f>
        <v>https://worldwide.espacenet.com/publicationDetails/biblio?II=235&amp;ND=3&amp;adjacent=true&amp;locale=en_EP&amp;FT=D&amp;date=20161214&amp;CC=CN&amp;NR=205801472U&amp;KC=U</v>
      </c>
    </row>
    <row r="2561" spans="3:5" x14ac:dyDescent="0.25">
      <c r="C2561" t="s">
        <v>4170</v>
      </c>
      <c r="D2561" t="s">
        <v>4171</v>
      </c>
      <c r="E2561" t="str">
        <f>HYPERLINK("https://worldwide.espacenet.com/publicationDetails/biblio?II=236&amp;ND=3&amp;adjacent=true&amp;locale=en_EP&amp;FT=D&amp;date=20170215&amp;CC=CN&amp;NR=106387953A&amp;KC=A")</f>
        <v>https://worldwide.espacenet.com/publicationDetails/biblio?II=236&amp;ND=3&amp;adjacent=true&amp;locale=en_EP&amp;FT=D&amp;date=20170215&amp;CC=CN&amp;NR=106387953A&amp;KC=A</v>
      </c>
    </row>
    <row r="2562" spans="3:5" x14ac:dyDescent="0.25">
      <c r="C2562" t="s">
        <v>4172</v>
      </c>
      <c r="D2562" t="s">
        <v>4173</v>
      </c>
      <c r="E2562" t="str">
        <f>HYPERLINK("https://worldwide.espacenet.com/publicationDetails/biblio?II=237&amp;ND=3&amp;adjacent=true&amp;locale=en_EP&amp;FT=D&amp;date=20161221&amp;CC=CN&amp;NR=106238648A&amp;KC=A")</f>
        <v>https://worldwide.espacenet.com/publicationDetails/biblio?II=237&amp;ND=3&amp;adjacent=true&amp;locale=en_EP&amp;FT=D&amp;date=20161221&amp;CC=CN&amp;NR=106238648A&amp;KC=A</v>
      </c>
    </row>
    <row r="2563" spans="3:5" x14ac:dyDescent="0.25">
      <c r="C2563" t="s">
        <v>3838</v>
      </c>
      <c r="D2563" t="s">
        <v>3839</v>
      </c>
      <c r="E2563" t="str">
        <f>HYPERLINK("https://worldwide.espacenet.com/publicationDetails/biblio?II=238&amp;ND=3&amp;adjacent=true&amp;locale=en_EP&amp;FT=D&amp;date=20161221&amp;CC=CN&amp;NR=106239500A&amp;KC=A")</f>
        <v>https://worldwide.espacenet.com/publicationDetails/biblio?II=238&amp;ND=3&amp;adjacent=true&amp;locale=en_EP&amp;FT=D&amp;date=20161221&amp;CC=CN&amp;NR=106239500A&amp;KC=A</v>
      </c>
    </row>
    <row r="2564" spans="3:5" x14ac:dyDescent="0.25">
      <c r="C2564" t="s">
        <v>4174</v>
      </c>
      <c r="D2564" t="s">
        <v>4175</v>
      </c>
      <c r="E2564" t="str">
        <f>HYPERLINK("https://worldwide.espacenet.com/publicationDetails/biblio?II=239&amp;ND=3&amp;adjacent=true&amp;locale=en_EP&amp;FT=D&amp;date=20161130&amp;CC=CN&amp;NR=106167056A&amp;KC=A")</f>
        <v>https://worldwide.espacenet.com/publicationDetails/biblio?II=239&amp;ND=3&amp;adjacent=true&amp;locale=en_EP&amp;FT=D&amp;date=20161130&amp;CC=CN&amp;NR=106167056A&amp;KC=A</v>
      </c>
    </row>
    <row r="2565" spans="3:5" x14ac:dyDescent="0.25">
      <c r="C2565" t="s">
        <v>4176</v>
      </c>
      <c r="D2565" t="s">
        <v>4177</v>
      </c>
      <c r="E2565" t="str">
        <f>HYPERLINK("https://worldwide.espacenet.com/publicationDetails/biblio?II=240&amp;ND=3&amp;adjacent=true&amp;locale=en_EP&amp;FT=D&amp;date=20170222&amp;CC=CN&amp;NR=205973532U&amp;KC=U")</f>
        <v>https://worldwide.espacenet.com/publicationDetails/biblio?II=240&amp;ND=3&amp;adjacent=true&amp;locale=en_EP&amp;FT=D&amp;date=20170222&amp;CC=CN&amp;NR=205973532U&amp;KC=U</v>
      </c>
    </row>
    <row r="2566" spans="3:5" x14ac:dyDescent="0.25">
      <c r="C2566" t="s">
        <v>4178</v>
      </c>
      <c r="D2566" t="s">
        <v>4179</v>
      </c>
      <c r="E2566" t="str">
        <f>HYPERLINK("https://worldwide.espacenet.com/publicationDetails/biblio?II=241&amp;ND=3&amp;adjacent=true&amp;locale=en_EP&amp;FT=D&amp;date=20170222&amp;CC=CN&amp;NR=205968230U&amp;KC=U")</f>
        <v>https://worldwide.espacenet.com/publicationDetails/biblio?II=241&amp;ND=3&amp;adjacent=true&amp;locale=en_EP&amp;FT=D&amp;date=20170222&amp;CC=CN&amp;NR=205968230U&amp;KC=U</v>
      </c>
    </row>
    <row r="2567" spans="3:5" x14ac:dyDescent="0.25">
      <c r="C2567" t="s">
        <v>4180</v>
      </c>
      <c r="D2567" t="s">
        <v>4181</v>
      </c>
      <c r="E2567" t="str">
        <f>HYPERLINK("https://worldwide.espacenet.com/publicationDetails/biblio?II=242&amp;ND=3&amp;adjacent=true&amp;locale=en_EP&amp;FT=D&amp;date=20170222&amp;CC=CN&amp;NR=205968226U&amp;KC=U")</f>
        <v>https://worldwide.espacenet.com/publicationDetails/biblio?II=242&amp;ND=3&amp;adjacent=true&amp;locale=en_EP&amp;FT=D&amp;date=20170222&amp;CC=CN&amp;NR=205968226U&amp;KC=U</v>
      </c>
    </row>
    <row r="2568" spans="3:5" x14ac:dyDescent="0.25">
      <c r="C2568" t="s">
        <v>4182</v>
      </c>
      <c r="D2568" t="s">
        <v>4183</v>
      </c>
      <c r="E2568" t="str">
        <f>HYPERLINK("https://worldwide.espacenet.com/publicationDetails/biblio?II=243&amp;ND=3&amp;adjacent=true&amp;locale=en_EP&amp;FT=D&amp;date=20170222&amp;CC=CN&amp;NR=205969074U&amp;KC=U")</f>
        <v>https://worldwide.espacenet.com/publicationDetails/biblio?II=243&amp;ND=3&amp;adjacent=true&amp;locale=en_EP&amp;FT=D&amp;date=20170222&amp;CC=CN&amp;NR=205969074U&amp;KC=U</v>
      </c>
    </row>
    <row r="2569" spans="3:5" x14ac:dyDescent="0.25">
      <c r="C2569" t="s">
        <v>4184</v>
      </c>
      <c r="D2569" t="s">
        <v>4185</v>
      </c>
      <c r="E2569" t="str">
        <f>HYPERLINK("https://worldwide.espacenet.com/publicationDetails/biblio?II=244&amp;ND=3&amp;adjacent=true&amp;locale=en_EP&amp;FT=D&amp;date=20170215&amp;CC=CN&amp;NR=205950759U&amp;KC=U")</f>
        <v>https://worldwide.espacenet.com/publicationDetails/biblio?II=244&amp;ND=3&amp;adjacent=true&amp;locale=en_EP&amp;FT=D&amp;date=20170215&amp;CC=CN&amp;NR=205950759U&amp;KC=U</v>
      </c>
    </row>
    <row r="2570" spans="3:5" x14ac:dyDescent="0.25">
      <c r="C2570" t="s">
        <v>1028</v>
      </c>
      <c r="D2570" t="s">
        <v>1029</v>
      </c>
      <c r="E2570" t="str">
        <f>HYPERLINK("https://worldwide.espacenet.com/publicationDetails/biblio?II=245&amp;ND=3&amp;adjacent=true&amp;locale=en_EP&amp;FT=D&amp;date=20170208&amp;CC=CN&amp;NR=205928674U&amp;KC=U")</f>
        <v>https://worldwide.espacenet.com/publicationDetails/biblio?II=245&amp;ND=3&amp;adjacent=true&amp;locale=en_EP&amp;FT=D&amp;date=20170208&amp;CC=CN&amp;NR=205928674U&amp;KC=U</v>
      </c>
    </row>
    <row r="2571" spans="3:5" x14ac:dyDescent="0.25">
      <c r="C2571" t="s">
        <v>3861</v>
      </c>
      <c r="D2571" t="s">
        <v>3862</v>
      </c>
      <c r="E2571" t="str">
        <f>HYPERLINK("https://worldwide.espacenet.com/publicationDetails/biblio?II=246&amp;ND=3&amp;adjacent=true&amp;locale=en_EP&amp;FT=D&amp;date=20170201&amp;CC=CN&amp;NR=106363666A&amp;KC=A")</f>
        <v>https://worldwide.espacenet.com/publicationDetails/biblio?II=246&amp;ND=3&amp;adjacent=true&amp;locale=en_EP&amp;FT=D&amp;date=20170201&amp;CC=CN&amp;NR=106363666A&amp;KC=A</v>
      </c>
    </row>
    <row r="2572" spans="3:5" x14ac:dyDescent="0.25">
      <c r="C2572" t="s">
        <v>4186</v>
      </c>
      <c r="D2572" t="s">
        <v>4187</v>
      </c>
      <c r="E2572" t="str">
        <f>HYPERLINK("https://worldwide.espacenet.com/publicationDetails/biblio?II=247&amp;ND=3&amp;adjacent=true&amp;locale=en_EP&amp;FT=D&amp;date=20170111&amp;CC=CN&amp;NR=106314846A&amp;KC=A")</f>
        <v>https://worldwide.espacenet.com/publicationDetails/biblio?II=247&amp;ND=3&amp;adjacent=true&amp;locale=en_EP&amp;FT=D&amp;date=20170111&amp;CC=CN&amp;NR=106314846A&amp;KC=A</v>
      </c>
    </row>
    <row r="2573" spans="3:5" x14ac:dyDescent="0.25">
      <c r="C2573" t="s">
        <v>4188</v>
      </c>
      <c r="D2573" t="s">
        <v>4189</v>
      </c>
      <c r="E2573" t="str">
        <f>HYPERLINK("https://worldwide.espacenet.com/publicationDetails/biblio?II=248&amp;ND=3&amp;adjacent=true&amp;locale=en_EP&amp;FT=D&amp;date=20170111&amp;CC=CN&amp;NR=106313055A&amp;KC=A")</f>
        <v>https://worldwide.espacenet.com/publicationDetails/biblio?II=248&amp;ND=3&amp;adjacent=true&amp;locale=en_EP&amp;FT=D&amp;date=20170111&amp;CC=CN&amp;NR=106313055A&amp;KC=A</v>
      </c>
    </row>
    <row r="2574" spans="3:5" x14ac:dyDescent="0.25">
      <c r="C2574" t="s">
        <v>1030</v>
      </c>
      <c r="D2574" t="s">
        <v>1031</v>
      </c>
      <c r="E2574" t="str">
        <f>HYPERLINK("https://worldwide.espacenet.com/publicationDetails/biblio?II=249&amp;ND=3&amp;adjacent=true&amp;locale=en_EP&amp;FT=D&amp;date=20170112&amp;CC=US&amp;NR=2017008579A1&amp;KC=A1")</f>
        <v>https://worldwide.espacenet.com/publicationDetails/biblio?II=249&amp;ND=3&amp;adjacent=true&amp;locale=en_EP&amp;FT=D&amp;date=20170112&amp;CC=US&amp;NR=2017008579A1&amp;KC=A1</v>
      </c>
    </row>
    <row r="2575" spans="3:5" x14ac:dyDescent="0.25">
      <c r="C2575" t="s">
        <v>1032</v>
      </c>
      <c r="D2575" t="s">
        <v>1033</v>
      </c>
      <c r="E2575" t="str">
        <f>HYPERLINK("https://worldwide.espacenet.com/publicationDetails/biblio?II=250&amp;ND=3&amp;adjacent=true&amp;locale=en_EP&amp;FT=D&amp;date=20170112&amp;CC=US&amp;NR=2017008176A1&amp;KC=A1")</f>
        <v>https://worldwide.espacenet.com/publicationDetails/biblio?II=250&amp;ND=3&amp;adjacent=true&amp;locale=en_EP&amp;FT=D&amp;date=20170112&amp;CC=US&amp;NR=2017008176A1&amp;KC=A1</v>
      </c>
    </row>
    <row r="2576" spans="3:5" x14ac:dyDescent="0.25">
      <c r="C2576" t="s">
        <v>3881</v>
      </c>
      <c r="D2576" t="s">
        <v>3882</v>
      </c>
      <c r="E2576" t="str">
        <f>HYPERLINK("https://worldwide.espacenet.com/publicationDetails/biblio?II=251&amp;ND=3&amp;adjacent=true&amp;locale=en_EP&amp;FT=D&amp;date=20170104&amp;CC=CN&amp;NR=106272558A&amp;KC=A")</f>
        <v>https://worldwide.espacenet.com/publicationDetails/biblio?II=251&amp;ND=3&amp;adjacent=true&amp;locale=en_EP&amp;FT=D&amp;date=20170104&amp;CC=CN&amp;NR=106272558A&amp;KC=A</v>
      </c>
    </row>
    <row r="2577" spans="3:5" x14ac:dyDescent="0.25">
      <c r="C2577" t="s">
        <v>3885</v>
      </c>
      <c r="D2577" t="s">
        <v>3886</v>
      </c>
      <c r="E2577" t="str">
        <f>HYPERLINK("https://worldwide.espacenet.com/publicationDetails/biblio?II=252&amp;ND=3&amp;adjacent=true&amp;locale=en_EP&amp;FT=D&amp;date=20170104&amp;CC=CN&amp;NR=106271277A&amp;KC=A")</f>
        <v>https://worldwide.espacenet.com/publicationDetails/biblio?II=252&amp;ND=3&amp;adjacent=true&amp;locale=en_EP&amp;FT=D&amp;date=20170104&amp;CC=CN&amp;NR=106271277A&amp;KC=A</v>
      </c>
    </row>
    <row r="2578" spans="3:5" x14ac:dyDescent="0.25">
      <c r="C2578" t="s">
        <v>3889</v>
      </c>
      <c r="D2578" t="s">
        <v>3890</v>
      </c>
      <c r="E2578" t="str">
        <f>HYPERLINK("https://worldwide.espacenet.com/publicationDetails/biblio?II=253&amp;ND=3&amp;adjacent=true&amp;locale=en_EP&amp;FT=D&amp;date=20170111&amp;CC=CN&amp;NR=205877587U&amp;KC=U")</f>
        <v>https://worldwide.espacenet.com/publicationDetails/biblio?II=253&amp;ND=3&amp;adjacent=true&amp;locale=en_EP&amp;FT=D&amp;date=20170111&amp;CC=CN&amp;NR=205877587U&amp;KC=U</v>
      </c>
    </row>
    <row r="2579" spans="3:5" x14ac:dyDescent="0.25">
      <c r="C2579" t="s">
        <v>4190</v>
      </c>
      <c r="D2579" t="s">
        <v>4191</v>
      </c>
      <c r="E2579" t="str">
        <f>HYPERLINK("https://worldwide.espacenet.com/publicationDetails/biblio?II=254&amp;ND=3&amp;adjacent=true&amp;locale=en_EP&amp;FT=D&amp;date=20170104&amp;CC=CN&amp;NR=106272339A&amp;KC=A")</f>
        <v>https://worldwide.espacenet.com/publicationDetails/biblio?II=254&amp;ND=3&amp;adjacent=true&amp;locale=en_EP&amp;FT=D&amp;date=20170104&amp;CC=CN&amp;NR=106272339A&amp;KC=A</v>
      </c>
    </row>
    <row r="2580" spans="3:5" x14ac:dyDescent="0.25">
      <c r="C2580" t="s">
        <v>4192</v>
      </c>
      <c r="D2580" t="s">
        <v>4193</v>
      </c>
      <c r="E2580" t="str">
        <f>HYPERLINK("https://worldwide.espacenet.com/publicationDetails/biblio?II=255&amp;ND=3&amp;adjacent=true&amp;locale=en_EP&amp;FT=D&amp;date=20170104&amp;CC=CN&amp;NR=106272489A&amp;KC=A")</f>
        <v>https://worldwide.espacenet.com/publicationDetails/biblio?II=255&amp;ND=3&amp;adjacent=true&amp;locale=en_EP&amp;FT=D&amp;date=20170104&amp;CC=CN&amp;NR=106272489A&amp;KC=A</v>
      </c>
    </row>
    <row r="2581" spans="3:5" x14ac:dyDescent="0.25">
      <c r="C2581" t="s">
        <v>1034</v>
      </c>
      <c r="D2581" t="s">
        <v>1035</v>
      </c>
      <c r="E2581" t="str">
        <f>HYPERLINK("https://worldwide.espacenet.com/publicationDetails/biblio?II=256&amp;ND=3&amp;adjacent=true&amp;locale=en_EP&amp;FT=D&amp;date=20161221&amp;CC=CN&amp;NR=106239503A&amp;KC=A")</f>
        <v>https://worldwide.espacenet.com/publicationDetails/biblio?II=256&amp;ND=3&amp;adjacent=true&amp;locale=en_EP&amp;FT=D&amp;date=20161221&amp;CC=CN&amp;NR=106239503A&amp;KC=A</v>
      </c>
    </row>
    <row r="2582" spans="3:5" x14ac:dyDescent="0.25">
      <c r="C2582" t="s">
        <v>3899</v>
      </c>
      <c r="D2582" t="s">
        <v>3900</v>
      </c>
      <c r="E2582" t="str">
        <f>HYPERLINK("https://worldwide.espacenet.com/publicationDetails/biblio?II=257&amp;ND=3&amp;adjacent=true&amp;locale=en_EP&amp;FT=D&amp;date=20161221&amp;CC=CN&amp;NR=106249741A&amp;KC=A")</f>
        <v>https://worldwide.espacenet.com/publicationDetails/biblio?II=257&amp;ND=3&amp;adjacent=true&amp;locale=en_EP&amp;FT=D&amp;date=20161221&amp;CC=CN&amp;NR=106249741A&amp;KC=A</v>
      </c>
    </row>
    <row r="2583" spans="3:5" x14ac:dyDescent="0.25">
      <c r="C2583" t="s">
        <v>4194</v>
      </c>
      <c r="D2583" t="s">
        <v>4195</v>
      </c>
      <c r="E2583" t="str">
        <f>HYPERLINK("https://worldwide.espacenet.com/publicationDetails/biblio?II=258&amp;ND=3&amp;adjacent=true&amp;locale=en_EP&amp;FT=D&amp;date=20161221&amp;CC=CN&amp;NR=205817906U&amp;KC=U")</f>
        <v>https://worldwide.espacenet.com/publicationDetails/biblio?II=258&amp;ND=3&amp;adjacent=true&amp;locale=en_EP&amp;FT=D&amp;date=20161221&amp;CC=CN&amp;NR=205817906U&amp;KC=U</v>
      </c>
    </row>
    <row r="2584" spans="3:5" x14ac:dyDescent="0.25">
      <c r="C2584" t="s">
        <v>3901</v>
      </c>
      <c r="D2584" t="s">
        <v>3902</v>
      </c>
      <c r="E2584" t="str">
        <f>HYPERLINK("https://worldwide.espacenet.com/publicationDetails/biblio?II=259&amp;ND=3&amp;adjacent=true&amp;locale=en_EP&amp;FT=D&amp;date=20161122&amp;CC=KR&amp;NR=20160133123A&amp;KC=A")</f>
        <v>https://worldwide.espacenet.com/publicationDetails/biblio?II=259&amp;ND=3&amp;adjacent=true&amp;locale=en_EP&amp;FT=D&amp;date=20161122&amp;CC=KR&amp;NR=20160133123A&amp;KC=A</v>
      </c>
    </row>
    <row r="2585" spans="3:5" x14ac:dyDescent="0.25">
      <c r="C2585" t="s">
        <v>4196</v>
      </c>
      <c r="D2585" t="s">
        <v>4197</v>
      </c>
      <c r="E2585" t="str">
        <f>HYPERLINK("https://worldwide.espacenet.com/publicationDetails/biblio?II=260&amp;ND=3&amp;adjacent=true&amp;locale=en_EP&amp;FT=D&amp;date=20161121&amp;CC=KR&amp;NR=20160132639A&amp;KC=A")</f>
        <v>https://worldwide.espacenet.com/publicationDetails/biblio?II=260&amp;ND=3&amp;adjacent=true&amp;locale=en_EP&amp;FT=D&amp;date=20161121&amp;CC=KR&amp;NR=20160132639A&amp;KC=A</v>
      </c>
    </row>
    <row r="2586" spans="3:5" x14ac:dyDescent="0.25">
      <c r="C2586" t="s">
        <v>3913</v>
      </c>
      <c r="D2586" t="s">
        <v>3914</v>
      </c>
      <c r="E2586" t="str">
        <f>HYPERLINK("https://worldwide.espacenet.com/publicationDetails/biblio?II=261&amp;ND=3&amp;adjacent=true&amp;locale=en_EP&amp;FT=D&amp;date=20161026&amp;CC=CN&amp;NR=106042003A&amp;KC=A")</f>
        <v>https://worldwide.espacenet.com/publicationDetails/biblio?II=261&amp;ND=3&amp;adjacent=true&amp;locale=en_EP&amp;FT=D&amp;date=20161026&amp;CC=CN&amp;NR=106042003A&amp;KC=A</v>
      </c>
    </row>
    <row r="2587" spans="3:5" x14ac:dyDescent="0.25">
      <c r="C2587" t="s">
        <v>4198</v>
      </c>
      <c r="D2587" t="s">
        <v>4199</v>
      </c>
      <c r="E2587" t="str">
        <f>HYPERLINK("https://worldwide.espacenet.com/publicationDetails/biblio?II=262&amp;ND=3&amp;adjacent=true&amp;locale=en_EP&amp;FT=D&amp;date=20161116&amp;CC=CN&amp;NR=106109163A&amp;KC=A")</f>
        <v>https://worldwide.espacenet.com/publicationDetails/biblio?II=262&amp;ND=3&amp;adjacent=true&amp;locale=en_EP&amp;FT=D&amp;date=20161116&amp;CC=CN&amp;NR=106109163A&amp;KC=A</v>
      </c>
    </row>
    <row r="2588" spans="3:5" x14ac:dyDescent="0.25">
      <c r="C2588" t="s">
        <v>4200</v>
      </c>
      <c r="D2588" t="s">
        <v>4201</v>
      </c>
      <c r="E2588" t="str">
        <f>HYPERLINK("https://worldwide.espacenet.com/publicationDetails/biblio?II=263&amp;ND=3&amp;adjacent=true&amp;locale=en_EP&amp;FT=D&amp;date=20161109&amp;CC=CN&amp;NR=106074076A&amp;KC=A")</f>
        <v>https://worldwide.espacenet.com/publicationDetails/biblio?II=263&amp;ND=3&amp;adjacent=true&amp;locale=en_EP&amp;FT=D&amp;date=20161109&amp;CC=CN&amp;NR=106074076A&amp;KC=A</v>
      </c>
    </row>
    <row r="2589" spans="3:5" x14ac:dyDescent="0.25">
      <c r="C2589" t="s">
        <v>1036</v>
      </c>
      <c r="D2589" t="s">
        <v>1037</v>
      </c>
      <c r="E2589" t="str">
        <f>HYPERLINK("https://worldwide.espacenet.com/publicationDetails/biblio?II=264&amp;ND=3&amp;adjacent=true&amp;locale=en_EP&amp;FT=D&amp;date=20161109&amp;CC=CN&amp;NR=205679960U&amp;KC=U")</f>
        <v>https://worldwide.espacenet.com/publicationDetails/biblio?II=264&amp;ND=3&amp;adjacent=true&amp;locale=en_EP&amp;FT=D&amp;date=20161109&amp;CC=CN&amp;NR=205679960U&amp;KC=U</v>
      </c>
    </row>
    <row r="2590" spans="3:5" x14ac:dyDescent="0.25">
      <c r="C2590" t="s">
        <v>4202</v>
      </c>
      <c r="D2590" t="s">
        <v>4203</v>
      </c>
      <c r="E2590" t="str">
        <f>HYPERLINK("https://worldwide.espacenet.com/publicationDetails/biblio?II=265&amp;ND=3&amp;adjacent=true&amp;locale=en_EP&amp;FT=D&amp;date=20161019&amp;CC=CN&amp;NR=205651360U&amp;KC=U")</f>
        <v>https://worldwide.espacenet.com/publicationDetails/biblio?II=265&amp;ND=3&amp;adjacent=true&amp;locale=en_EP&amp;FT=D&amp;date=20161019&amp;CC=CN&amp;NR=205651360U&amp;KC=U</v>
      </c>
    </row>
    <row r="2591" spans="3:5" x14ac:dyDescent="0.25">
      <c r="C2591" t="s">
        <v>4204</v>
      </c>
      <c r="D2591" t="s">
        <v>4205</v>
      </c>
      <c r="E2591" t="str">
        <f>HYPERLINK("https://worldwide.espacenet.com/publicationDetails/biblio?II=266&amp;ND=3&amp;adjacent=true&amp;locale=en_EP&amp;FT=D&amp;date=20161130&amp;CC=CN&amp;NR=106166051A&amp;KC=A")</f>
        <v>https://worldwide.espacenet.com/publicationDetails/biblio?II=266&amp;ND=3&amp;adjacent=true&amp;locale=en_EP&amp;FT=D&amp;date=20161130&amp;CC=CN&amp;NR=106166051A&amp;KC=A</v>
      </c>
    </row>
    <row r="2592" spans="3:5" x14ac:dyDescent="0.25">
      <c r="C2592" t="s">
        <v>4206</v>
      </c>
      <c r="D2592" t="s">
        <v>4207</v>
      </c>
      <c r="E2592" t="str">
        <f>HYPERLINK("https://worldwide.espacenet.com/publicationDetails/biblio?II=267&amp;ND=3&amp;adjacent=true&amp;locale=en_EP&amp;FT=D&amp;date=20161130&amp;CC=CN&amp;NR=106166738A&amp;KC=A")</f>
        <v>https://worldwide.espacenet.com/publicationDetails/biblio?II=267&amp;ND=3&amp;adjacent=true&amp;locale=en_EP&amp;FT=D&amp;date=20161130&amp;CC=CN&amp;NR=106166738A&amp;KC=A</v>
      </c>
    </row>
    <row r="2593" spans="3:5" x14ac:dyDescent="0.25">
      <c r="C2593" t="s">
        <v>3447</v>
      </c>
      <c r="D2593" t="s">
        <v>4208</v>
      </c>
      <c r="E2593" t="str">
        <f>HYPERLINK("https://worldwide.espacenet.com/publicationDetails/biblio?II=268&amp;ND=3&amp;adjacent=true&amp;locale=en_EP&amp;FT=D&amp;date=20161130&amp;CC=CN&amp;NR=205740261U&amp;KC=U")</f>
        <v>https://worldwide.espacenet.com/publicationDetails/biblio?II=268&amp;ND=3&amp;adjacent=true&amp;locale=en_EP&amp;FT=D&amp;date=20161130&amp;CC=CN&amp;NR=205740261U&amp;KC=U</v>
      </c>
    </row>
    <row r="2594" spans="3:5" x14ac:dyDescent="0.25">
      <c r="C2594" t="s">
        <v>4209</v>
      </c>
      <c r="D2594" t="s">
        <v>4210</v>
      </c>
      <c r="E2594" t="str">
        <f>HYPERLINK("https://worldwide.espacenet.com/publicationDetails/biblio?II=269&amp;ND=3&amp;adjacent=true&amp;locale=en_EP&amp;FT=D&amp;date=20161130&amp;CC=CN&amp;NR=205735025U&amp;KC=U")</f>
        <v>https://worldwide.espacenet.com/publicationDetails/biblio?II=269&amp;ND=3&amp;adjacent=true&amp;locale=en_EP&amp;FT=D&amp;date=20161130&amp;CC=CN&amp;NR=205735025U&amp;KC=U</v>
      </c>
    </row>
    <row r="2595" spans="3:5" x14ac:dyDescent="0.25">
      <c r="C2595" t="s">
        <v>4211</v>
      </c>
      <c r="D2595" t="s">
        <v>4212</v>
      </c>
      <c r="E2595" t="str">
        <f>HYPERLINK("https://worldwide.espacenet.com/publicationDetails/biblio?II=270&amp;ND=3&amp;adjacent=true&amp;locale=en_EP&amp;FT=D&amp;date=20161019&amp;CC=CN&amp;NR=205652230U&amp;KC=U")</f>
        <v>https://worldwide.espacenet.com/publicationDetails/biblio?II=270&amp;ND=3&amp;adjacent=true&amp;locale=en_EP&amp;FT=D&amp;date=20161019&amp;CC=CN&amp;NR=205652230U&amp;KC=U</v>
      </c>
    </row>
    <row r="2596" spans="3:5" x14ac:dyDescent="0.25">
      <c r="C2596" t="s">
        <v>4213</v>
      </c>
      <c r="D2596" t="s">
        <v>4214</v>
      </c>
      <c r="E2596" t="str">
        <f>HYPERLINK("https://worldwide.espacenet.com/publicationDetails/biblio?II=271&amp;ND=3&amp;adjacent=true&amp;locale=en_EP&amp;FT=D&amp;date=20161123&amp;CC=CN&amp;NR=106142121A&amp;KC=A")</f>
        <v>https://worldwide.espacenet.com/publicationDetails/biblio?II=271&amp;ND=3&amp;adjacent=true&amp;locale=en_EP&amp;FT=D&amp;date=20161123&amp;CC=CN&amp;NR=106142121A&amp;KC=A</v>
      </c>
    </row>
    <row r="2597" spans="3:5" x14ac:dyDescent="0.25">
      <c r="C2597" t="s">
        <v>4215</v>
      </c>
      <c r="D2597" t="s">
        <v>4216</v>
      </c>
      <c r="E2597" t="str">
        <f>HYPERLINK("https://worldwide.espacenet.com/publicationDetails/biblio?II=272&amp;ND=3&amp;adjacent=true&amp;locale=en_EP&amp;FT=D&amp;date=20161123&amp;CC=CN&amp;NR=205700976U&amp;KC=U")</f>
        <v>https://worldwide.espacenet.com/publicationDetails/biblio?II=272&amp;ND=3&amp;adjacent=true&amp;locale=en_EP&amp;FT=D&amp;date=20161123&amp;CC=CN&amp;NR=205700976U&amp;KC=U</v>
      </c>
    </row>
    <row r="2598" spans="3:5" x14ac:dyDescent="0.25">
      <c r="C2598" t="s">
        <v>4217</v>
      </c>
      <c r="D2598" t="s">
        <v>4218</v>
      </c>
      <c r="E2598" t="str">
        <f>HYPERLINK("https://worldwide.espacenet.com/publicationDetails/biblio?II=273&amp;ND=3&amp;adjacent=true&amp;locale=en_EP&amp;FT=D&amp;date=20161123&amp;CC=CN&amp;NR=205704200U&amp;KC=U")</f>
        <v>https://worldwide.espacenet.com/publicationDetails/biblio?II=273&amp;ND=3&amp;adjacent=true&amp;locale=en_EP&amp;FT=D&amp;date=20161123&amp;CC=CN&amp;NR=205704200U&amp;KC=U</v>
      </c>
    </row>
    <row r="2599" spans="3:5" x14ac:dyDescent="0.25">
      <c r="C2599" t="s">
        <v>1038</v>
      </c>
      <c r="D2599" t="s">
        <v>1039</v>
      </c>
      <c r="E2599" t="str">
        <f>HYPERLINK("https://worldwide.espacenet.com/publicationDetails/biblio?II=274&amp;ND=3&amp;adjacent=true&amp;locale=en_EP&amp;FT=D&amp;date=20161116&amp;CC=CN&amp;NR=205692040U&amp;KC=U")</f>
        <v>https://worldwide.espacenet.com/publicationDetails/biblio?II=274&amp;ND=3&amp;adjacent=true&amp;locale=en_EP&amp;FT=D&amp;date=20161116&amp;CC=CN&amp;NR=205692040U&amp;KC=U</v>
      </c>
    </row>
    <row r="2600" spans="3:5" x14ac:dyDescent="0.25">
      <c r="C2600" t="s">
        <v>4219</v>
      </c>
      <c r="D2600" t="s">
        <v>4220</v>
      </c>
      <c r="E2600" t="str">
        <f>HYPERLINK("https://worldwide.espacenet.com/publicationDetails/biblio?II=275&amp;ND=3&amp;adjacent=true&amp;locale=en_EP&amp;FT=D&amp;date=20161116&amp;CC=CN&amp;NR=205686504U&amp;KC=U")</f>
        <v>https://worldwide.espacenet.com/publicationDetails/biblio?II=275&amp;ND=3&amp;adjacent=true&amp;locale=en_EP&amp;FT=D&amp;date=20161116&amp;CC=CN&amp;NR=205686504U&amp;KC=U</v>
      </c>
    </row>
    <row r="2601" spans="3:5" x14ac:dyDescent="0.25">
      <c r="C2601" t="s">
        <v>4221</v>
      </c>
      <c r="D2601" t="s">
        <v>4222</v>
      </c>
      <c r="E2601" t="str">
        <f>HYPERLINK("https://worldwide.espacenet.com/publicationDetails/biblio?II=276&amp;ND=3&amp;adjacent=true&amp;locale=en_EP&amp;FT=D&amp;date=20161109&amp;CC=CN&amp;NR=106094831A&amp;KC=A")</f>
        <v>https://worldwide.espacenet.com/publicationDetails/biblio?II=276&amp;ND=3&amp;adjacent=true&amp;locale=en_EP&amp;FT=D&amp;date=20161109&amp;CC=CN&amp;NR=106094831A&amp;KC=A</v>
      </c>
    </row>
    <row r="2602" spans="3:5" x14ac:dyDescent="0.25">
      <c r="C2602" t="s">
        <v>1040</v>
      </c>
      <c r="D2602" t="s">
        <v>1041</v>
      </c>
      <c r="E2602" t="str">
        <f>HYPERLINK("https://worldwide.espacenet.com/publicationDetails/biblio?II=277&amp;ND=3&amp;adjacent=true&amp;locale=en_EP&amp;FT=D&amp;date=20161109&amp;CC=CN&amp;NR=106078744A&amp;KC=A")</f>
        <v>https://worldwide.espacenet.com/publicationDetails/biblio?II=277&amp;ND=3&amp;adjacent=true&amp;locale=en_EP&amp;FT=D&amp;date=20161109&amp;CC=CN&amp;NR=106078744A&amp;KC=A</v>
      </c>
    </row>
    <row r="2603" spans="3:5" x14ac:dyDescent="0.25">
      <c r="C2603" t="s">
        <v>4223</v>
      </c>
      <c r="D2603" t="s">
        <v>4224</v>
      </c>
      <c r="E2603" t="str">
        <f>HYPERLINK("https://worldwide.espacenet.com/publicationDetails/biblio?II=278&amp;ND=3&amp;adjacent=true&amp;locale=en_EP&amp;FT=D&amp;date=20161026&amp;CC=CN&amp;NR=106054921A&amp;KC=A")</f>
        <v>https://worldwide.espacenet.com/publicationDetails/biblio?II=278&amp;ND=3&amp;adjacent=true&amp;locale=en_EP&amp;FT=D&amp;date=20161026&amp;CC=CN&amp;NR=106054921A&amp;KC=A</v>
      </c>
    </row>
    <row r="2604" spans="3:5" x14ac:dyDescent="0.25">
      <c r="C2604" t="s">
        <v>4225</v>
      </c>
      <c r="D2604" t="s">
        <v>4226</v>
      </c>
      <c r="E2604" t="str">
        <f>HYPERLINK("https://worldwide.espacenet.com/publicationDetails/biblio?II=279&amp;ND=3&amp;adjacent=true&amp;locale=en_EP&amp;FT=D&amp;date=20161026&amp;CC=CN&amp;NR=106037934A&amp;KC=A")</f>
        <v>https://worldwide.espacenet.com/publicationDetails/biblio?II=279&amp;ND=3&amp;adjacent=true&amp;locale=en_EP&amp;FT=D&amp;date=20161026&amp;CC=CN&amp;NR=106037934A&amp;KC=A</v>
      </c>
    </row>
    <row r="2605" spans="3:5" x14ac:dyDescent="0.25">
      <c r="C2605" t="s">
        <v>4227</v>
      </c>
      <c r="D2605" t="s">
        <v>4228</v>
      </c>
      <c r="E2605" t="str">
        <f>HYPERLINK("https://worldwide.espacenet.com/publicationDetails/biblio?II=280&amp;ND=3&amp;adjacent=true&amp;locale=en_EP&amp;FT=D&amp;date=20161026&amp;CC=CN&amp;NR=106054885A&amp;KC=A")</f>
        <v>https://worldwide.espacenet.com/publicationDetails/biblio?II=280&amp;ND=3&amp;adjacent=true&amp;locale=en_EP&amp;FT=D&amp;date=20161026&amp;CC=CN&amp;NR=106054885A&amp;KC=A</v>
      </c>
    </row>
    <row r="2606" spans="3:5" x14ac:dyDescent="0.25">
      <c r="C2606" t="s">
        <v>4229</v>
      </c>
      <c r="D2606" t="s">
        <v>4230</v>
      </c>
      <c r="E2606" t="str">
        <f>HYPERLINK("https://worldwide.espacenet.com/publicationDetails/biblio?II=281&amp;ND=3&amp;adjacent=true&amp;locale=en_EP&amp;FT=D&amp;date=20161026&amp;CC=CN&amp;NR=205660722U&amp;KC=U")</f>
        <v>https://worldwide.espacenet.com/publicationDetails/biblio?II=281&amp;ND=3&amp;adjacent=true&amp;locale=en_EP&amp;FT=D&amp;date=20161026&amp;CC=CN&amp;NR=205660722U&amp;KC=U</v>
      </c>
    </row>
    <row r="2607" spans="3:5" x14ac:dyDescent="0.25">
      <c r="C2607" t="s">
        <v>4231</v>
      </c>
      <c r="D2607" t="s">
        <v>4232</v>
      </c>
      <c r="E2607" t="str">
        <f>HYPERLINK("https://worldwide.espacenet.com/publicationDetails/biblio?II=282&amp;ND=3&amp;adjacent=true&amp;locale=en_EP&amp;FT=D&amp;date=20161012&amp;CC=CN&amp;NR=106026878A&amp;KC=A")</f>
        <v>https://worldwide.espacenet.com/publicationDetails/biblio?II=282&amp;ND=3&amp;adjacent=true&amp;locale=en_EP&amp;FT=D&amp;date=20161012&amp;CC=CN&amp;NR=106026878A&amp;KC=A</v>
      </c>
    </row>
    <row r="2608" spans="3:5" x14ac:dyDescent="0.25">
      <c r="C2608" t="s">
        <v>4233</v>
      </c>
      <c r="D2608" t="s">
        <v>4234</v>
      </c>
      <c r="E2608" t="str">
        <f>HYPERLINK("https://worldwide.espacenet.com/publicationDetails/biblio?II=283&amp;ND=3&amp;adjacent=true&amp;locale=en_EP&amp;FT=D&amp;date=20161012&amp;CC=CN&amp;NR=106005080A&amp;KC=A")</f>
        <v>https://worldwide.espacenet.com/publicationDetails/biblio?II=283&amp;ND=3&amp;adjacent=true&amp;locale=en_EP&amp;FT=D&amp;date=20161012&amp;CC=CN&amp;NR=106005080A&amp;KC=A</v>
      </c>
    </row>
    <row r="2609" spans="3:5" x14ac:dyDescent="0.25">
      <c r="C2609" t="s">
        <v>4235</v>
      </c>
      <c r="D2609" t="s">
        <v>4236</v>
      </c>
      <c r="E2609" t="str">
        <f>HYPERLINK("https://worldwide.espacenet.com/publicationDetails/biblio?II=284&amp;ND=3&amp;adjacent=true&amp;locale=en_EP&amp;FT=D&amp;date=20161012&amp;CC=CN&amp;NR=205626745U&amp;KC=U")</f>
        <v>https://worldwide.espacenet.com/publicationDetails/biblio?II=284&amp;ND=3&amp;adjacent=true&amp;locale=en_EP&amp;FT=D&amp;date=20161012&amp;CC=CN&amp;NR=205626745U&amp;KC=U</v>
      </c>
    </row>
    <row r="2610" spans="3:5" x14ac:dyDescent="0.25">
      <c r="C2610" t="s">
        <v>4237</v>
      </c>
      <c r="D2610" t="s">
        <v>4238</v>
      </c>
      <c r="E2610" t="str">
        <f>HYPERLINK("https://worldwide.espacenet.com/publicationDetails/biblio?II=285&amp;ND=3&amp;adjacent=true&amp;locale=en_EP&amp;FT=D&amp;date=20161005&amp;CC=CN&amp;NR=205615602U&amp;KC=U")</f>
        <v>https://worldwide.espacenet.com/publicationDetails/biblio?II=285&amp;ND=3&amp;adjacent=true&amp;locale=en_EP&amp;FT=D&amp;date=20161005&amp;CC=CN&amp;NR=205615602U&amp;KC=U</v>
      </c>
    </row>
    <row r="2611" spans="3:5" x14ac:dyDescent="0.25">
      <c r="C2611" t="s">
        <v>4239</v>
      </c>
      <c r="D2611" t="s">
        <v>4240</v>
      </c>
      <c r="E2611" t="str">
        <f>HYPERLINK("https://worldwide.espacenet.com/publicationDetails/biblio?II=286&amp;ND=3&amp;adjacent=true&amp;locale=en_EP&amp;FT=D&amp;date=20161005&amp;CC=CN&amp;NR=205614643U&amp;KC=U")</f>
        <v>https://worldwide.espacenet.com/publicationDetails/biblio?II=286&amp;ND=3&amp;adjacent=true&amp;locale=en_EP&amp;FT=D&amp;date=20161005&amp;CC=CN&amp;NR=205614643U&amp;KC=U</v>
      </c>
    </row>
    <row r="2612" spans="3:5" x14ac:dyDescent="0.25">
      <c r="C2612" t="s">
        <v>4241</v>
      </c>
      <c r="D2612" t="s">
        <v>4242</v>
      </c>
      <c r="E2612" t="str">
        <f>HYPERLINK("https://worldwide.espacenet.com/publicationDetails/biblio?II=287&amp;ND=3&amp;adjacent=true&amp;locale=en_EP&amp;FT=D&amp;date=20161005&amp;CC=CN&amp;NR=205612920U&amp;KC=U")</f>
        <v>https://worldwide.espacenet.com/publicationDetails/biblio?II=287&amp;ND=3&amp;adjacent=true&amp;locale=en_EP&amp;FT=D&amp;date=20161005&amp;CC=CN&amp;NR=205612920U&amp;KC=U</v>
      </c>
    </row>
    <row r="2613" spans="3:5" x14ac:dyDescent="0.25">
      <c r="C2613" t="s">
        <v>4243</v>
      </c>
      <c r="D2613" t="s">
        <v>4244</v>
      </c>
      <c r="E2613" t="str">
        <f>HYPERLINK("https://worldwide.espacenet.com/publicationDetails/biblio?II=288&amp;ND=3&amp;adjacent=true&amp;locale=en_EP&amp;FT=D&amp;date=20161005&amp;CC=CN&amp;NR=205614642U&amp;KC=U")</f>
        <v>https://worldwide.espacenet.com/publicationDetails/biblio?II=288&amp;ND=3&amp;adjacent=true&amp;locale=en_EP&amp;FT=D&amp;date=20161005&amp;CC=CN&amp;NR=205614642U&amp;KC=U</v>
      </c>
    </row>
    <row r="2614" spans="3:5" x14ac:dyDescent="0.25">
      <c r="C2614" t="s">
        <v>4245</v>
      </c>
      <c r="D2614" t="s">
        <v>4246</v>
      </c>
      <c r="E2614" t="str">
        <f>HYPERLINK("https://worldwide.espacenet.com/publicationDetails/biblio?II=289&amp;ND=3&amp;adjacent=true&amp;locale=en_EP&amp;FT=D&amp;date=20160824&amp;CC=CN&amp;NR=105897625A&amp;KC=A")</f>
        <v>https://worldwide.espacenet.com/publicationDetails/biblio?II=289&amp;ND=3&amp;adjacent=true&amp;locale=en_EP&amp;FT=D&amp;date=20160824&amp;CC=CN&amp;NR=105897625A&amp;KC=A</v>
      </c>
    </row>
    <row r="2615" spans="3:5" x14ac:dyDescent="0.25">
      <c r="C2615" t="s">
        <v>4247</v>
      </c>
      <c r="D2615" t="s">
        <v>4248</v>
      </c>
      <c r="E2615" t="str">
        <f>HYPERLINK("https://worldwide.espacenet.com/publicationDetails/biblio?II=290&amp;ND=3&amp;adjacent=true&amp;locale=en_EP&amp;FT=D&amp;date=20160928&amp;CC=CN&amp;NR=205604675U&amp;KC=U")</f>
        <v>https://worldwide.espacenet.com/publicationDetails/biblio?II=290&amp;ND=3&amp;adjacent=true&amp;locale=en_EP&amp;FT=D&amp;date=20160928&amp;CC=CN&amp;NR=205604675U&amp;KC=U</v>
      </c>
    </row>
    <row r="2616" spans="3:5" x14ac:dyDescent="0.25">
      <c r="C2616" t="s">
        <v>4249</v>
      </c>
      <c r="D2616" t="s">
        <v>4250</v>
      </c>
      <c r="E2616" t="str">
        <f>HYPERLINK("https://worldwide.espacenet.com/publicationDetails/biblio?II=291&amp;ND=3&amp;adjacent=true&amp;locale=en_EP&amp;FT=D&amp;date=20160928&amp;CC=CN&amp;NR=205600456U&amp;KC=U")</f>
        <v>https://worldwide.espacenet.com/publicationDetails/biblio?II=291&amp;ND=3&amp;adjacent=true&amp;locale=en_EP&amp;FT=D&amp;date=20160928&amp;CC=CN&amp;NR=205600456U&amp;KC=U</v>
      </c>
    </row>
    <row r="2617" spans="3:5" x14ac:dyDescent="0.25">
      <c r="C2617" t="s">
        <v>4251</v>
      </c>
      <c r="D2617" t="s">
        <v>4252</v>
      </c>
      <c r="E2617" t="str">
        <f>HYPERLINK("https://worldwide.espacenet.com/publicationDetails/biblio?II=292&amp;ND=3&amp;adjacent=true&amp;locale=en_EP&amp;FT=D&amp;date=20160928&amp;CC=CN&amp;NR=205600708U&amp;KC=U")</f>
        <v>https://worldwide.espacenet.com/publicationDetails/biblio?II=292&amp;ND=3&amp;adjacent=true&amp;locale=en_EP&amp;FT=D&amp;date=20160928&amp;CC=CN&amp;NR=205600708U&amp;KC=U</v>
      </c>
    </row>
    <row r="2618" spans="3:5" x14ac:dyDescent="0.25">
      <c r="C2618" t="s">
        <v>4253</v>
      </c>
      <c r="D2618" t="s">
        <v>4254</v>
      </c>
      <c r="E2618" t="str">
        <f>HYPERLINK("https://worldwide.espacenet.com/publicationDetails/biblio?II=293&amp;ND=3&amp;adjacent=true&amp;locale=en_EP&amp;FT=D&amp;date=20160921&amp;CC=CN&amp;NR=205588332U&amp;KC=U")</f>
        <v>https://worldwide.espacenet.com/publicationDetails/biblio?II=293&amp;ND=3&amp;adjacent=true&amp;locale=en_EP&amp;FT=D&amp;date=20160921&amp;CC=CN&amp;NR=205588332U&amp;KC=U</v>
      </c>
    </row>
    <row r="2619" spans="3:5" x14ac:dyDescent="0.25">
      <c r="C2619" t="s">
        <v>4255</v>
      </c>
      <c r="D2619" t="s">
        <v>4256</v>
      </c>
      <c r="E2619" t="str">
        <f>HYPERLINK("https://worldwide.espacenet.com/publicationDetails/biblio?II=294&amp;ND=3&amp;adjacent=true&amp;locale=en_EP&amp;FT=D&amp;date=20160921&amp;CC=CN&amp;NR=105955256A&amp;KC=A")</f>
        <v>https://worldwide.espacenet.com/publicationDetails/biblio?II=294&amp;ND=3&amp;adjacent=true&amp;locale=en_EP&amp;FT=D&amp;date=20160921&amp;CC=CN&amp;NR=105955256A&amp;KC=A</v>
      </c>
    </row>
    <row r="2620" spans="3:5" x14ac:dyDescent="0.25">
      <c r="C2620" t="s">
        <v>4257</v>
      </c>
      <c r="D2620" t="s">
        <v>4258</v>
      </c>
      <c r="E2620" t="str">
        <f>HYPERLINK("https://worldwide.espacenet.com/publicationDetails/biblio?II=295&amp;ND=3&amp;adjacent=true&amp;locale=en_EP&amp;FT=D&amp;date=20160907&amp;CC=CN&amp;NR=205559681U&amp;KC=U")</f>
        <v>https://worldwide.espacenet.com/publicationDetails/biblio?II=295&amp;ND=3&amp;adjacent=true&amp;locale=en_EP&amp;FT=D&amp;date=20160907&amp;CC=CN&amp;NR=205559681U&amp;KC=U</v>
      </c>
    </row>
    <row r="2621" spans="3:5" x14ac:dyDescent="0.25">
      <c r="C2621" t="s">
        <v>4259</v>
      </c>
      <c r="D2621" t="s">
        <v>4260</v>
      </c>
      <c r="E2621" t="str">
        <f>HYPERLINK("https://worldwide.espacenet.com/publicationDetails/biblio?II=296&amp;ND=3&amp;adjacent=true&amp;locale=en_EP&amp;FT=D&amp;date=20160831&amp;CC=CN&amp;NR=205544765U&amp;KC=U")</f>
        <v>https://worldwide.espacenet.com/publicationDetails/biblio?II=296&amp;ND=3&amp;adjacent=true&amp;locale=en_EP&amp;FT=D&amp;date=20160831&amp;CC=CN&amp;NR=205544765U&amp;KC=U</v>
      </c>
    </row>
    <row r="2622" spans="3:5" x14ac:dyDescent="0.25">
      <c r="C2622" t="s">
        <v>4261</v>
      </c>
      <c r="D2622" t="s">
        <v>4262</v>
      </c>
      <c r="E2622" t="str">
        <f>HYPERLINK("https://worldwide.espacenet.com/publicationDetails/biblio?II=297&amp;ND=3&amp;adjacent=true&amp;locale=en_EP&amp;FT=D&amp;date=20160831&amp;CC=CN&amp;NR=205544760U&amp;KC=U")</f>
        <v>https://worldwide.espacenet.com/publicationDetails/biblio?II=297&amp;ND=3&amp;adjacent=true&amp;locale=en_EP&amp;FT=D&amp;date=20160831&amp;CC=CN&amp;NR=205544760U&amp;KC=U</v>
      </c>
    </row>
    <row r="2623" spans="3:5" x14ac:dyDescent="0.25">
      <c r="C2623" t="s">
        <v>4263</v>
      </c>
      <c r="D2623" t="s">
        <v>4264</v>
      </c>
      <c r="E2623" t="str">
        <f>HYPERLINK("https://worldwide.espacenet.com/publicationDetails/biblio?II=298&amp;ND=3&amp;adjacent=true&amp;locale=en_EP&amp;FT=D&amp;date=20160831&amp;CC=CN&amp;NR=205544764U&amp;KC=U")</f>
        <v>https://worldwide.espacenet.com/publicationDetails/biblio?II=298&amp;ND=3&amp;adjacent=true&amp;locale=en_EP&amp;FT=D&amp;date=20160831&amp;CC=CN&amp;NR=205544764U&amp;KC=U</v>
      </c>
    </row>
    <row r="2624" spans="3:5" x14ac:dyDescent="0.25">
      <c r="C2624" t="s">
        <v>4265</v>
      </c>
      <c r="D2624" t="s">
        <v>4266</v>
      </c>
      <c r="E2624" t="str">
        <f>HYPERLINK("https://worldwide.espacenet.com/publicationDetails/biblio?II=299&amp;ND=3&amp;adjacent=true&amp;locale=en_EP&amp;FT=D&amp;date=20160831&amp;CC=CN&amp;NR=205544766U&amp;KC=U")</f>
        <v>https://worldwide.espacenet.com/publicationDetails/biblio?II=299&amp;ND=3&amp;adjacent=true&amp;locale=en_EP&amp;FT=D&amp;date=20160831&amp;CC=CN&amp;NR=205544766U&amp;KC=U</v>
      </c>
    </row>
    <row r="2625" spans="1:5" x14ac:dyDescent="0.25">
      <c r="C2625" t="s">
        <v>4267</v>
      </c>
      <c r="D2625" t="s">
        <v>4268</v>
      </c>
      <c r="E2625" t="str">
        <f>HYPERLINK("https://worldwide.espacenet.com/publicationDetails/biblio?II=300&amp;ND=3&amp;adjacent=true&amp;locale=en_EP&amp;FT=D&amp;date=20160831&amp;CC=CN&amp;NR=105905177A&amp;KC=A")</f>
        <v>https://worldwide.espacenet.com/publicationDetails/biblio?II=300&amp;ND=3&amp;adjacent=true&amp;locale=en_EP&amp;FT=D&amp;date=20160831&amp;CC=CN&amp;NR=105905177A&amp;KC=A</v>
      </c>
    </row>
    <row r="2626" spans="1:5" x14ac:dyDescent="0.25">
      <c r="C2626" t="s">
        <v>4269</v>
      </c>
      <c r="D2626" t="s">
        <v>4270</v>
      </c>
      <c r="E2626" t="str">
        <f>HYPERLINK("https://worldwide.espacenet.com/publicationDetails/biblio?II=301&amp;ND=3&amp;adjacent=true&amp;locale=en_EP&amp;FT=D&amp;date=20160804&amp;CC=KR&amp;NR=20160092267A&amp;KC=A")</f>
        <v>https://worldwide.espacenet.com/publicationDetails/biblio?II=301&amp;ND=3&amp;adjacent=true&amp;locale=en_EP&amp;FT=D&amp;date=20160804&amp;CC=KR&amp;NR=20160092267A&amp;KC=A</v>
      </c>
    </row>
    <row r="2627" spans="1:5" x14ac:dyDescent="0.25">
      <c r="C2627" t="s">
        <v>1042</v>
      </c>
      <c r="D2627" t="s">
        <v>1043</v>
      </c>
      <c r="E2627" t="str">
        <f>HYPERLINK("https://worldwide.espacenet.com/publicationDetails/biblio?II=302&amp;ND=3&amp;adjacent=true&amp;locale=en_EP&amp;FT=D&amp;date=20160817&amp;CC=CN&amp;NR=205469357U&amp;KC=U")</f>
        <v>https://worldwide.espacenet.com/publicationDetails/biblio?II=302&amp;ND=3&amp;adjacent=true&amp;locale=en_EP&amp;FT=D&amp;date=20160817&amp;CC=CN&amp;NR=205469357U&amp;KC=U</v>
      </c>
    </row>
    <row r="2628" spans="1:5" x14ac:dyDescent="0.25">
      <c r="C2628" t="s">
        <v>1044</v>
      </c>
      <c r="D2628" t="s">
        <v>1045</v>
      </c>
      <c r="E2628" t="str">
        <f>HYPERLINK("https://worldwide.espacenet.com/publicationDetails/biblio?II=303&amp;ND=3&amp;adjacent=true&amp;locale=en_EP&amp;FT=D&amp;date=20160817&amp;CC=CN&amp;NR=205468385U&amp;KC=U")</f>
        <v>https://worldwide.espacenet.com/publicationDetails/biblio?II=303&amp;ND=3&amp;adjacent=true&amp;locale=en_EP&amp;FT=D&amp;date=20160817&amp;CC=CN&amp;NR=205468385U&amp;KC=U</v>
      </c>
    </row>
    <row r="2629" spans="1:5" x14ac:dyDescent="0.25">
      <c r="C2629" t="s">
        <v>4271</v>
      </c>
      <c r="D2629" t="s">
        <v>4272</v>
      </c>
      <c r="E2629" t="str">
        <f>HYPERLINK("https://worldwide.espacenet.com/publicationDetails/biblio?II=304&amp;ND=3&amp;adjacent=true&amp;locale=en_EP&amp;FT=D&amp;date=20160817&amp;CC=CN&amp;NR=205469864U&amp;KC=U")</f>
        <v>https://worldwide.espacenet.com/publicationDetails/biblio?II=304&amp;ND=3&amp;adjacent=true&amp;locale=en_EP&amp;FT=D&amp;date=20160817&amp;CC=CN&amp;NR=205469864U&amp;KC=U</v>
      </c>
    </row>
    <row r="2630" spans="1:5" x14ac:dyDescent="0.25">
      <c r="C2630" t="s">
        <v>4273</v>
      </c>
      <c r="D2630" t="s">
        <v>4274</v>
      </c>
      <c r="E2630" t="str">
        <f>HYPERLINK("https://worldwide.espacenet.com/publicationDetails/biblio?II=305&amp;ND=3&amp;adjacent=true&amp;locale=en_EP&amp;FT=D&amp;date=20160817&amp;CC=CN&amp;NR=205466246U&amp;KC=U")</f>
        <v>https://worldwide.espacenet.com/publicationDetails/biblio?II=305&amp;ND=3&amp;adjacent=true&amp;locale=en_EP&amp;FT=D&amp;date=20160817&amp;CC=CN&amp;NR=205466246U&amp;KC=U</v>
      </c>
    </row>
    <row r="2631" spans="1:5" x14ac:dyDescent="0.25">
      <c r="C2631" t="s">
        <v>4275</v>
      </c>
      <c r="D2631" t="s">
        <v>4276</v>
      </c>
      <c r="E2631" t="str">
        <f>HYPERLINK("https://worldwide.espacenet.com/publicationDetails/biblio?II=306&amp;ND=3&amp;adjacent=true&amp;locale=en_EP&amp;FT=D&amp;date=20160803&amp;CC=CN&amp;NR=205415655U&amp;KC=U")</f>
        <v>https://worldwide.espacenet.com/publicationDetails/biblio?II=306&amp;ND=3&amp;adjacent=true&amp;locale=en_EP&amp;FT=D&amp;date=20160803&amp;CC=CN&amp;NR=205415655U&amp;KC=U</v>
      </c>
    </row>
    <row r="2632" spans="1:5" x14ac:dyDescent="0.25">
      <c r="C2632" t="s">
        <v>4277</v>
      </c>
      <c r="D2632" t="s">
        <v>4278</v>
      </c>
      <c r="E2632" t="str">
        <f>HYPERLINK("https://worldwide.espacenet.com/publicationDetails/biblio?II=307&amp;ND=3&amp;adjacent=true&amp;locale=en_EP&amp;FT=D&amp;date=20160803&amp;CC=CN&amp;NR=205415650U&amp;KC=U")</f>
        <v>https://worldwide.espacenet.com/publicationDetails/biblio?II=307&amp;ND=3&amp;adjacent=true&amp;locale=en_EP&amp;FT=D&amp;date=20160803&amp;CC=CN&amp;NR=205415650U&amp;KC=U</v>
      </c>
    </row>
    <row r="2633" spans="1:5" x14ac:dyDescent="0.25">
      <c r="C2633" t="s">
        <v>4279</v>
      </c>
      <c r="D2633" t="s">
        <v>4280</v>
      </c>
      <c r="E2633" t="str">
        <f>HYPERLINK("https://worldwide.espacenet.com/publicationDetails/biblio?II=308&amp;ND=3&amp;adjacent=true&amp;locale=en_EP&amp;FT=D&amp;date=20160803&amp;CC=CN&amp;NR=205414763U&amp;KC=U")</f>
        <v>https://worldwide.espacenet.com/publicationDetails/biblio?II=308&amp;ND=3&amp;adjacent=true&amp;locale=en_EP&amp;FT=D&amp;date=20160803&amp;CC=CN&amp;NR=205414763U&amp;KC=U</v>
      </c>
    </row>
    <row r="2634" spans="1:5" x14ac:dyDescent="0.25">
      <c r="C2634" t="s">
        <v>4281</v>
      </c>
      <c r="D2634" t="s">
        <v>4282</v>
      </c>
      <c r="E2634" t="str">
        <f>HYPERLINK("https://worldwide.espacenet.com/publicationDetails/biblio?II=309&amp;ND=3&amp;adjacent=true&amp;locale=en_EP&amp;FT=D&amp;date=20160803&amp;CC=CN&amp;NR=205415691U&amp;KC=U")</f>
        <v>https://worldwide.espacenet.com/publicationDetails/biblio?II=309&amp;ND=3&amp;adjacent=true&amp;locale=en_EP&amp;FT=D&amp;date=20160803&amp;CC=CN&amp;NR=205415691U&amp;KC=U</v>
      </c>
    </row>
    <row r="2635" spans="1:5" x14ac:dyDescent="0.25">
      <c r="C2635" t="s">
        <v>4283</v>
      </c>
      <c r="D2635" t="s">
        <v>4284</v>
      </c>
      <c r="E2635" t="str">
        <f>HYPERLINK("https://worldwide.espacenet.com/publicationDetails/biblio?II=310&amp;ND=3&amp;adjacent=true&amp;locale=en_EP&amp;FT=D&amp;date=20160803&amp;CC=CN&amp;NR=205415639U&amp;KC=U")</f>
        <v>https://worldwide.espacenet.com/publicationDetails/biblio?II=310&amp;ND=3&amp;adjacent=true&amp;locale=en_EP&amp;FT=D&amp;date=20160803&amp;CC=CN&amp;NR=205415639U&amp;KC=U</v>
      </c>
    </row>
    <row r="2636" spans="1:5" x14ac:dyDescent="0.25">
      <c r="C2636" t="s">
        <v>4285</v>
      </c>
      <c r="D2636" t="s">
        <v>4286</v>
      </c>
      <c r="E2636" t="str">
        <f>HYPERLINK("https://worldwide.espacenet.com/publicationDetails/biblio?II=311&amp;ND=3&amp;adjacent=true&amp;locale=en_EP&amp;FT=D&amp;date=20160803&amp;CC=CN&amp;NR=105822868A&amp;KC=A")</f>
        <v>https://worldwide.espacenet.com/publicationDetails/biblio?II=311&amp;ND=3&amp;adjacent=true&amp;locale=en_EP&amp;FT=D&amp;date=20160803&amp;CC=CN&amp;NR=105822868A&amp;KC=A</v>
      </c>
    </row>
    <row r="2637" spans="1:5" x14ac:dyDescent="0.25">
      <c r="C2637" t="s">
        <v>1131</v>
      </c>
      <c r="D2637" t="s">
        <v>4287</v>
      </c>
      <c r="E2637" t="str">
        <f>HYPERLINK("https://worldwide.espacenet.com/publicationDetails/biblio?II=312&amp;ND=3&amp;adjacent=true&amp;locale=en_EP&amp;FT=D&amp;date=20160803&amp;CC=CN&amp;NR=205415625U&amp;KC=U")</f>
        <v>https://worldwide.espacenet.com/publicationDetails/biblio?II=312&amp;ND=3&amp;adjacent=true&amp;locale=en_EP&amp;FT=D&amp;date=20160803&amp;CC=CN&amp;NR=205415625U&amp;KC=U</v>
      </c>
    </row>
    <row r="2638" spans="1:5" x14ac:dyDescent="0.25">
      <c r="C2638" t="s">
        <v>4288</v>
      </c>
      <c r="D2638" t="s">
        <v>4289</v>
      </c>
      <c r="E2638" t="str">
        <f>HYPERLINK("https://worldwide.espacenet.com/publicationDetails/biblio?II=313&amp;ND=3&amp;adjacent=true&amp;locale=en_EP&amp;FT=D&amp;date=20160704&amp;CC=KR&amp;NR=20160077935A&amp;KC=A")</f>
        <v>https://worldwide.espacenet.com/publicationDetails/biblio?II=313&amp;ND=3&amp;adjacent=true&amp;locale=en_EP&amp;FT=D&amp;date=20160704&amp;CC=KR&amp;NR=20160077935A&amp;KC=A</v>
      </c>
    </row>
    <row r="2639" spans="1:5" x14ac:dyDescent="0.25">
      <c r="C2639" t="s">
        <v>4290</v>
      </c>
      <c r="D2639" t="s">
        <v>4291</v>
      </c>
      <c r="E2639" t="str">
        <f>HYPERLINK("https://worldwide.espacenet.com/publicationDetails/biblio?II=314&amp;ND=3&amp;adjacent=true&amp;locale=en_EP&amp;FT=D&amp;date=20160608&amp;CC=CN&amp;NR=105638615A&amp;KC=A")</f>
        <v>https://worldwide.espacenet.com/publicationDetails/biblio?II=314&amp;ND=3&amp;adjacent=true&amp;locale=en_EP&amp;FT=D&amp;date=20160608&amp;CC=CN&amp;NR=105638615A&amp;KC=A</v>
      </c>
    </row>
    <row r="2640" spans="1:5" x14ac:dyDescent="0.25">
      <c r="A2640" t="s">
        <v>4292</v>
      </c>
      <c r="B2640">
        <v>1</v>
      </c>
    </row>
    <row r="2641" spans="1:5" x14ac:dyDescent="0.25">
      <c r="C2641" t="s">
        <v>4293</v>
      </c>
      <c r="D2641" t="s">
        <v>4294</v>
      </c>
      <c r="E2641" t="str">
        <f>HYPERLINK("https://worldwide.espacenet.com/publicationDetails/biblio?II=0&amp;ND=3&amp;adjacent=true&amp;locale=en_EP&amp;FT=D&amp;date=20180619&amp;CC=CN&amp;NR=108182840A&amp;KC=A")</f>
        <v>https://worldwide.espacenet.com/publicationDetails/biblio?II=0&amp;ND=3&amp;adjacent=true&amp;locale=en_EP&amp;FT=D&amp;date=20180619&amp;CC=CN&amp;NR=108182840A&amp;KC=A</v>
      </c>
    </row>
    <row r="2642" spans="1:5" x14ac:dyDescent="0.25">
      <c r="A2642" t="s">
        <v>4295</v>
      </c>
      <c r="B2642">
        <v>33</v>
      </c>
    </row>
    <row r="2643" spans="1:5" x14ac:dyDescent="0.25">
      <c r="C2643" t="s">
        <v>1441</v>
      </c>
      <c r="D2643" t="s">
        <v>1442</v>
      </c>
      <c r="E2643" t="str">
        <f>HYPERLINK("https://worldwide.espacenet.com/publicationDetails/biblio?II=0&amp;ND=3&amp;adjacent=true&amp;locale=en_EP&amp;FT=D&amp;date=20180622&amp;CC=CN&amp;NR=108200539A&amp;KC=A")</f>
        <v>https://worldwide.espacenet.com/publicationDetails/biblio?II=0&amp;ND=3&amp;adjacent=true&amp;locale=en_EP&amp;FT=D&amp;date=20180622&amp;CC=CN&amp;NR=108200539A&amp;KC=A</v>
      </c>
    </row>
    <row r="2644" spans="1:5" x14ac:dyDescent="0.25">
      <c r="C2644" t="s">
        <v>4296</v>
      </c>
      <c r="D2644" t="s">
        <v>4297</v>
      </c>
      <c r="E2644" t="str">
        <f>HYPERLINK("https://worldwide.espacenet.com/publicationDetails/biblio?II=1&amp;ND=3&amp;adjacent=true&amp;locale=en_EP&amp;FT=D&amp;date=20180601&amp;CC=CN&amp;NR=108109437A&amp;KC=A")</f>
        <v>https://worldwide.espacenet.com/publicationDetails/biblio?II=1&amp;ND=3&amp;adjacent=true&amp;locale=en_EP&amp;FT=D&amp;date=20180601&amp;CC=CN&amp;NR=108109437A&amp;KC=A</v>
      </c>
    </row>
    <row r="2645" spans="1:5" x14ac:dyDescent="0.25">
      <c r="C2645" t="s">
        <v>4298</v>
      </c>
      <c r="D2645" t="s">
        <v>4299</v>
      </c>
      <c r="E2645" t="str">
        <f>HYPERLINK("https://worldwide.espacenet.com/publicationDetails/biblio?II=2&amp;ND=3&amp;adjacent=true&amp;locale=en_EP&amp;FT=D&amp;date=20180330&amp;CC=CN&amp;NR=107861501A&amp;KC=A")</f>
        <v>https://worldwide.espacenet.com/publicationDetails/biblio?II=2&amp;ND=3&amp;adjacent=true&amp;locale=en_EP&amp;FT=D&amp;date=20180330&amp;CC=CN&amp;NR=107861501A&amp;KC=A</v>
      </c>
    </row>
    <row r="2646" spans="1:5" x14ac:dyDescent="0.25">
      <c r="C2646" t="s">
        <v>1473</v>
      </c>
      <c r="D2646" t="s">
        <v>1474</v>
      </c>
      <c r="E2646" t="str">
        <f>HYPERLINK("https://worldwide.espacenet.com/publicationDetails/biblio?II=3&amp;ND=3&amp;adjacent=true&amp;locale=en_EP&amp;FT=D&amp;date=20180329&amp;CC=US&amp;NR=2018088595A1&amp;KC=A1")</f>
        <v>https://worldwide.espacenet.com/publicationDetails/biblio?II=3&amp;ND=3&amp;adjacent=true&amp;locale=en_EP&amp;FT=D&amp;date=20180329&amp;CC=US&amp;NR=2018088595A1&amp;KC=A1</v>
      </c>
    </row>
    <row r="2647" spans="1:5" x14ac:dyDescent="0.25">
      <c r="C2647" t="s">
        <v>4300</v>
      </c>
      <c r="D2647" t="s">
        <v>4301</v>
      </c>
      <c r="E2647" t="str">
        <f>HYPERLINK("https://worldwide.espacenet.com/publicationDetails/biblio?II=4&amp;ND=3&amp;adjacent=true&amp;locale=en_EP&amp;FT=D&amp;date=20171013&amp;CC=CN&amp;NR=107247465A&amp;KC=A")</f>
        <v>https://worldwide.espacenet.com/publicationDetails/biblio?II=4&amp;ND=3&amp;adjacent=true&amp;locale=en_EP&amp;FT=D&amp;date=20171013&amp;CC=CN&amp;NR=107247465A&amp;KC=A</v>
      </c>
    </row>
    <row r="2648" spans="1:5" x14ac:dyDescent="0.25">
      <c r="C2648" t="s">
        <v>1406</v>
      </c>
      <c r="D2648" t="s">
        <v>1407</v>
      </c>
      <c r="E2648" t="str">
        <f>HYPERLINK("https://worldwide.espacenet.com/publicationDetails/biblio?II=5&amp;ND=3&amp;adjacent=true&amp;locale=en_EP&amp;FT=D&amp;date=20170815&amp;CC=CN&amp;NR=107045342A&amp;KC=A")</f>
        <v>https://worldwide.espacenet.com/publicationDetails/biblio?II=5&amp;ND=3&amp;adjacent=true&amp;locale=en_EP&amp;FT=D&amp;date=20170815&amp;CC=CN&amp;NR=107045342A&amp;KC=A</v>
      </c>
    </row>
    <row r="2649" spans="1:5" x14ac:dyDescent="0.25">
      <c r="C2649" t="s">
        <v>4302</v>
      </c>
      <c r="D2649" t="s">
        <v>4303</v>
      </c>
      <c r="E2649" t="str">
        <f>HYPERLINK("https://worldwide.espacenet.com/publicationDetails/biblio?II=6&amp;ND=3&amp;adjacent=true&amp;locale=en_EP&amp;FT=D&amp;date=20170222&amp;CC=CN&amp;NR=106451764A&amp;KC=A")</f>
        <v>https://worldwide.espacenet.com/publicationDetails/biblio?II=6&amp;ND=3&amp;adjacent=true&amp;locale=en_EP&amp;FT=D&amp;date=20170222&amp;CC=CN&amp;NR=106451764A&amp;KC=A</v>
      </c>
    </row>
    <row r="2650" spans="1:5" x14ac:dyDescent="0.25">
      <c r="C2650" t="s">
        <v>4304</v>
      </c>
      <c r="D2650" t="s">
        <v>4305</v>
      </c>
      <c r="E2650" t="str">
        <f>HYPERLINK("https://worldwide.espacenet.com/publicationDetails/biblio?II=7&amp;ND=3&amp;adjacent=true&amp;locale=en_EP&amp;FT=D&amp;date=20161207&amp;CC=CN&amp;NR=106200667A&amp;KC=A")</f>
        <v>https://worldwide.espacenet.com/publicationDetails/biblio?II=7&amp;ND=3&amp;adjacent=true&amp;locale=en_EP&amp;FT=D&amp;date=20161207&amp;CC=CN&amp;NR=106200667A&amp;KC=A</v>
      </c>
    </row>
    <row r="2651" spans="1:5" x14ac:dyDescent="0.25">
      <c r="C2651" t="s">
        <v>1682</v>
      </c>
      <c r="D2651" t="s">
        <v>1683</v>
      </c>
      <c r="E2651" t="str">
        <f>HYPERLINK("https://worldwide.espacenet.com/publicationDetails/biblio?II=8&amp;ND=3&amp;adjacent=true&amp;locale=en_EP&amp;FT=D&amp;date=20170118&amp;CC=CN&amp;NR=106339959A&amp;KC=A")</f>
        <v>https://worldwide.espacenet.com/publicationDetails/biblio?II=8&amp;ND=3&amp;adjacent=true&amp;locale=en_EP&amp;FT=D&amp;date=20170118&amp;CC=CN&amp;NR=106339959A&amp;KC=A</v>
      </c>
    </row>
    <row r="2652" spans="1:5" x14ac:dyDescent="0.25">
      <c r="C2652" t="s">
        <v>4306</v>
      </c>
      <c r="D2652" t="s">
        <v>4307</v>
      </c>
      <c r="E2652" t="str">
        <f>HYPERLINK("https://worldwide.espacenet.com/publicationDetails/biblio?II=9&amp;ND=3&amp;adjacent=true&amp;locale=en_EP&amp;FT=D&amp;date=20170104&amp;CC=CN&amp;NR=106296490A&amp;KC=A")</f>
        <v>https://worldwide.espacenet.com/publicationDetails/biblio?II=9&amp;ND=3&amp;adjacent=true&amp;locale=en_EP&amp;FT=D&amp;date=20170104&amp;CC=CN&amp;NR=106296490A&amp;KC=A</v>
      </c>
    </row>
    <row r="2653" spans="1:5" x14ac:dyDescent="0.25">
      <c r="C2653" t="s">
        <v>4308</v>
      </c>
      <c r="D2653" t="s">
        <v>4309</v>
      </c>
      <c r="E2653" t="str">
        <f>HYPERLINK("https://worldwide.espacenet.com/publicationDetails/biblio?II=10&amp;ND=3&amp;adjacent=true&amp;locale=en_EP&amp;FT=D&amp;date=20161026&amp;CC=CN&amp;NR=106054916A&amp;KC=A")</f>
        <v>https://worldwide.espacenet.com/publicationDetails/biblio?II=10&amp;ND=3&amp;adjacent=true&amp;locale=en_EP&amp;FT=D&amp;date=20161026&amp;CC=CN&amp;NR=106054916A&amp;KC=A</v>
      </c>
    </row>
    <row r="2654" spans="1:5" x14ac:dyDescent="0.25">
      <c r="C2654" t="s">
        <v>4310</v>
      </c>
      <c r="D2654" t="s">
        <v>4311</v>
      </c>
      <c r="E2654" t="str">
        <f>HYPERLINK("https://worldwide.espacenet.com/publicationDetails/biblio?II=11&amp;ND=3&amp;adjacent=true&amp;locale=en_EP&amp;FT=D&amp;date=20160608&amp;CC=CN&amp;NR=105652872A&amp;KC=A")</f>
        <v>https://worldwide.espacenet.com/publicationDetails/biblio?II=11&amp;ND=3&amp;adjacent=true&amp;locale=en_EP&amp;FT=D&amp;date=20160608&amp;CC=CN&amp;NR=105652872A&amp;KC=A</v>
      </c>
    </row>
    <row r="2655" spans="1:5" x14ac:dyDescent="0.25">
      <c r="C2655" t="s">
        <v>1760</v>
      </c>
      <c r="D2655" t="s">
        <v>1761</v>
      </c>
      <c r="E2655" t="str">
        <f>HYPERLINK("https://worldwide.espacenet.com/publicationDetails/biblio?II=12&amp;ND=3&amp;adjacent=true&amp;locale=en_EP&amp;FT=D&amp;date=20160706&amp;CC=CN&amp;NR=105739579A&amp;KC=A")</f>
        <v>https://worldwide.espacenet.com/publicationDetails/biblio?II=12&amp;ND=3&amp;adjacent=true&amp;locale=en_EP&amp;FT=D&amp;date=20160706&amp;CC=CN&amp;NR=105739579A&amp;KC=A</v>
      </c>
    </row>
    <row r="2656" spans="1:5" x14ac:dyDescent="0.25">
      <c r="C2656" t="s">
        <v>4312</v>
      </c>
      <c r="D2656" t="s">
        <v>4313</v>
      </c>
      <c r="E2656" t="str">
        <f>HYPERLINK("https://worldwide.espacenet.com/publicationDetails/biblio?II=13&amp;ND=3&amp;adjacent=true&amp;locale=en_EP&amp;FT=D&amp;date=20160406&amp;CC=CN&amp;NR=105471875A&amp;KC=A")</f>
        <v>https://worldwide.espacenet.com/publicationDetails/biblio?II=13&amp;ND=3&amp;adjacent=true&amp;locale=en_EP&amp;FT=D&amp;date=20160406&amp;CC=CN&amp;NR=105471875A&amp;KC=A</v>
      </c>
    </row>
    <row r="2657" spans="1:5" x14ac:dyDescent="0.25">
      <c r="C2657" t="s">
        <v>4314</v>
      </c>
      <c r="D2657" t="s">
        <v>4315</v>
      </c>
      <c r="E2657" t="str">
        <f>HYPERLINK("https://worldwide.espacenet.com/publicationDetails/biblio?II=14&amp;ND=3&amp;adjacent=true&amp;locale=en_EP&amp;FT=D&amp;date=20160127&amp;CC=CN&amp;NR=105278532A&amp;KC=A")</f>
        <v>https://worldwide.espacenet.com/publicationDetails/biblio?II=14&amp;ND=3&amp;adjacent=true&amp;locale=en_EP&amp;FT=D&amp;date=20160127&amp;CC=CN&amp;NR=105278532A&amp;KC=A</v>
      </c>
    </row>
    <row r="2658" spans="1:5" x14ac:dyDescent="0.25">
      <c r="A2658" t="s">
        <v>4316</v>
      </c>
      <c r="B2658">
        <v>11</v>
      </c>
    </row>
    <row r="2659" spans="1:5" x14ac:dyDescent="0.25">
      <c r="A2659" t="s">
        <v>4317</v>
      </c>
      <c r="B2659">
        <v>11</v>
      </c>
    </row>
    <row r="2660" spans="1:5" x14ac:dyDescent="0.25">
      <c r="C2660" t="s">
        <v>4298</v>
      </c>
      <c r="D2660" t="s">
        <v>4299</v>
      </c>
      <c r="E2660" t="str">
        <f>HYPERLINK("https://worldwide.espacenet.com/publicationDetails/biblio?II=0&amp;ND=3&amp;adjacent=true&amp;locale=en_EP&amp;FT=D&amp;date=20180330&amp;CC=CN&amp;NR=107861501A&amp;KC=A")</f>
        <v>https://worldwide.espacenet.com/publicationDetails/biblio?II=0&amp;ND=3&amp;adjacent=true&amp;locale=en_EP&amp;FT=D&amp;date=20180330&amp;CC=CN&amp;NR=107861501A&amp;KC=A</v>
      </c>
    </row>
    <row r="2661" spans="1:5" x14ac:dyDescent="0.25">
      <c r="A2661" t="s">
        <v>4318</v>
      </c>
      <c r="B2661">
        <v>4</v>
      </c>
    </row>
    <row r="2662" spans="1:5" x14ac:dyDescent="0.25">
      <c r="A2662" t="s">
        <v>4319</v>
      </c>
      <c r="B2662">
        <v>2</v>
      </c>
    </row>
    <row r="2663" spans="1:5" x14ac:dyDescent="0.25">
      <c r="A2663" t="s">
        <v>4320</v>
      </c>
      <c r="B2663">
        <v>0</v>
      </c>
    </row>
    <row r="2664" spans="1:5" x14ac:dyDescent="0.25">
      <c r="A2664" t="s">
        <v>4321</v>
      </c>
      <c r="B2664">
        <v>0</v>
      </c>
    </row>
    <row r="2665" spans="1:5" x14ac:dyDescent="0.25">
      <c r="A2665" t="s">
        <v>4322</v>
      </c>
      <c r="B2665">
        <v>0</v>
      </c>
    </row>
    <row r="2666" spans="1:5" x14ac:dyDescent="0.25">
      <c r="A2666" t="s">
        <v>0</v>
      </c>
      <c r="B2666">
        <v>813</v>
      </c>
    </row>
    <row r="2667" spans="1:5" x14ac:dyDescent="0.25">
      <c r="C2667" t="s">
        <v>4323</v>
      </c>
      <c r="D2667" t="s">
        <v>4324</v>
      </c>
      <c r="E2667" t="str">
        <f>HYPERLINK("https://patents.google.com/patent/US6905101B1/en")</f>
        <v>https://patents.google.com/patent/US6905101B1/en</v>
      </c>
    </row>
    <row r="2668" spans="1:5" x14ac:dyDescent="0.25">
      <c r="C2668" t="s">
        <v>4325</v>
      </c>
      <c r="D2668" t="s">
        <v>4326</v>
      </c>
      <c r="E2668" t="str">
        <f>HYPERLINK("https://patents.google.com/patent/US7028961B1/en")</f>
        <v>https://patents.google.com/patent/US7028961B1/en</v>
      </c>
    </row>
    <row r="2669" spans="1:5" x14ac:dyDescent="0.25">
      <c r="C2669" t="s">
        <v>4327</v>
      </c>
      <c r="D2669" t="s">
        <v>4328</v>
      </c>
      <c r="E2669" t="str">
        <f>HYPERLINK("https://patents.google.com/patent/US6402109B1/en")</f>
        <v>https://patents.google.com/patent/US6402109B1/en</v>
      </c>
    </row>
    <row r="2670" spans="1:5" x14ac:dyDescent="0.25">
      <c r="C2670" t="s">
        <v>4329</v>
      </c>
      <c r="D2670" t="s">
        <v>4330</v>
      </c>
      <c r="E2670" t="str">
        <f>HYPERLINK("https://patents.google.com/patent/US5055963A/en")</f>
        <v>https://patents.google.com/patent/US5055963A/en</v>
      </c>
    </row>
    <row r="2671" spans="1:5" x14ac:dyDescent="0.25">
      <c r="C2671" t="s">
        <v>4331</v>
      </c>
      <c r="D2671" t="s">
        <v>4332</v>
      </c>
      <c r="E2671" t="str">
        <f>HYPERLINK("https://patents.google.com/patent/US4351410A/en")</f>
        <v>https://patents.google.com/patent/US4351410A/en</v>
      </c>
    </row>
    <row r="2672" spans="1:5" x14ac:dyDescent="0.25">
      <c r="C2672" t="s">
        <v>4333</v>
      </c>
      <c r="D2672" t="s">
        <v>4334</v>
      </c>
      <c r="E2672" t="str">
        <f>HYPERLINK("https://patents.google.com/patent/US6335932B2/en")</f>
        <v>https://patents.google.com/patent/US6335932B2/en</v>
      </c>
    </row>
    <row r="2673" spans="3:5" x14ac:dyDescent="0.25">
      <c r="C2673" t="s">
        <v>4335</v>
      </c>
      <c r="D2673" t="s">
        <v>4336</v>
      </c>
      <c r="E2673" t="str">
        <f>HYPERLINK("https://patents.google.com/patent/US6018324A/en")</f>
        <v>https://patents.google.com/patent/US6018324A/en</v>
      </c>
    </row>
    <row r="2674" spans="3:5" x14ac:dyDescent="0.25">
      <c r="C2674" t="s">
        <v>4337</v>
      </c>
      <c r="D2674" t="s">
        <v>4338</v>
      </c>
      <c r="E2674" t="str">
        <f>HYPERLINK("https://patents.google.com/patent/US6006111A/en")</f>
        <v>https://patents.google.com/patent/US6006111A/en</v>
      </c>
    </row>
    <row r="2675" spans="3:5" x14ac:dyDescent="0.25">
      <c r="C2675" t="s">
        <v>4339</v>
      </c>
      <c r="D2675" t="s">
        <v>4340</v>
      </c>
      <c r="E2675" t="str">
        <f>HYPERLINK("https://patents.google.com/patent/US4157781A/en")</f>
        <v>https://patents.google.com/patent/US4157781A/en</v>
      </c>
    </row>
    <row r="2676" spans="3:5" x14ac:dyDescent="0.25">
      <c r="C2676" t="s">
        <v>4341</v>
      </c>
      <c r="D2676" t="s">
        <v>4342</v>
      </c>
      <c r="E2676" t="str">
        <f>HYPERLINK("https://patents.google.com/patent/US7380760B2/en")</f>
        <v>https://patents.google.com/patent/US7380760B2/en</v>
      </c>
    </row>
    <row r="2677" spans="3:5" x14ac:dyDescent="0.25">
      <c r="C2677" t="s">
        <v>4343</v>
      </c>
      <c r="D2677" t="s">
        <v>4344</v>
      </c>
      <c r="E2677" t="str">
        <f>HYPERLINK("https://patents.google.com/patent/US5153811A/en")</f>
        <v>https://patents.google.com/patent/US5153811A/en</v>
      </c>
    </row>
    <row r="2678" spans="3:5" x14ac:dyDescent="0.25">
      <c r="C2678" t="s">
        <v>4345</v>
      </c>
      <c r="D2678" t="s">
        <v>4346</v>
      </c>
      <c r="E2678" t="str">
        <f>HYPERLINK("https://patents.google.com/patent/US8738278B2/en")</f>
        <v>https://patents.google.com/patent/US8738278B2/en</v>
      </c>
    </row>
    <row r="2679" spans="3:5" x14ac:dyDescent="0.25">
      <c r="C2679" t="s">
        <v>4347</v>
      </c>
      <c r="D2679" t="s">
        <v>4348</v>
      </c>
      <c r="E2679" t="str">
        <f>HYPERLINK("https://patents.google.com/patent/US3768273A/en")</f>
        <v>https://patents.google.com/patent/US3768273A/en</v>
      </c>
    </row>
    <row r="2680" spans="3:5" x14ac:dyDescent="0.25">
      <c r="C2680" t="s">
        <v>4349</v>
      </c>
      <c r="D2680" t="s">
        <v>4350</v>
      </c>
      <c r="E2680" t="str">
        <f>HYPERLINK("https://patents.google.com/patent/US5605280A/en")</f>
        <v>https://patents.google.com/patent/US5605280A/en</v>
      </c>
    </row>
    <row r="2681" spans="3:5" x14ac:dyDescent="0.25">
      <c r="C2681" t="s">
        <v>4351</v>
      </c>
      <c r="D2681" t="s">
        <v>4352</v>
      </c>
      <c r="E2681" t="str">
        <f>HYPERLINK("https://patents.google.com/patent/US5487608A/en")</f>
        <v>https://patents.google.com/patent/US5487608A/en</v>
      </c>
    </row>
    <row r="2682" spans="3:5" x14ac:dyDescent="0.25">
      <c r="C2682" t="s">
        <v>4353</v>
      </c>
      <c r="D2682" t="s">
        <v>4354</v>
      </c>
      <c r="E2682" t="str">
        <f>HYPERLINK("https://patents.google.com/patent/US4905776A/en")</f>
        <v>https://patents.google.com/patent/US4905776A/en</v>
      </c>
    </row>
    <row r="2683" spans="3:5" x14ac:dyDescent="0.25">
      <c r="C2683" t="s">
        <v>4355</v>
      </c>
      <c r="D2683" t="s">
        <v>4356</v>
      </c>
      <c r="E2683" t="str">
        <f>HYPERLINK("https://patents.google.com/patent/US4967159A/en")</f>
        <v>https://patents.google.com/patent/US4967159A/en</v>
      </c>
    </row>
    <row r="2684" spans="3:5" x14ac:dyDescent="0.25">
      <c r="C2684" t="s">
        <v>4357</v>
      </c>
      <c r="D2684" t="s">
        <v>4358</v>
      </c>
      <c r="E2684" t="str">
        <f>HYPERLINK("https://patents.google.com/patent/US8041456B1/en")</f>
        <v>https://patents.google.com/patent/US8041456B1/en</v>
      </c>
    </row>
    <row r="2685" spans="3:5" x14ac:dyDescent="0.25">
      <c r="C2685" t="s">
        <v>4359</v>
      </c>
      <c r="D2685" t="s">
        <v>4360</v>
      </c>
      <c r="E2685" t="str">
        <f>HYPERLINK("https://patents.google.com/patent/US4412831A/en")</f>
        <v>https://patents.google.com/patent/US4412831A/en</v>
      </c>
    </row>
    <row r="2686" spans="3:5" x14ac:dyDescent="0.25">
      <c r="C2686" t="s">
        <v>4361</v>
      </c>
      <c r="D2686" t="s">
        <v>4362</v>
      </c>
      <c r="E2686" t="str">
        <f>HYPERLINK("https://patents.google.com/patent/US5561993A/en")</f>
        <v>https://patents.google.com/patent/US5561993A/en</v>
      </c>
    </row>
    <row r="2687" spans="3:5" x14ac:dyDescent="0.25">
      <c r="C2687" t="s">
        <v>4363</v>
      </c>
      <c r="D2687" t="s">
        <v>4364</v>
      </c>
      <c r="E2687" t="str">
        <f>HYPERLINK("https://patents.google.com/patent/US5008594A/en")</f>
        <v>https://patents.google.com/patent/US5008594A/en</v>
      </c>
    </row>
    <row r="2688" spans="3:5" x14ac:dyDescent="0.25">
      <c r="C2688" t="s">
        <v>4351</v>
      </c>
      <c r="D2688" t="s">
        <v>4365</v>
      </c>
      <c r="E2688" t="str">
        <f>HYPERLINK("https://patents.google.com/patent/US6183135B1/en")</f>
        <v>https://patents.google.com/patent/US6183135B1/en</v>
      </c>
    </row>
    <row r="2689" spans="3:5" x14ac:dyDescent="0.25">
      <c r="C2689" t="s">
        <v>4366</v>
      </c>
      <c r="D2689" t="s">
        <v>4367</v>
      </c>
      <c r="E2689" t="str">
        <f>HYPERLINK("https://patents.google.com/patent/US5977674A/en")</f>
        <v>https://patents.google.com/patent/US5977674A/en</v>
      </c>
    </row>
    <row r="2690" spans="3:5" x14ac:dyDescent="0.25">
      <c r="C2690" t="s">
        <v>4368</v>
      </c>
      <c r="D2690" t="s">
        <v>4369</v>
      </c>
      <c r="E2690" t="str">
        <f>HYPERLINK("https://patents.google.com/patent/US5256037A/en")</f>
        <v>https://patents.google.com/patent/US5256037A/en</v>
      </c>
    </row>
    <row r="2691" spans="3:5" x14ac:dyDescent="0.25">
      <c r="C2691" t="s">
        <v>4370</v>
      </c>
      <c r="D2691" t="s">
        <v>4371</v>
      </c>
      <c r="E2691" t="str">
        <f>HYPERLINK("https://patents.google.com/patent/US5249225A/en")</f>
        <v>https://patents.google.com/patent/US5249225A/en</v>
      </c>
    </row>
    <row r="2692" spans="3:5" x14ac:dyDescent="0.25">
      <c r="C2692" t="s">
        <v>4372</v>
      </c>
      <c r="D2692" t="s">
        <v>4373</v>
      </c>
      <c r="E2692" t="str">
        <f>HYPERLINK("https://patents.google.com/patent/US6439388B1/en")</f>
        <v>https://patents.google.com/patent/US6439388B1/en</v>
      </c>
    </row>
    <row r="2693" spans="3:5" x14ac:dyDescent="0.25">
      <c r="C2693" t="s">
        <v>4374</v>
      </c>
      <c r="D2693" t="s">
        <v>4375</v>
      </c>
      <c r="E2693" t="str">
        <f>HYPERLINK("https://patents.google.com/patent/US8442661B1/en")</f>
        <v>https://patents.google.com/patent/US8442661B1/en</v>
      </c>
    </row>
    <row r="2694" spans="3:5" x14ac:dyDescent="0.25">
      <c r="C2694" t="s">
        <v>4376</v>
      </c>
      <c r="D2694" t="s">
        <v>4377</v>
      </c>
      <c r="E2694" t="str">
        <f>HYPERLINK("https://patents.google.com/patent/US6128188A/en")</f>
        <v>https://patents.google.com/patent/US6128188A/en</v>
      </c>
    </row>
    <row r="2695" spans="3:5" x14ac:dyDescent="0.25">
      <c r="C2695" t="s">
        <v>4378</v>
      </c>
      <c r="D2695" t="s">
        <v>4379</v>
      </c>
      <c r="E2695" t="str">
        <f>HYPERLINK("https://patents.google.com/patent/US6915878B2/en")</f>
        <v>https://patents.google.com/patent/US6915878B2/en</v>
      </c>
    </row>
    <row r="2696" spans="3:5" x14ac:dyDescent="0.25">
      <c r="C2696" t="s">
        <v>4380</v>
      </c>
      <c r="D2696" t="s">
        <v>4381</v>
      </c>
      <c r="E2696" t="str">
        <f>HYPERLINK("https://patents.google.com/patent/US7804856B2/en")</f>
        <v>https://patents.google.com/patent/US7804856B2/en</v>
      </c>
    </row>
    <row r="2697" spans="3:5" x14ac:dyDescent="0.25">
      <c r="C2697" t="s">
        <v>4382</v>
      </c>
      <c r="D2697" t="s">
        <v>4383</v>
      </c>
      <c r="E2697" t="str">
        <f>HYPERLINK("https://patents.google.com/patent/US20110220427A1/en")</f>
        <v>https://patents.google.com/patent/US20110220427A1/en</v>
      </c>
    </row>
    <row r="2698" spans="3:5" x14ac:dyDescent="0.25">
      <c r="C2698" t="s">
        <v>4384</v>
      </c>
      <c r="D2698" t="s">
        <v>4385</v>
      </c>
      <c r="E2698" t="str">
        <f>HYPERLINK("https://patents.google.com/patent/US20040162751A1/en")</f>
        <v>https://patents.google.com/patent/US20040162751A1/en</v>
      </c>
    </row>
    <row r="2699" spans="3:5" x14ac:dyDescent="0.25">
      <c r="C2699" t="s">
        <v>4386</v>
      </c>
      <c r="D2699" t="s">
        <v>4387</v>
      </c>
      <c r="E2699" t="str">
        <f>HYPERLINK("https://patents.google.com/patent/US20140058600A1/en")</f>
        <v>https://patents.google.com/patent/US20140058600A1/en</v>
      </c>
    </row>
    <row r="2700" spans="3:5" x14ac:dyDescent="0.25">
      <c r="C2700" t="s">
        <v>4366</v>
      </c>
      <c r="D2700" t="s">
        <v>4388</v>
      </c>
      <c r="E2700" t="str">
        <f>HYPERLINK("https://patents.google.com/patent/US5533812A/en")</f>
        <v>https://patents.google.com/patent/US5533812A/en</v>
      </c>
    </row>
    <row r="2701" spans="3:5" x14ac:dyDescent="0.25">
      <c r="C2701" t="s">
        <v>4389</v>
      </c>
      <c r="D2701" t="s">
        <v>4390</v>
      </c>
      <c r="E2701" t="str">
        <f>HYPERLINK("https://patents.google.com/patent/US20130228385A1/en")</f>
        <v>https://patents.google.com/patent/US20130228385A1/en</v>
      </c>
    </row>
    <row r="2702" spans="3:5" x14ac:dyDescent="0.25">
      <c r="C2702" t="s">
        <v>4391</v>
      </c>
      <c r="D2702" t="s">
        <v>4392</v>
      </c>
      <c r="E2702" t="str">
        <f>HYPERLINK("https://patents.google.com/patent/US20130032423A1/en")</f>
        <v>https://patents.google.com/patent/US20130032423A1/en</v>
      </c>
    </row>
    <row r="2703" spans="3:5" x14ac:dyDescent="0.25">
      <c r="C2703" t="s">
        <v>4393</v>
      </c>
      <c r="D2703" t="s">
        <v>4394</v>
      </c>
      <c r="E2703" t="str">
        <f>HYPERLINK("https://patents.google.com/patent/US20120217072A1/en")</f>
        <v>https://patents.google.com/patent/US20120217072A1/en</v>
      </c>
    </row>
    <row r="2704" spans="3:5" x14ac:dyDescent="0.25">
      <c r="C2704" t="s">
        <v>4395</v>
      </c>
      <c r="D2704" t="s">
        <v>4396</v>
      </c>
      <c r="E2704" t="str">
        <f>HYPERLINK("https://patents.google.com/patent/US6352106B1/en")</f>
        <v>https://patents.google.com/patent/US6352106B1/en</v>
      </c>
    </row>
    <row r="2705" spans="3:5" x14ac:dyDescent="0.25">
      <c r="C2705" t="s">
        <v>4397</v>
      </c>
      <c r="D2705" t="s">
        <v>4398</v>
      </c>
      <c r="E2705" t="str">
        <f>HYPERLINK("https://patents.google.com/patent/US3304032A/en")</f>
        <v>https://patents.google.com/patent/US3304032A/en</v>
      </c>
    </row>
    <row r="2706" spans="3:5" x14ac:dyDescent="0.25">
      <c r="C2706" t="s">
        <v>4399</v>
      </c>
      <c r="D2706" t="s">
        <v>4400</v>
      </c>
      <c r="E2706" t="str">
        <f>HYPERLINK("https://patents.google.com/patent/CN201610202U/en")</f>
        <v>https://patents.google.com/patent/CN201610202U/en</v>
      </c>
    </row>
    <row r="2707" spans="3:5" x14ac:dyDescent="0.25">
      <c r="C2707" t="s">
        <v>4401</v>
      </c>
      <c r="D2707" t="s">
        <v>4402</v>
      </c>
      <c r="E2707" t="str">
        <f>HYPERLINK("https://patents.google.com/patent/CN201228037Y/en")</f>
        <v>https://patents.google.com/patent/CN201228037Y/en</v>
      </c>
    </row>
    <row r="2708" spans="3:5" x14ac:dyDescent="0.25">
      <c r="C2708" t="s">
        <v>4403</v>
      </c>
      <c r="D2708" t="s">
        <v>4404</v>
      </c>
      <c r="E2708" t="str">
        <f>HYPERLINK("https://patents.google.com/patent/USD738256S1/en")</f>
        <v>https://patents.google.com/patent/USD738256S1/en</v>
      </c>
    </row>
    <row r="2709" spans="3:5" x14ac:dyDescent="0.25">
      <c r="C2709" t="s">
        <v>4403</v>
      </c>
      <c r="D2709" t="s">
        <v>4405</v>
      </c>
      <c r="E2709" t="str">
        <f>HYPERLINK("https://patents.google.com/patent/USD737723S1/en")</f>
        <v>https://patents.google.com/patent/USD737723S1/en</v>
      </c>
    </row>
    <row r="2710" spans="3:5" x14ac:dyDescent="0.25">
      <c r="C2710" t="s">
        <v>4406</v>
      </c>
      <c r="D2710" t="s">
        <v>4407</v>
      </c>
      <c r="E2710" t="str">
        <f>HYPERLINK("https://patents.google.com/patent/US3692236A/en")</f>
        <v>https://patents.google.com/patent/US3692236A/en</v>
      </c>
    </row>
    <row r="2711" spans="3:5" x14ac:dyDescent="0.25">
      <c r="C2711" t="s">
        <v>4408</v>
      </c>
      <c r="D2711" t="s">
        <v>4409</v>
      </c>
      <c r="E2711" t="str">
        <f>HYPERLINK("https://patents.google.com/patent/US6002573A/en")</f>
        <v>https://patents.google.com/patent/US6002573A/en</v>
      </c>
    </row>
    <row r="2712" spans="3:5" x14ac:dyDescent="0.25">
      <c r="C2712" t="s">
        <v>4410</v>
      </c>
      <c r="D2712" t="s">
        <v>4411</v>
      </c>
      <c r="E2712" t="str">
        <f>HYPERLINK("https://patents.google.com/patent/CN202392373U/en")</f>
        <v>https://patents.google.com/patent/CN202392373U/en</v>
      </c>
    </row>
    <row r="2713" spans="3:5" x14ac:dyDescent="0.25">
      <c r="C2713" t="s">
        <v>4412</v>
      </c>
      <c r="D2713" t="s">
        <v>4413</v>
      </c>
      <c r="E2713" t="str">
        <f>HYPERLINK("https://patents.google.com/patent/US20160129963A1/en")</f>
        <v>https://patents.google.com/patent/US20160129963A1/en</v>
      </c>
    </row>
    <row r="2714" spans="3:5" x14ac:dyDescent="0.25">
      <c r="C2714" t="s">
        <v>4414</v>
      </c>
      <c r="D2714" t="s">
        <v>4415</v>
      </c>
      <c r="E2714" t="str">
        <f>HYPERLINK("https://patents.google.com/patent/US8094438B2/en")</f>
        <v>https://patents.google.com/patent/US8094438B2/en</v>
      </c>
    </row>
    <row r="2715" spans="3:5" x14ac:dyDescent="0.25">
      <c r="C2715" t="s">
        <v>4416</v>
      </c>
      <c r="D2715" t="s">
        <v>4417</v>
      </c>
      <c r="E2715" t="str">
        <f>HYPERLINK("https://patents.google.com/patent/US20080165613A1/en")</f>
        <v>https://patents.google.com/patent/US20080165613A1/en</v>
      </c>
    </row>
    <row r="2716" spans="3:5" x14ac:dyDescent="0.25">
      <c r="C2716" t="s">
        <v>4418</v>
      </c>
      <c r="D2716" t="s">
        <v>4419</v>
      </c>
      <c r="E2716" t="str">
        <f>HYPERLINK("https://patents.google.com/patent/US20110238247A1/en")</f>
        <v>https://patents.google.com/patent/US20110238247A1/en</v>
      </c>
    </row>
    <row r="2717" spans="3:5" x14ac:dyDescent="0.25">
      <c r="C2717" t="s">
        <v>4403</v>
      </c>
      <c r="D2717" t="s">
        <v>4420</v>
      </c>
      <c r="E2717" t="str">
        <f>HYPERLINK("https://patents.google.com/patent/US20090312908A1/en")</f>
        <v>https://patents.google.com/patent/US20090312908A1/en</v>
      </c>
    </row>
    <row r="2718" spans="3:5" x14ac:dyDescent="0.25">
      <c r="C2718" t="s">
        <v>4421</v>
      </c>
      <c r="D2718" t="s">
        <v>4422</v>
      </c>
      <c r="E2718" t="str">
        <f>HYPERLINK("https://patents.google.com/patent/US6589153B2/en")</f>
        <v>https://patents.google.com/patent/US6589153B2/en</v>
      </c>
    </row>
    <row r="2719" spans="3:5" x14ac:dyDescent="0.25">
      <c r="C2719" t="s">
        <v>4423</v>
      </c>
      <c r="D2719" t="s">
        <v>4424</v>
      </c>
      <c r="E2719" t="str">
        <f>HYPERLINK("https://patents.google.com/patent/US4253531A/en")</f>
        <v>https://patents.google.com/patent/US4253531A/en</v>
      </c>
    </row>
    <row r="2720" spans="3:5" x14ac:dyDescent="0.25">
      <c r="C2720" t="s">
        <v>4425</v>
      </c>
      <c r="D2720" t="s">
        <v>4426</v>
      </c>
      <c r="E2720" t="str">
        <f>HYPERLINK("https://patents.google.com/patent/US2423540A/en")</f>
        <v>https://patents.google.com/patent/US2423540A/en</v>
      </c>
    </row>
    <row r="2721" spans="3:5" x14ac:dyDescent="0.25">
      <c r="C2721" t="s">
        <v>4427</v>
      </c>
      <c r="D2721" t="s">
        <v>4428</v>
      </c>
      <c r="E2721" t="str">
        <f>HYPERLINK("https://patents.google.com/patent/US5376063A/en")</f>
        <v>https://patents.google.com/patent/US5376063A/en</v>
      </c>
    </row>
    <row r="2722" spans="3:5" x14ac:dyDescent="0.25">
      <c r="C2722" t="s">
        <v>4429</v>
      </c>
      <c r="D2722" t="s">
        <v>4430</v>
      </c>
      <c r="E2722" t="str">
        <f>HYPERLINK("https://patents.google.com/patent/US5251815A/en")</f>
        <v>https://patents.google.com/patent/US5251815A/en</v>
      </c>
    </row>
    <row r="2723" spans="3:5" x14ac:dyDescent="0.25">
      <c r="C2723" t="s">
        <v>4431</v>
      </c>
      <c r="D2723" t="s">
        <v>4432</v>
      </c>
      <c r="E2723" t="str">
        <f>HYPERLINK("https://patents.google.com/patent/US5054519A/en")</f>
        <v>https://patents.google.com/patent/US5054519A/en</v>
      </c>
    </row>
    <row r="2724" spans="3:5" x14ac:dyDescent="0.25">
      <c r="C2724" t="s">
        <v>4433</v>
      </c>
      <c r="D2724" t="s">
        <v>4434</v>
      </c>
      <c r="E2724" t="str">
        <f>HYPERLINK("https://patents.google.com/patent/CN203381739U/en")</f>
        <v>https://patents.google.com/patent/CN203381739U/en</v>
      </c>
    </row>
    <row r="2725" spans="3:5" x14ac:dyDescent="0.25">
      <c r="C2725" t="s">
        <v>4435</v>
      </c>
      <c r="D2725" t="s">
        <v>4436</v>
      </c>
      <c r="E2725" t="str">
        <f>HYPERLINK("https://patents.google.com/patent/US20100011345A1/en")</f>
        <v>https://patents.google.com/patent/US20100011345A1/en</v>
      </c>
    </row>
    <row r="2726" spans="3:5" x14ac:dyDescent="0.25">
      <c r="C2726" t="s">
        <v>4437</v>
      </c>
      <c r="D2726" t="s">
        <v>4438</v>
      </c>
      <c r="E2726" t="str">
        <f>HYPERLINK("https://patents.google.com/patent/US5295321A/en")</f>
        <v>https://patents.google.com/patent/US5295321A/en</v>
      </c>
    </row>
    <row r="2727" spans="3:5" x14ac:dyDescent="0.25">
      <c r="C2727" t="s">
        <v>4439</v>
      </c>
      <c r="D2727" t="s">
        <v>4440</v>
      </c>
      <c r="E2727" t="str">
        <f>HYPERLINK("https://patents.google.com/patent/US3944792A/en")</f>
        <v>https://patents.google.com/patent/US3944792A/en</v>
      </c>
    </row>
    <row r="2728" spans="3:5" x14ac:dyDescent="0.25">
      <c r="C2728" t="s">
        <v>4441</v>
      </c>
      <c r="D2728" t="s">
        <v>4442</v>
      </c>
      <c r="E2728" t="str">
        <f>HYPERLINK("https://patents.google.com/patent/CN203608108U/en")</f>
        <v>https://patents.google.com/patent/CN203608108U/en</v>
      </c>
    </row>
    <row r="2729" spans="3:5" x14ac:dyDescent="0.25">
      <c r="C2729" t="s">
        <v>4443</v>
      </c>
      <c r="D2729" t="s">
        <v>4444</v>
      </c>
      <c r="E2729" t="str">
        <f>HYPERLINK("https://patents.google.com/patent/US20060096011A1/en")</f>
        <v>https://patents.google.com/patent/US20060096011A1/en</v>
      </c>
    </row>
    <row r="2730" spans="3:5" x14ac:dyDescent="0.25">
      <c r="C2730" t="s">
        <v>4410</v>
      </c>
      <c r="D2730" t="s">
        <v>4445</v>
      </c>
      <c r="E2730" t="str">
        <f>HYPERLINK("https://patents.google.com/patent/CN202392374U/en")</f>
        <v>https://patents.google.com/patent/CN202392374U/en</v>
      </c>
    </row>
    <row r="2731" spans="3:5" x14ac:dyDescent="0.25">
      <c r="C2731" t="s">
        <v>4446</v>
      </c>
      <c r="D2731" t="s">
        <v>4447</v>
      </c>
      <c r="E2731" t="str">
        <f>HYPERLINK("https://patents.google.com/patent/CN104443193A/en")</f>
        <v>https://patents.google.com/patent/CN104443193A/en</v>
      </c>
    </row>
    <row r="2732" spans="3:5" x14ac:dyDescent="0.25">
      <c r="C2732" t="s">
        <v>4448</v>
      </c>
      <c r="D2732" t="s">
        <v>4449</v>
      </c>
      <c r="E2732" t="str">
        <f>HYPERLINK("https://patents.google.com/patent/US8201653B2/en")</f>
        <v>https://patents.google.com/patent/US8201653B2/en</v>
      </c>
    </row>
    <row r="2733" spans="3:5" x14ac:dyDescent="0.25">
      <c r="C2733" t="s">
        <v>4450</v>
      </c>
      <c r="D2733" t="s">
        <v>4451</v>
      </c>
      <c r="E2733" t="str">
        <f>HYPERLINK("https://patents.google.com/patent/US2695047A/en")</f>
        <v>https://patents.google.com/patent/US2695047A/en</v>
      </c>
    </row>
    <row r="2734" spans="3:5" x14ac:dyDescent="0.25">
      <c r="C2734" t="s">
        <v>4391</v>
      </c>
      <c r="D2734" t="s">
        <v>4452</v>
      </c>
      <c r="E2734" t="str">
        <f>HYPERLINK("https://patents.google.com/patent/US20130032422A1/en")</f>
        <v>https://patents.google.com/patent/US20130032422A1/en</v>
      </c>
    </row>
    <row r="2735" spans="3:5" x14ac:dyDescent="0.25">
      <c r="C2735" t="s">
        <v>4453</v>
      </c>
      <c r="D2735" t="s">
        <v>4454</v>
      </c>
      <c r="E2735" t="str">
        <f>HYPERLINK("https://patents.google.com/patent/US4527133A/en")</f>
        <v>https://patents.google.com/patent/US4527133A/en</v>
      </c>
    </row>
    <row r="2736" spans="3:5" x14ac:dyDescent="0.25">
      <c r="C2736" t="s">
        <v>4455</v>
      </c>
      <c r="D2736" t="s">
        <v>4456</v>
      </c>
      <c r="E2736" t="str">
        <f>HYPERLINK("https://patents.google.com/patent/US2584954A/en")</f>
        <v>https://patents.google.com/patent/US2584954A/en</v>
      </c>
    </row>
    <row r="2737" spans="3:5" x14ac:dyDescent="0.25">
      <c r="C2737" t="s">
        <v>4457</v>
      </c>
      <c r="D2737" t="s">
        <v>4458</v>
      </c>
      <c r="E2737" t="str">
        <f>HYPERLINK("https://patents.google.com/patent/US3863882A/en")</f>
        <v>https://patents.google.com/patent/US3863882A/en</v>
      </c>
    </row>
    <row r="2738" spans="3:5" x14ac:dyDescent="0.25">
      <c r="C2738" t="s">
        <v>4459</v>
      </c>
      <c r="D2738" t="s">
        <v>4460</v>
      </c>
      <c r="E2738" t="str">
        <f>HYPERLINK("https://patents.google.com/patent/US3852662A/en")</f>
        <v>https://patents.google.com/patent/US3852662A/en</v>
      </c>
    </row>
    <row r="2739" spans="3:5" x14ac:dyDescent="0.25">
      <c r="C2739" t="s">
        <v>4461</v>
      </c>
      <c r="D2739" t="s">
        <v>4462</v>
      </c>
      <c r="E2739" t="str">
        <f>HYPERLINK("https://patents.google.com/patent/US2686340A/en")</f>
        <v>https://patents.google.com/patent/US2686340A/en</v>
      </c>
    </row>
    <row r="2740" spans="3:5" x14ac:dyDescent="0.25">
      <c r="C2740" t="s">
        <v>4463</v>
      </c>
      <c r="D2740" t="s">
        <v>4464</v>
      </c>
      <c r="E2740" t="str">
        <f>HYPERLINK("https://patents.google.com/patent/US8160747B1/en")</f>
        <v>https://patents.google.com/patent/US8160747B1/en</v>
      </c>
    </row>
    <row r="2741" spans="3:5" x14ac:dyDescent="0.25">
      <c r="C2741" t="s">
        <v>4465</v>
      </c>
      <c r="D2741" t="s">
        <v>4466</v>
      </c>
      <c r="E2741" t="str">
        <f>HYPERLINK("https://patents.google.com/patent/US3122399A/en")</f>
        <v>https://patents.google.com/patent/US3122399A/en</v>
      </c>
    </row>
    <row r="2742" spans="3:5" x14ac:dyDescent="0.25">
      <c r="C2742" t="s">
        <v>4467</v>
      </c>
      <c r="D2742" t="s">
        <v>4468</v>
      </c>
      <c r="E2742" t="str">
        <f>HYPERLINK("https://patents.google.com/patent/CN2592496Y/en")</f>
        <v>https://patents.google.com/patent/CN2592496Y/en</v>
      </c>
    </row>
    <row r="2743" spans="3:5" x14ac:dyDescent="0.25">
      <c r="C2743" t="s">
        <v>4469</v>
      </c>
      <c r="D2743" t="s">
        <v>4470</v>
      </c>
      <c r="E2743" t="str">
        <f>HYPERLINK("https://patents.google.com/patent/CN201359587Y/en")</f>
        <v>https://patents.google.com/patent/CN201359587Y/en</v>
      </c>
    </row>
    <row r="2744" spans="3:5" x14ac:dyDescent="0.25">
      <c r="C2744" t="s">
        <v>4471</v>
      </c>
      <c r="D2744" t="s">
        <v>4472</v>
      </c>
      <c r="E2744" t="str">
        <f>HYPERLINK("https://patents.google.com/patent/US4807767A/en")</f>
        <v>https://patents.google.com/patent/US4807767A/en</v>
      </c>
    </row>
    <row r="2745" spans="3:5" x14ac:dyDescent="0.25">
      <c r="C2745" t="s">
        <v>4473</v>
      </c>
      <c r="D2745" t="s">
        <v>4474</v>
      </c>
      <c r="E2745" t="str">
        <f>HYPERLINK("https://patents.google.com/patent/US20100292840A1/en")</f>
        <v>https://patents.google.com/patent/US20100292840A1/en</v>
      </c>
    </row>
    <row r="2746" spans="3:5" x14ac:dyDescent="0.25">
      <c r="C2746" t="s">
        <v>4475</v>
      </c>
      <c r="D2746" t="s">
        <v>4476</v>
      </c>
      <c r="E2746" t="str">
        <f>HYPERLINK("https://patents.google.com/patent/CN103600799A/en")</f>
        <v>https://patents.google.com/patent/CN103600799A/en</v>
      </c>
    </row>
    <row r="2747" spans="3:5" x14ac:dyDescent="0.25">
      <c r="C2747" t="s">
        <v>4477</v>
      </c>
      <c r="D2747" t="s">
        <v>4478</v>
      </c>
      <c r="E2747" t="str">
        <f>HYPERLINK("https://patents.google.com/patent/CN202966533U/en")</f>
        <v>https://patents.google.com/patent/CN202966533U/en</v>
      </c>
    </row>
    <row r="2748" spans="3:5" x14ac:dyDescent="0.25">
      <c r="C2748" t="s">
        <v>4479</v>
      </c>
      <c r="D2748" t="s">
        <v>4480</v>
      </c>
      <c r="E2748" t="str">
        <f>HYPERLINK("https://patents.google.com/patent/CN102514662A/en")</f>
        <v>https://patents.google.com/patent/CN102514662A/en</v>
      </c>
    </row>
    <row r="2749" spans="3:5" x14ac:dyDescent="0.25">
      <c r="C2749" t="s">
        <v>4481</v>
      </c>
      <c r="D2749" t="s">
        <v>4482</v>
      </c>
      <c r="E2749" t="str">
        <f>HYPERLINK("https://patents.google.com/patent/US20120205176A1/en")</f>
        <v>https://patents.google.com/patent/US20120205176A1/en</v>
      </c>
    </row>
    <row r="2750" spans="3:5" x14ac:dyDescent="0.25">
      <c r="C2750" t="s">
        <v>4483</v>
      </c>
      <c r="D2750" t="s">
        <v>4484</v>
      </c>
      <c r="E2750" t="str">
        <f>HYPERLINK("https://patents.google.com/patent/CN101650098A/en")</f>
        <v>https://patents.google.com/patent/CN101650098A/en</v>
      </c>
    </row>
    <row r="2751" spans="3:5" x14ac:dyDescent="0.25">
      <c r="C2751" t="s">
        <v>4485</v>
      </c>
      <c r="D2751" t="s">
        <v>4486</v>
      </c>
      <c r="E2751" t="str">
        <f>HYPERLINK("https://patents.google.com/patent/US2592760A/en")</f>
        <v>https://patents.google.com/patent/US2592760A/en</v>
      </c>
    </row>
    <row r="2752" spans="3:5" x14ac:dyDescent="0.25">
      <c r="C2752" t="s">
        <v>4487</v>
      </c>
      <c r="D2752" t="s">
        <v>4488</v>
      </c>
      <c r="E2752" t="str">
        <f>HYPERLINK("https://patents.google.com/patent/US4348661A/en")</f>
        <v>https://patents.google.com/patent/US4348661A/en</v>
      </c>
    </row>
    <row r="2753" spans="3:5" x14ac:dyDescent="0.25">
      <c r="C2753" t="s">
        <v>4489</v>
      </c>
      <c r="D2753" t="s">
        <v>4490</v>
      </c>
      <c r="E2753" t="str">
        <f>HYPERLINK("https://patents.google.com/patent/US4234841A/en")</f>
        <v>https://patents.google.com/patent/US4234841A/en</v>
      </c>
    </row>
    <row r="2754" spans="3:5" x14ac:dyDescent="0.25">
      <c r="C2754" t="s">
        <v>4491</v>
      </c>
      <c r="D2754" t="s">
        <v>4492</v>
      </c>
      <c r="E2754" t="str">
        <f>HYPERLINK("https://patents.google.com/patent/US3895306A/en")</f>
        <v>https://patents.google.com/patent/US3895306A/en</v>
      </c>
    </row>
    <row r="2755" spans="3:5" x14ac:dyDescent="0.25">
      <c r="C2755" t="s">
        <v>4493</v>
      </c>
      <c r="D2755" t="s">
        <v>4494</v>
      </c>
      <c r="E2755" t="str">
        <f>HYPERLINK("https://patents.google.com/patent/US7660648B2/en")</f>
        <v>https://patents.google.com/patent/US7660648B2/en</v>
      </c>
    </row>
    <row r="2756" spans="3:5" x14ac:dyDescent="0.25">
      <c r="C2756" t="s">
        <v>4495</v>
      </c>
      <c r="D2756" t="s">
        <v>4496</v>
      </c>
      <c r="E2756" t="str">
        <f>HYPERLINK("https://patents.google.com/patent/US3500171A/en")</f>
        <v>https://patents.google.com/patent/US3500171A/en</v>
      </c>
    </row>
    <row r="2757" spans="3:5" x14ac:dyDescent="0.25">
      <c r="C2757" t="s">
        <v>4497</v>
      </c>
      <c r="D2757" t="s">
        <v>4498</v>
      </c>
      <c r="E2757" t="str">
        <f>HYPERLINK("https://patents.google.com/patent/US5503464A/en")</f>
        <v>https://patents.google.com/patent/US5503464A/en</v>
      </c>
    </row>
    <row r="2758" spans="3:5" x14ac:dyDescent="0.25">
      <c r="C2758" t="s">
        <v>4499</v>
      </c>
      <c r="D2758" t="s">
        <v>4500</v>
      </c>
      <c r="E2758" t="str">
        <f>HYPERLINK("https://patents.google.com/patent/US8306664B1/en")</f>
        <v>https://patents.google.com/patent/US8306664B1/en</v>
      </c>
    </row>
    <row r="2759" spans="3:5" x14ac:dyDescent="0.25">
      <c r="C2759" t="s">
        <v>4501</v>
      </c>
      <c r="D2759" t="s">
        <v>4502</v>
      </c>
      <c r="E2759" t="str">
        <f>HYPERLINK("https://patents.google.com/patent/CN102535529A/en")</f>
        <v>https://patents.google.com/patent/CN102535529A/en</v>
      </c>
    </row>
    <row r="2760" spans="3:5" x14ac:dyDescent="0.25">
      <c r="C2760" t="s">
        <v>4503</v>
      </c>
      <c r="D2760" t="s">
        <v>4504</v>
      </c>
      <c r="E2760" t="str">
        <f>HYPERLINK("https://patents.google.com/patent/CN202147277U/en")</f>
        <v>https://patents.google.com/patent/CN202147277U/en</v>
      </c>
    </row>
    <row r="2761" spans="3:5" x14ac:dyDescent="0.25">
      <c r="C2761" t="s">
        <v>4505</v>
      </c>
      <c r="D2761" t="s">
        <v>4506</v>
      </c>
      <c r="E2761" t="str">
        <f>HYPERLINK("https://patents.google.com/patent/US2700130A/en")</f>
        <v>https://patents.google.com/patent/US2700130A/en</v>
      </c>
    </row>
    <row r="2762" spans="3:5" x14ac:dyDescent="0.25">
      <c r="C2762" t="s">
        <v>4507</v>
      </c>
      <c r="D2762" t="s">
        <v>4508</v>
      </c>
      <c r="E2762" t="str">
        <f>HYPERLINK("https://patents.google.com/patent/US2153986A/en")</f>
        <v>https://patents.google.com/patent/US2153986A/en</v>
      </c>
    </row>
    <row r="2763" spans="3:5" x14ac:dyDescent="0.25">
      <c r="C2763" t="s">
        <v>4509</v>
      </c>
      <c r="D2763" t="s">
        <v>4510</v>
      </c>
      <c r="E2763" t="str">
        <f>HYPERLINK("https://patents.google.com/patent/US6532422B1/en")</f>
        <v>https://patents.google.com/patent/US6532422B1/en</v>
      </c>
    </row>
    <row r="2764" spans="3:5" x14ac:dyDescent="0.25">
      <c r="C2764" t="s">
        <v>4511</v>
      </c>
      <c r="D2764" t="s">
        <v>4512</v>
      </c>
      <c r="E2764" t="str">
        <f>HYPERLINK("https://patents.google.com/patent/US20080233860A1/en")</f>
        <v>https://patents.google.com/patent/US20080233860A1/en</v>
      </c>
    </row>
    <row r="2765" spans="3:5" x14ac:dyDescent="0.25">
      <c r="C2765" t="s">
        <v>4513</v>
      </c>
      <c r="D2765" t="s">
        <v>4514</v>
      </c>
      <c r="E2765" t="str">
        <f>HYPERLINK("https://patents.google.com/patent/CN102602481A/en")</f>
        <v>https://patents.google.com/patent/CN102602481A/en</v>
      </c>
    </row>
    <row r="2766" spans="3:5" x14ac:dyDescent="0.25">
      <c r="C2766" t="s">
        <v>4515</v>
      </c>
      <c r="D2766" t="s">
        <v>4516</v>
      </c>
      <c r="E2766" t="str">
        <f>HYPERLINK("https://patents.google.com/patent/US4000454A/en")</f>
        <v>https://patents.google.com/patent/US4000454A/en</v>
      </c>
    </row>
    <row r="2767" spans="3:5" x14ac:dyDescent="0.25">
      <c r="C2767" t="s">
        <v>4517</v>
      </c>
      <c r="D2767" t="s">
        <v>4518</v>
      </c>
      <c r="E2767" t="str">
        <f>HYPERLINK("https://patents.google.com/patent/US2424146A/en")</f>
        <v>https://patents.google.com/patent/US2424146A/en</v>
      </c>
    </row>
    <row r="2768" spans="3:5" x14ac:dyDescent="0.25">
      <c r="C2768" t="s">
        <v>4519</v>
      </c>
      <c r="D2768" t="s">
        <v>4520</v>
      </c>
      <c r="E2768" t="str">
        <f>HYPERLINK("https://patents.google.com/patent/US4060153A/en")</f>
        <v>https://patents.google.com/patent/US4060153A/en</v>
      </c>
    </row>
    <row r="2769" spans="3:5" x14ac:dyDescent="0.25">
      <c r="C2769" t="s">
        <v>4521</v>
      </c>
      <c r="D2769" t="s">
        <v>4522</v>
      </c>
      <c r="E2769" t="str">
        <f>HYPERLINK("https://patents.google.com/patent/US4120213A/en")</f>
        <v>https://patents.google.com/patent/US4120213A/en</v>
      </c>
    </row>
    <row r="2770" spans="3:5" x14ac:dyDescent="0.25">
      <c r="C2770" t="s">
        <v>4523</v>
      </c>
      <c r="D2770" t="s">
        <v>4524</v>
      </c>
      <c r="E2770" t="str">
        <f>HYPERLINK("https://patents.google.com/patent/US4577819A/en")</f>
        <v>https://patents.google.com/patent/US4577819A/en</v>
      </c>
    </row>
    <row r="2771" spans="3:5" x14ac:dyDescent="0.25">
      <c r="C2771" t="s">
        <v>4525</v>
      </c>
      <c r="D2771" t="s">
        <v>4526</v>
      </c>
      <c r="E2771" t="str">
        <f>HYPERLINK("https://patents.google.com/patent/CN103267637A/en")</f>
        <v>https://patents.google.com/patent/CN103267637A/en</v>
      </c>
    </row>
    <row r="2772" spans="3:5" x14ac:dyDescent="0.25">
      <c r="C2772" t="s">
        <v>4527</v>
      </c>
      <c r="D2772" t="s">
        <v>4528</v>
      </c>
      <c r="E2772" t="str">
        <f>HYPERLINK("https://patents.google.com/patent/US4656570A/en")</f>
        <v>https://patents.google.com/patent/US4656570A/en</v>
      </c>
    </row>
    <row r="2773" spans="3:5" x14ac:dyDescent="0.25">
      <c r="C2773" t="s">
        <v>4529</v>
      </c>
      <c r="D2773" t="s">
        <v>4530</v>
      </c>
      <c r="E2773" t="str">
        <f>HYPERLINK("https://patents.google.com/patent/US4840601A/en")</f>
        <v>https://patents.google.com/patent/US4840601A/en</v>
      </c>
    </row>
    <row r="2774" spans="3:5" x14ac:dyDescent="0.25">
      <c r="C2774" t="s">
        <v>4531</v>
      </c>
      <c r="D2774" t="s">
        <v>4532</v>
      </c>
      <c r="E2774" t="str">
        <f>HYPERLINK("https://patents.google.com/patent/CN201110822Y/en")</f>
        <v>https://patents.google.com/patent/CN201110822Y/en</v>
      </c>
    </row>
    <row r="2775" spans="3:5" x14ac:dyDescent="0.25">
      <c r="C2775" t="s">
        <v>4533</v>
      </c>
      <c r="D2775" t="s">
        <v>4534</v>
      </c>
      <c r="E2775" t="str">
        <f>HYPERLINK("https://patents.google.com/patent/CN203127051U/en")</f>
        <v>https://patents.google.com/patent/CN203127051U/en</v>
      </c>
    </row>
    <row r="2776" spans="3:5" x14ac:dyDescent="0.25">
      <c r="C2776" t="s">
        <v>4535</v>
      </c>
      <c r="D2776" t="s">
        <v>4536</v>
      </c>
      <c r="E2776" t="str">
        <f>HYPERLINK("https://patents.google.com/patent/CN202030435U/en")</f>
        <v>https://patents.google.com/patent/CN202030435U/en</v>
      </c>
    </row>
    <row r="2777" spans="3:5" x14ac:dyDescent="0.25">
      <c r="C2777" t="s">
        <v>4537</v>
      </c>
      <c r="D2777" t="s">
        <v>4538</v>
      </c>
      <c r="E2777" t="str">
        <f>HYPERLINK("https://patents.google.com/patent/CN102642584A/en")</f>
        <v>https://patents.google.com/patent/CN102642584A/en</v>
      </c>
    </row>
    <row r="2778" spans="3:5" x14ac:dyDescent="0.25">
      <c r="C2778" t="s">
        <v>4539</v>
      </c>
      <c r="D2778" t="s">
        <v>4540</v>
      </c>
      <c r="E2778" t="str">
        <f>HYPERLINK("https://patents.google.com/patent/CN104512502A/en")</f>
        <v>https://patents.google.com/patent/CN104512502A/en</v>
      </c>
    </row>
    <row r="2779" spans="3:5" x14ac:dyDescent="0.25">
      <c r="C2779" t="s">
        <v>4541</v>
      </c>
      <c r="D2779" t="s">
        <v>4542</v>
      </c>
      <c r="E2779" t="str">
        <f>HYPERLINK("https://patents.google.com/patent/US3040248A/en")</f>
        <v>https://patents.google.com/patent/US3040248A/en</v>
      </c>
    </row>
    <row r="2780" spans="3:5" x14ac:dyDescent="0.25">
      <c r="C2780" t="s">
        <v>4543</v>
      </c>
      <c r="D2780" t="s">
        <v>4544</v>
      </c>
      <c r="E2780" t="str">
        <f>HYPERLINK("https://patents.google.com/patent/US7222836B2/en")</f>
        <v>https://patents.google.com/patent/US7222836B2/en</v>
      </c>
    </row>
    <row r="2781" spans="3:5" x14ac:dyDescent="0.25">
      <c r="C2781" t="s">
        <v>4545</v>
      </c>
      <c r="D2781" t="s">
        <v>4546</v>
      </c>
      <c r="E2781" t="str">
        <f>HYPERLINK("https://patents.google.com/patent/US7028428B1/en")</f>
        <v>https://patents.google.com/patent/US7028428B1/en</v>
      </c>
    </row>
    <row r="2782" spans="3:5" x14ac:dyDescent="0.25">
      <c r="C2782" t="s">
        <v>4547</v>
      </c>
      <c r="D2782" t="s">
        <v>4548</v>
      </c>
      <c r="E2782" t="str">
        <f>HYPERLINK("https://patents.google.com/patent/US4428486A/en")</f>
        <v>https://patents.google.com/patent/US4428486A/en</v>
      </c>
    </row>
    <row r="2783" spans="3:5" x14ac:dyDescent="0.25">
      <c r="C2783" t="s">
        <v>4549</v>
      </c>
      <c r="D2783" t="s">
        <v>4550</v>
      </c>
      <c r="E2783" t="str">
        <f>HYPERLINK("https://patents.google.com/patent/US6546354B1/en")</f>
        <v>https://patents.google.com/patent/US6546354B1/en</v>
      </c>
    </row>
    <row r="2784" spans="3:5" x14ac:dyDescent="0.25">
      <c r="C2784" t="s">
        <v>4551</v>
      </c>
      <c r="D2784" t="s">
        <v>4552</v>
      </c>
      <c r="E2784" t="str">
        <f>HYPERLINK("https://patents.google.com/patent/US8416552B2/en")</f>
        <v>https://patents.google.com/patent/US8416552B2/en</v>
      </c>
    </row>
    <row r="2785" spans="3:5" x14ac:dyDescent="0.25">
      <c r="C2785" t="s">
        <v>4553</v>
      </c>
      <c r="D2785" t="s">
        <v>4554</v>
      </c>
      <c r="E2785" t="str">
        <f>HYPERLINK("https://patents.google.com/patent/US5732603A/en")</f>
        <v>https://patents.google.com/patent/US5732603A/en</v>
      </c>
    </row>
    <row r="2786" spans="3:5" x14ac:dyDescent="0.25">
      <c r="C2786" t="s">
        <v>4555</v>
      </c>
      <c r="D2786" t="s">
        <v>4556</v>
      </c>
      <c r="E2786" t="str">
        <f>HYPERLINK("https://patents.google.com/patent/CN202879694U/en")</f>
        <v>https://patents.google.com/patent/CN202879694U/en</v>
      </c>
    </row>
    <row r="2787" spans="3:5" x14ac:dyDescent="0.25">
      <c r="C2787" t="s">
        <v>4557</v>
      </c>
      <c r="D2787" t="s">
        <v>4558</v>
      </c>
      <c r="E2787" t="str">
        <f>HYPERLINK("https://patents.google.com/patent/CN201488394U/en")</f>
        <v>https://patents.google.com/patent/CN201488394U/en</v>
      </c>
    </row>
    <row r="2788" spans="3:5" x14ac:dyDescent="0.25">
      <c r="C2788" t="s">
        <v>4559</v>
      </c>
      <c r="D2788" t="s">
        <v>4560</v>
      </c>
      <c r="E2788" t="str">
        <f>HYPERLINK("https://patents.google.com/patent/US20030101519A1/en")</f>
        <v>https://patents.google.com/patent/US20030101519A1/en</v>
      </c>
    </row>
    <row r="2789" spans="3:5" x14ac:dyDescent="0.25">
      <c r="C2789" t="s">
        <v>4561</v>
      </c>
      <c r="D2789" t="s">
        <v>4562</v>
      </c>
      <c r="E2789" t="str">
        <f>HYPERLINK("https://patents.google.com/patent/CN201190018Y/en")</f>
        <v>https://patents.google.com/patent/CN201190018Y/en</v>
      </c>
    </row>
    <row r="2790" spans="3:5" x14ac:dyDescent="0.25">
      <c r="C2790" t="s">
        <v>4563</v>
      </c>
      <c r="D2790" t="s">
        <v>4564</v>
      </c>
      <c r="E2790" t="str">
        <f>HYPERLINK("https://patents.google.com/patent/US20130248573A1/en")</f>
        <v>https://patents.google.com/patent/US20130248573A1/en</v>
      </c>
    </row>
    <row r="2791" spans="3:5" x14ac:dyDescent="0.25">
      <c r="C2791" t="s">
        <v>4565</v>
      </c>
      <c r="D2791" t="s">
        <v>4566</v>
      </c>
      <c r="E2791" t="str">
        <f>HYPERLINK("https://patents.google.com/patent/CN203318594U/en")</f>
        <v>https://patents.google.com/patent/CN203318594U/en</v>
      </c>
    </row>
    <row r="2792" spans="3:5" x14ac:dyDescent="0.25">
      <c r="C2792" t="s">
        <v>4567</v>
      </c>
      <c r="D2792" t="s">
        <v>4568</v>
      </c>
      <c r="E2792" t="str">
        <f>HYPERLINK("https://patents.google.com/patent/CN102251529A/en")</f>
        <v>https://patents.google.com/patent/CN102251529A/en</v>
      </c>
    </row>
    <row r="2793" spans="3:5" x14ac:dyDescent="0.25">
      <c r="C2793" t="s">
        <v>4569</v>
      </c>
      <c r="D2793" t="s">
        <v>4570</v>
      </c>
      <c r="E2793" t="str">
        <f>HYPERLINK("https://patents.google.com/patent/US3315153A/en")</f>
        <v>https://patents.google.com/patent/US3315153A/en</v>
      </c>
    </row>
    <row r="2794" spans="3:5" x14ac:dyDescent="0.25">
      <c r="C2794" t="s">
        <v>4571</v>
      </c>
      <c r="D2794" t="s">
        <v>4572</v>
      </c>
      <c r="E2794" t="str">
        <f>HYPERLINK("https://patents.google.com/patent/US1896062A/en")</f>
        <v>https://patents.google.com/patent/US1896062A/en</v>
      </c>
    </row>
    <row r="2795" spans="3:5" x14ac:dyDescent="0.25">
      <c r="C2795" t="s">
        <v>4573</v>
      </c>
      <c r="D2795" t="s">
        <v>4574</v>
      </c>
      <c r="E2795" t="str">
        <f>HYPERLINK("https://patents.google.com/patent/US3416758A/en")</f>
        <v>https://patents.google.com/patent/US3416758A/en</v>
      </c>
    </row>
    <row r="2796" spans="3:5" x14ac:dyDescent="0.25">
      <c r="C2796" t="s">
        <v>4575</v>
      </c>
      <c r="D2796" t="s">
        <v>4576</v>
      </c>
      <c r="E2796" t="str">
        <f>HYPERLINK("https://patents.google.com/patent/US4338580A/en")</f>
        <v>https://patents.google.com/patent/US4338580A/en</v>
      </c>
    </row>
    <row r="2797" spans="3:5" x14ac:dyDescent="0.25">
      <c r="C2797" t="s">
        <v>4499</v>
      </c>
      <c r="D2797" t="s">
        <v>4577</v>
      </c>
      <c r="E2797" t="str">
        <f>HYPERLINK("https://patents.google.com/patent/US8788096B1/en")</f>
        <v>https://patents.google.com/patent/US8788096B1/en</v>
      </c>
    </row>
    <row r="2798" spans="3:5" x14ac:dyDescent="0.25">
      <c r="C2798" t="s">
        <v>4578</v>
      </c>
      <c r="D2798" t="s">
        <v>4579</v>
      </c>
      <c r="E2798" t="str">
        <f>HYPERLINK("https://patents.google.com/patent/CN204309981U/en")</f>
        <v>https://patents.google.com/patent/CN204309981U/en</v>
      </c>
    </row>
    <row r="2799" spans="3:5" x14ac:dyDescent="0.25">
      <c r="C2799" t="s">
        <v>4580</v>
      </c>
      <c r="D2799" t="s">
        <v>4581</v>
      </c>
      <c r="E2799" t="str">
        <f>HYPERLINK("https://patents.google.com/patent/US3222547A/en")</f>
        <v>https://patents.google.com/patent/US3222547A/en</v>
      </c>
    </row>
    <row r="2800" spans="3:5" x14ac:dyDescent="0.25">
      <c r="C2800" t="s">
        <v>4582</v>
      </c>
      <c r="D2800" t="s">
        <v>4583</v>
      </c>
      <c r="E2800" t="str">
        <f>HYPERLINK("https://patents.google.com/patent/GB2465020A/en")</f>
        <v>https://patents.google.com/patent/GB2465020A/en</v>
      </c>
    </row>
    <row r="2801" spans="3:5" x14ac:dyDescent="0.25">
      <c r="C2801" t="s">
        <v>4584</v>
      </c>
      <c r="D2801" t="s">
        <v>4585</v>
      </c>
      <c r="E2801" t="str">
        <f>HYPERLINK("https://patents.google.com/patent/CN202641971U/en")</f>
        <v>https://patents.google.com/patent/CN202641971U/en</v>
      </c>
    </row>
    <row r="2802" spans="3:5" x14ac:dyDescent="0.25">
      <c r="C2802" t="s">
        <v>4586</v>
      </c>
      <c r="D2802" t="s">
        <v>4587</v>
      </c>
      <c r="E2802" t="str">
        <f>HYPERLINK("https://patents.google.com/patent/CN202420852U/en")</f>
        <v>https://patents.google.com/patent/CN202420852U/en</v>
      </c>
    </row>
    <row r="2803" spans="3:5" x14ac:dyDescent="0.25">
      <c r="C2803" t="s">
        <v>4588</v>
      </c>
      <c r="D2803" t="s">
        <v>4589</v>
      </c>
      <c r="E2803" t="str">
        <f>HYPERLINK("https://patents.google.com/patent/US3699465A/en")</f>
        <v>https://patents.google.com/patent/US3699465A/en</v>
      </c>
    </row>
    <row r="2804" spans="3:5" x14ac:dyDescent="0.25">
      <c r="C2804" t="s">
        <v>4590</v>
      </c>
      <c r="D2804" t="s">
        <v>4591</v>
      </c>
      <c r="E2804" t="str">
        <f>HYPERLINK("https://patents.google.com/patent/CN104163222A/en")</f>
        <v>https://patents.google.com/patent/CN104163222A/en</v>
      </c>
    </row>
    <row r="2805" spans="3:5" x14ac:dyDescent="0.25">
      <c r="C2805" t="s">
        <v>4592</v>
      </c>
      <c r="D2805" t="s">
        <v>4593</v>
      </c>
      <c r="E2805" t="str">
        <f>HYPERLINK("https://patents.google.com/patent/US2507590A/en")</f>
        <v>https://patents.google.com/patent/US2507590A/en</v>
      </c>
    </row>
    <row r="2806" spans="3:5" x14ac:dyDescent="0.25">
      <c r="C2806" t="s">
        <v>4594</v>
      </c>
      <c r="D2806" t="s">
        <v>4595</v>
      </c>
      <c r="E2806" t="str">
        <f>HYPERLINK("https://patents.google.com/patent/CN102798448A/en")</f>
        <v>https://patents.google.com/patent/CN102798448A/en</v>
      </c>
    </row>
    <row r="2807" spans="3:5" x14ac:dyDescent="0.25">
      <c r="C2807" t="s">
        <v>4596</v>
      </c>
      <c r="D2807" t="s">
        <v>4597</v>
      </c>
      <c r="E2807" t="str">
        <f>HYPERLINK("https://patents.google.com/patent/CN103192913A/en")</f>
        <v>https://patents.google.com/patent/CN103192913A/en</v>
      </c>
    </row>
    <row r="2808" spans="3:5" x14ac:dyDescent="0.25">
      <c r="C2808" t="s">
        <v>4598</v>
      </c>
      <c r="D2808" t="s">
        <v>4599</v>
      </c>
      <c r="E2808" t="str">
        <f>HYPERLINK("https://patents.google.com/patent/US3699246A/en")</f>
        <v>https://patents.google.com/patent/US3699246A/en</v>
      </c>
    </row>
    <row r="2809" spans="3:5" x14ac:dyDescent="0.25">
      <c r="C2809" t="s">
        <v>4600</v>
      </c>
      <c r="D2809" t="s">
        <v>4601</v>
      </c>
      <c r="E2809" t="str">
        <f>HYPERLINK("https://patents.google.com/patent/CN102614055A/en")</f>
        <v>https://patents.google.com/patent/CN102614055A/en</v>
      </c>
    </row>
    <row r="2810" spans="3:5" x14ac:dyDescent="0.25">
      <c r="C2810" t="s">
        <v>4602</v>
      </c>
      <c r="D2810" t="s">
        <v>4603</v>
      </c>
      <c r="E2810" t="str">
        <f>HYPERLINK("https://patents.google.com/patent/CN1837011A/en")</f>
        <v>https://patents.google.com/patent/CN1837011A/en</v>
      </c>
    </row>
    <row r="2811" spans="3:5" x14ac:dyDescent="0.25">
      <c r="C2811" t="s">
        <v>4604</v>
      </c>
      <c r="D2811" t="s">
        <v>4605</v>
      </c>
      <c r="E2811" t="str">
        <f>HYPERLINK("https://patents.google.com/patent/US3077914A/en")</f>
        <v>https://patents.google.com/patent/US3077914A/en</v>
      </c>
    </row>
    <row r="2812" spans="3:5" x14ac:dyDescent="0.25">
      <c r="C2812" t="s">
        <v>4606</v>
      </c>
      <c r="D2812" t="s">
        <v>4607</v>
      </c>
      <c r="E2812" t="str">
        <f>HYPERLINK("https://patents.google.com/patent/CN203244743U/en")</f>
        <v>https://patents.google.com/patent/CN203244743U/en</v>
      </c>
    </row>
    <row r="2813" spans="3:5" x14ac:dyDescent="0.25">
      <c r="C2813" t="s">
        <v>4608</v>
      </c>
      <c r="D2813" t="s">
        <v>4609</v>
      </c>
      <c r="E2813" t="str">
        <f>HYPERLINK("https://patents.google.com/patent/CN101417682A/en")</f>
        <v>https://patents.google.com/patent/CN101417682A/en</v>
      </c>
    </row>
    <row r="2814" spans="3:5" x14ac:dyDescent="0.25">
      <c r="C2814" t="s">
        <v>4610</v>
      </c>
      <c r="D2814" t="s">
        <v>4611</v>
      </c>
      <c r="E2814" t="str">
        <f>HYPERLINK("https://patents.google.com/patent/CN201165299Y/en")</f>
        <v>https://patents.google.com/patent/CN201165299Y/en</v>
      </c>
    </row>
    <row r="2815" spans="3:5" x14ac:dyDescent="0.25">
      <c r="C2815" t="s">
        <v>4612</v>
      </c>
      <c r="D2815" t="s">
        <v>4613</v>
      </c>
      <c r="E2815" t="str">
        <f>HYPERLINK("https://patents.google.com/patent/CN1896712A/en")</f>
        <v>https://patents.google.com/patent/CN1896712A/en</v>
      </c>
    </row>
    <row r="2816" spans="3:5" x14ac:dyDescent="0.25">
      <c r="C2816" t="s">
        <v>4614</v>
      </c>
      <c r="D2816" t="s">
        <v>4615</v>
      </c>
      <c r="E2816" t="str">
        <f>HYPERLINK("https://patents.google.com/patent/CN102717854A/en")</f>
        <v>https://patents.google.com/patent/CN102717854A/en</v>
      </c>
    </row>
    <row r="2817" spans="3:5" x14ac:dyDescent="0.25">
      <c r="C2817" t="s">
        <v>4616</v>
      </c>
      <c r="D2817" t="s">
        <v>4617</v>
      </c>
      <c r="E2817" t="str">
        <f>HYPERLINK("https://patents.google.com/patent/US20150096820A1/en")</f>
        <v>https://patents.google.com/patent/US20150096820A1/en</v>
      </c>
    </row>
    <row r="2818" spans="3:5" x14ac:dyDescent="0.25">
      <c r="C2818" t="s">
        <v>4618</v>
      </c>
      <c r="D2818" t="s">
        <v>4619</v>
      </c>
      <c r="E2818" t="str">
        <f>HYPERLINK("https://patents.google.com/patent/CN1502513A/en")</f>
        <v>https://patents.google.com/patent/CN1502513A/en</v>
      </c>
    </row>
    <row r="2819" spans="3:5" x14ac:dyDescent="0.25">
      <c r="C2819" t="s">
        <v>4620</v>
      </c>
      <c r="D2819" t="s">
        <v>4621</v>
      </c>
      <c r="E2819" t="str">
        <f>HYPERLINK("https://patents.google.com/patent/CN1734914A/en")</f>
        <v>https://patents.google.com/patent/CN1734914A/en</v>
      </c>
    </row>
    <row r="2820" spans="3:5" x14ac:dyDescent="0.25">
      <c r="C2820" t="s">
        <v>4622</v>
      </c>
      <c r="D2820" t="s">
        <v>4623</v>
      </c>
      <c r="E2820" t="str">
        <f>HYPERLINK("https://patents.google.com/patent/CN103600801A/en")</f>
        <v>https://patents.google.com/patent/CN103600801A/en</v>
      </c>
    </row>
    <row r="2821" spans="3:5" x14ac:dyDescent="0.25">
      <c r="C2821" t="s">
        <v>4624</v>
      </c>
      <c r="D2821" t="s">
        <v>4625</v>
      </c>
      <c r="E2821" t="str">
        <f>HYPERLINK("https://patents.google.com/patent/CN102079348A/en")</f>
        <v>https://patents.google.com/patent/CN102079348A/en</v>
      </c>
    </row>
    <row r="2822" spans="3:5" x14ac:dyDescent="0.25">
      <c r="C2822" t="s">
        <v>4626</v>
      </c>
      <c r="D2822" t="s">
        <v>4627</v>
      </c>
      <c r="E2822" t="str">
        <f>HYPERLINK("https://patents.google.com/patent/CN103529850A/en")</f>
        <v>https://patents.google.com/patent/CN103529850A/en</v>
      </c>
    </row>
    <row r="2823" spans="3:5" x14ac:dyDescent="0.25">
      <c r="C2823" t="s">
        <v>4628</v>
      </c>
      <c r="D2823" t="s">
        <v>4629</v>
      </c>
      <c r="E2823" t="str">
        <f>HYPERLINK("https://patents.google.com/patent/CN202283962U/en")</f>
        <v>https://patents.google.com/patent/CN202283962U/en</v>
      </c>
    </row>
    <row r="2824" spans="3:5" x14ac:dyDescent="0.25">
      <c r="C2824" t="s">
        <v>4630</v>
      </c>
      <c r="D2824" t="s">
        <v>4631</v>
      </c>
      <c r="E2824" t="str">
        <f>HYPERLINK("https://patents.google.com/patent/CN2492631Y/en")</f>
        <v>https://patents.google.com/patent/CN2492631Y/en</v>
      </c>
    </row>
    <row r="2825" spans="3:5" x14ac:dyDescent="0.25">
      <c r="C2825" t="s">
        <v>4632</v>
      </c>
      <c r="D2825" t="s">
        <v>4633</v>
      </c>
      <c r="E2825" t="str">
        <f>HYPERLINK("https://patents.google.com/patent/US5715731A/en")</f>
        <v>https://patents.google.com/patent/US5715731A/en</v>
      </c>
    </row>
    <row r="2826" spans="3:5" x14ac:dyDescent="0.25">
      <c r="C2826" t="s">
        <v>4634</v>
      </c>
      <c r="D2826" t="s">
        <v>4635</v>
      </c>
      <c r="E2826" t="str">
        <f>HYPERLINK("https://patents.google.com/patent/US6019145A/en")</f>
        <v>https://patents.google.com/patent/US6019145A/en</v>
      </c>
    </row>
    <row r="2827" spans="3:5" x14ac:dyDescent="0.25">
      <c r="C2827" t="s">
        <v>4636</v>
      </c>
      <c r="D2827" t="s">
        <v>4637</v>
      </c>
      <c r="E2827" t="str">
        <f>HYPERLINK("https://patents.google.com/patent/US5001617A/en")</f>
        <v>https://patents.google.com/patent/US5001617A/en</v>
      </c>
    </row>
    <row r="2828" spans="3:5" x14ac:dyDescent="0.25">
      <c r="C2828" t="s">
        <v>4638</v>
      </c>
      <c r="D2828" t="s">
        <v>4639</v>
      </c>
      <c r="E2828" t="str">
        <f>HYPERLINK("https://patents.google.com/patent/CN201325832Y/en")</f>
        <v>https://patents.google.com/patent/CN201325832Y/en</v>
      </c>
    </row>
    <row r="2829" spans="3:5" x14ac:dyDescent="0.25">
      <c r="C2829" t="s">
        <v>4640</v>
      </c>
      <c r="D2829" t="s">
        <v>4641</v>
      </c>
      <c r="E2829" t="str">
        <f>HYPERLINK("https://patents.google.com/patent/US5862553A/en")</f>
        <v>https://patents.google.com/patent/US5862553A/en</v>
      </c>
    </row>
    <row r="2830" spans="3:5" x14ac:dyDescent="0.25">
      <c r="C2830" t="s">
        <v>4642</v>
      </c>
      <c r="D2830" t="s">
        <v>4643</v>
      </c>
      <c r="E2830" t="str">
        <f>HYPERLINK("https://patents.google.com/patent/US6662682B2/en")</f>
        <v>https://patents.google.com/patent/US6662682B2/en</v>
      </c>
    </row>
    <row r="2831" spans="3:5" x14ac:dyDescent="0.25">
      <c r="C2831" t="s">
        <v>4644</v>
      </c>
      <c r="D2831" t="s">
        <v>4645</v>
      </c>
      <c r="E2831" t="str">
        <f>HYPERLINK("https://patents.google.com/patent/US20110071677A1/en")</f>
        <v>https://patents.google.com/patent/US20110071677A1/en</v>
      </c>
    </row>
    <row r="2832" spans="3:5" x14ac:dyDescent="0.25">
      <c r="C2832" t="s">
        <v>4646</v>
      </c>
      <c r="D2832" t="s">
        <v>4647</v>
      </c>
      <c r="E2832" t="str">
        <f>HYPERLINK("https://patents.google.com/patent/US6510715B1/en")</f>
        <v>https://patents.google.com/patent/US6510715B1/en</v>
      </c>
    </row>
    <row r="2833" spans="3:5" x14ac:dyDescent="0.25">
      <c r="C2833" t="s">
        <v>4648</v>
      </c>
      <c r="D2833" t="s">
        <v>4649</v>
      </c>
      <c r="E2833" t="str">
        <f>HYPERLINK("https://patents.google.com/patent/CN103062569A/en")</f>
        <v>https://patents.google.com/patent/CN103062569A/en</v>
      </c>
    </row>
    <row r="2834" spans="3:5" x14ac:dyDescent="0.25">
      <c r="C2834" t="s">
        <v>4650</v>
      </c>
      <c r="D2834" t="s">
        <v>4651</v>
      </c>
      <c r="E2834" t="str">
        <f>HYPERLINK("https://patents.google.com/patent/CN200958000Y/en")</f>
        <v>https://patents.google.com/patent/CN200958000Y/en</v>
      </c>
    </row>
    <row r="2835" spans="3:5" x14ac:dyDescent="0.25">
      <c r="C2835" t="s">
        <v>4652</v>
      </c>
      <c r="D2835" t="s">
        <v>4653</v>
      </c>
      <c r="E2835" t="str">
        <f>HYPERLINK("https://patents.google.com/patent/US5195930A/en")</f>
        <v>https://patents.google.com/patent/US5195930A/en</v>
      </c>
    </row>
    <row r="2836" spans="3:5" x14ac:dyDescent="0.25">
      <c r="C2836" t="s">
        <v>4654</v>
      </c>
      <c r="D2836" t="s">
        <v>4655</v>
      </c>
      <c r="E2836" t="str">
        <f>HYPERLINK("https://patents.google.com/patent/US5927424A/en")</f>
        <v>https://patents.google.com/patent/US5927424A/en</v>
      </c>
    </row>
    <row r="2837" spans="3:5" x14ac:dyDescent="0.25">
      <c r="C2837" t="s">
        <v>4656</v>
      </c>
      <c r="D2837" t="s">
        <v>4657</v>
      </c>
      <c r="E2837" t="str">
        <f>HYPERLINK("https://patents.google.com/patent/CN204956786U/en")</f>
        <v>https://patents.google.com/patent/CN204956786U/en</v>
      </c>
    </row>
    <row r="2838" spans="3:5" x14ac:dyDescent="0.25">
      <c r="C2838" t="s">
        <v>4658</v>
      </c>
      <c r="D2838" t="s">
        <v>4659</v>
      </c>
      <c r="E2838" t="str">
        <f>HYPERLINK("https://patents.google.com/patent/CN1872614A/en")</f>
        <v>https://patents.google.com/patent/CN1872614A/en</v>
      </c>
    </row>
    <row r="2839" spans="3:5" x14ac:dyDescent="0.25">
      <c r="C2839" t="s">
        <v>4660</v>
      </c>
      <c r="D2839" t="s">
        <v>4661</v>
      </c>
      <c r="E2839" t="str">
        <f>HYPERLINK("https://patents.google.com/patent/US6452896B1/en")</f>
        <v>https://patents.google.com/patent/US6452896B1/en</v>
      </c>
    </row>
    <row r="2840" spans="3:5" x14ac:dyDescent="0.25">
      <c r="C2840" t="s">
        <v>4662</v>
      </c>
      <c r="D2840" t="s">
        <v>4663</v>
      </c>
      <c r="E2840" t="str">
        <f>HYPERLINK("https://patents.google.com/patent/CN2345522Y/en")</f>
        <v>https://patents.google.com/patent/CN2345522Y/en</v>
      </c>
    </row>
    <row r="2841" spans="3:5" x14ac:dyDescent="0.25">
      <c r="C2841" t="s">
        <v>4664</v>
      </c>
      <c r="D2841" t="s">
        <v>4665</v>
      </c>
      <c r="E2841" t="str">
        <f>HYPERLINK("https://patents.google.com/patent/CN201009984Y/en")</f>
        <v>https://patents.google.com/patent/CN201009984Y/en</v>
      </c>
    </row>
    <row r="2842" spans="3:5" x14ac:dyDescent="0.25">
      <c r="C2842" t="s">
        <v>4666</v>
      </c>
      <c r="D2842" t="s">
        <v>4667</v>
      </c>
      <c r="E2842" t="str">
        <f>HYPERLINK("https://patents.google.com/patent/CN2883835Y/en")</f>
        <v>https://patents.google.com/patent/CN2883835Y/en</v>
      </c>
    </row>
    <row r="2843" spans="3:5" x14ac:dyDescent="0.25">
      <c r="C2843" t="s">
        <v>4668</v>
      </c>
      <c r="D2843" t="s">
        <v>4669</v>
      </c>
      <c r="E2843" t="str">
        <f>HYPERLINK("https://patents.google.com/patent/US20090107562A1/en")</f>
        <v>https://patents.google.com/patent/US20090107562A1/en</v>
      </c>
    </row>
    <row r="2844" spans="3:5" x14ac:dyDescent="0.25">
      <c r="C2844" t="s">
        <v>4670</v>
      </c>
      <c r="D2844" t="s">
        <v>4671</v>
      </c>
      <c r="E2844" t="str">
        <f>HYPERLINK("https://patents.google.com/patent/US6129797A/en")</f>
        <v>https://patents.google.com/patent/US6129797A/en</v>
      </c>
    </row>
    <row r="2845" spans="3:5" x14ac:dyDescent="0.25">
      <c r="C2845" t="s">
        <v>4672</v>
      </c>
      <c r="D2845" t="s">
        <v>4673</v>
      </c>
      <c r="E2845" t="str">
        <f>HYPERLINK("https://patents.google.com/patent/US5764027A/en")</f>
        <v>https://patents.google.com/patent/US5764027A/en</v>
      </c>
    </row>
    <row r="2846" spans="3:5" x14ac:dyDescent="0.25">
      <c r="C2846" t="s">
        <v>4670</v>
      </c>
      <c r="D2846" t="s">
        <v>4674</v>
      </c>
      <c r="E2846" t="str">
        <f>HYPERLINK("https://patents.google.com/patent/US5766501A/en")</f>
        <v>https://patents.google.com/patent/US5766501A/en</v>
      </c>
    </row>
    <row r="2847" spans="3:5" x14ac:dyDescent="0.25">
      <c r="C2847" t="s">
        <v>4675</v>
      </c>
      <c r="D2847" t="s">
        <v>4676</v>
      </c>
      <c r="E2847" t="str">
        <f>HYPERLINK("https://patents.google.com/patent/US20040245727A1/en")</f>
        <v>https://patents.google.com/patent/US20040245727A1/en</v>
      </c>
    </row>
    <row r="2848" spans="3:5" x14ac:dyDescent="0.25">
      <c r="C2848" t="s">
        <v>4677</v>
      </c>
      <c r="D2848" t="s">
        <v>4678</v>
      </c>
      <c r="E2848" t="str">
        <f>HYPERLINK("https://patents.google.com/patent/US7602145B2/en")</f>
        <v>https://patents.google.com/patent/US7602145B2/en</v>
      </c>
    </row>
    <row r="2849" spans="3:5" x14ac:dyDescent="0.25">
      <c r="C2849" t="s">
        <v>4679</v>
      </c>
      <c r="D2849" t="s">
        <v>4680</v>
      </c>
      <c r="E2849" t="str">
        <f>HYPERLINK("https://patents.google.com/patent/US6360838B1/en")</f>
        <v>https://patents.google.com/patent/US6360838B1/en</v>
      </c>
    </row>
    <row r="2850" spans="3:5" x14ac:dyDescent="0.25">
      <c r="C2850" t="s">
        <v>4681</v>
      </c>
      <c r="D2850" t="s">
        <v>4682</v>
      </c>
      <c r="E2850" t="str">
        <f>HYPERLINK("https://patents.google.com/patent/US4912387A/en")</f>
        <v>https://patents.google.com/patent/US4912387A/en</v>
      </c>
    </row>
    <row r="2851" spans="3:5" x14ac:dyDescent="0.25">
      <c r="C2851" t="s">
        <v>4683</v>
      </c>
      <c r="D2851" t="s">
        <v>4684</v>
      </c>
      <c r="E2851" t="str">
        <f>HYPERLINK("https://patents.google.com/patent/US2783649A/en")</f>
        <v>https://patents.google.com/patent/US2783649A/en</v>
      </c>
    </row>
    <row r="2852" spans="3:5" x14ac:dyDescent="0.25">
      <c r="C2852" t="s">
        <v>4685</v>
      </c>
      <c r="D2852" t="s">
        <v>4686</v>
      </c>
      <c r="E2852" t="str">
        <f>HYPERLINK("https://patents.google.com/patent/US2780101A/en")</f>
        <v>https://patents.google.com/patent/US2780101A/en</v>
      </c>
    </row>
    <row r="2853" spans="3:5" x14ac:dyDescent="0.25">
      <c r="C2853" t="s">
        <v>4687</v>
      </c>
      <c r="D2853" t="s">
        <v>4688</v>
      </c>
      <c r="E2853" t="str">
        <f>HYPERLINK("https://patents.google.com/patent/US20140326525A1/en")</f>
        <v>https://patents.google.com/patent/US20140326525A1/en</v>
      </c>
    </row>
    <row r="2854" spans="3:5" x14ac:dyDescent="0.25">
      <c r="C2854" t="s">
        <v>4689</v>
      </c>
      <c r="D2854" t="s">
        <v>4690</v>
      </c>
      <c r="E2854" t="str">
        <f>HYPERLINK("https://patents.google.com/patent/US3302106A/en")</f>
        <v>https://patents.google.com/patent/US3302106A/en</v>
      </c>
    </row>
    <row r="2855" spans="3:5" x14ac:dyDescent="0.25">
      <c r="C2855" t="s">
        <v>4691</v>
      </c>
      <c r="D2855" t="s">
        <v>4692</v>
      </c>
      <c r="E2855" t="str">
        <f>HYPERLINK("https://patents.google.com/patent/US3336818A/en")</f>
        <v>https://patents.google.com/patent/US3336818A/en</v>
      </c>
    </row>
    <row r="2856" spans="3:5" x14ac:dyDescent="0.25">
      <c r="C2856" t="s">
        <v>4693</v>
      </c>
      <c r="D2856" t="s">
        <v>4694</v>
      </c>
      <c r="E2856" t="str">
        <f>HYPERLINK("https://patents.google.com/patent/US7946281B2/en")</f>
        <v>https://patents.google.com/patent/US7946281B2/en</v>
      </c>
    </row>
    <row r="2857" spans="3:5" x14ac:dyDescent="0.25">
      <c r="C2857" t="s">
        <v>4695</v>
      </c>
      <c r="D2857" t="s">
        <v>4696</v>
      </c>
      <c r="E2857" t="str">
        <f>HYPERLINK("https://patents.google.com/patent/US2423617A/en")</f>
        <v>https://patents.google.com/patent/US2423617A/en</v>
      </c>
    </row>
    <row r="2858" spans="3:5" x14ac:dyDescent="0.25">
      <c r="C2858" t="s">
        <v>4697</v>
      </c>
      <c r="D2858" t="s">
        <v>4698</v>
      </c>
      <c r="E2858" t="str">
        <f>HYPERLINK("https://patents.google.com/patent/US6014911A/en")</f>
        <v>https://patents.google.com/patent/US6014911A/en</v>
      </c>
    </row>
    <row r="2859" spans="3:5" x14ac:dyDescent="0.25">
      <c r="C2859" t="s">
        <v>4699</v>
      </c>
      <c r="D2859" t="s">
        <v>4700</v>
      </c>
      <c r="E2859" t="str">
        <f>HYPERLINK("https://patents.google.com/patent/RU2013157051A/en")</f>
        <v>https://patents.google.com/patent/RU2013157051A/en</v>
      </c>
    </row>
    <row r="2860" spans="3:5" x14ac:dyDescent="0.25">
      <c r="C2860" t="s">
        <v>4701</v>
      </c>
      <c r="D2860" t="s">
        <v>4702</v>
      </c>
      <c r="E2860" t="str">
        <f>HYPERLINK("https://patents.google.com/patent/US20110108636A1/en")</f>
        <v>https://patents.google.com/patent/US20110108636A1/en</v>
      </c>
    </row>
    <row r="2861" spans="3:5" x14ac:dyDescent="0.25">
      <c r="C2861" t="s">
        <v>4703</v>
      </c>
      <c r="D2861" t="s">
        <v>4704</v>
      </c>
      <c r="E2861" t="str">
        <f>HYPERLINK("https://patents.google.com/patent/CN2689286Y/en")</f>
        <v>https://patents.google.com/patent/CN2689286Y/en</v>
      </c>
    </row>
    <row r="2862" spans="3:5" x14ac:dyDescent="0.25">
      <c r="C2862" t="s">
        <v>4705</v>
      </c>
      <c r="D2862" t="s">
        <v>4706</v>
      </c>
      <c r="E2862" t="str">
        <f>HYPERLINK("https://patents.google.com/patent/US5025662A/en")</f>
        <v>https://patents.google.com/patent/US5025662A/en</v>
      </c>
    </row>
    <row r="2863" spans="3:5" x14ac:dyDescent="0.25">
      <c r="C2863" t="s">
        <v>4707</v>
      </c>
      <c r="D2863" t="s">
        <v>4708</v>
      </c>
      <c r="E2863" t="str">
        <f>HYPERLINK("https://patents.google.com/patent/WO2007130024A1/en")</f>
        <v>https://patents.google.com/patent/WO2007130024A1/en</v>
      </c>
    </row>
    <row r="2864" spans="3:5" x14ac:dyDescent="0.25">
      <c r="C2864" t="s">
        <v>4709</v>
      </c>
      <c r="D2864" t="s">
        <v>4710</v>
      </c>
      <c r="E2864" t="str">
        <f>HYPERLINK("https://patents.google.com/patent/US5339612A/en")</f>
        <v>https://patents.google.com/patent/US5339612A/en</v>
      </c>
    </row>
    <row r="2865" spans="3:5" x14ac:dyDescent="0.25">
      <c r="C2865" t="s">
        <v>4711</v>
      </c>
      <c r="D2865" t="s">
        <v>4712</v>
      </c>
      <c r="E2865" t="str">
        <f>HYPERLINK("https://patents.google.com/patent/US4373295A/en")</f>
        <v>https://patents.google.com/patent/US4373295A/en</v>
      </c>
    </row>
    <row r="2866" spans="3:5" x14ac:dyDescent="0.25">
      <c r="C2866" t="s">
        <v>4713</v>
      </c>
      <c r="D2866" t="s">
        <v>4714</v>
      </c>
      <c r="E2866" t="str">
        <f>HYPERLINK("https://patents.google.com/patent/CN101074039A/en")</f>
        <v>https://patents.google.com/patent/CN101074039A/en</v>
      </c>
    </row>
    <row r="2867" spans="3:5" x14ac:dyDescent="0.25">
      <c r="C2867" t="s">
        <v>4715</v>
      </c>
      <c r="D2867" t="s">
        <v>4716</v>
      </c>
      <c r="E2867" t="str">
        <f>HYPERLINK("https://patents.google.com/patent/US20110204592A1/en")</f>
        <v>https://patents.google.com/patent/US20110204592A1/en</v>
      </c>
    </row>
    <row r="2868" spans="3:5" x14ac:dyDescent="0.25">
      <c r="C2868" t="s">
        <v>4717</v>
      </c>
      <c r="D2868" t="s">
        <v>4718</v>
      </c>
      <c r="E2868" t="str">
        <f>HYPERLINK("https://patents.google.com/patent/CN102664401A/en")</f>
        <v>https://patents.google.com/patent/CN102664401A/en</v>
      </c>
    </row>
    <row r="2869" spans="3:5" x14ac:dyDescent="0.25">
      <c r="C2869" t="s">
        <v>4719</v>
      </c>
      <c r="D2869" t="s">
        <v>4720</v>
      </c>
      <c r="E2869" t="str">
        <f>HYPERLINK("https://patents.google.com/patent/US20090115149A1/en")</f>
        <v>https://patents.google.com/patent/US20090115149A1/en</v>
      </c>
    </row>
    <row r="2870" spans="3:5" x14ac:dyDescent="0.25">
      <c r="C2870" t="s">
        <v>4721</v>
      </c>
      <c r="D2870" t="s">
        <v>4722</v>
      </c>
      <c r="E2870" t="str">
        <f>HYPERLINK("https://patents.google.com/patent/US7958961B1/en")</f>
        <v>https://patents.google.com/patent/US7958961B1/en</v>
      </c>
    </row>
    <row r="2871" spans="3:5" x14ac:dyDescent="0.25">
      <c r="C2871" t="s">
        <v>4723</v>
      </c>
      <c r="D2871" t="s">
        <v>4724</v>
      </c>
      <c r="E2871" t="str">
        <f>HYPERLINK("https://patents.google.com/patent/US2438288A/en")</f>
        <v>https://patents.google.com/patent/US2438288A/en</v>
      </c>
    </row>
    <row r="2872" spans="3:5" x14ac:dyDescent="0.25">
      <c r="C2872" t="s">
        <v>4725</v>
      </c>
      <c r="D2872" t="s">
        <v>4726</v>
      </c>
      <c r="E2872" t="str">
        <f>HYPERLINK("https://patents.google.com/patent/US3723003A/en")</f>
        <v>https://patents.google.com/patent/US3723003A/en</v>
      </c>
    </row>
    <row r="2873" spans="3:5" x14ac:dyDescent="0.25">
      <c r="C2873" t="s">
        <v>4727</v>
      </c>
      <c r="D2873" t="s">
        <v>4728</v>
      </c>
      <c r="E2873" t="str">
        <f>HYPERLINK("https://patents.google.com/patent/US6473608B1/en")</f>
        <v>https://patents.google.com/patent/US6473608B1/en</v>
      </c>
    </row>
    <row r="2874" spans="3:5" x14ac:dyDescent="0.25">
      <c r="C2874" t="s">
        <v>4729</v>
      </c>
      <c r="D2874" t="s">
        <v>4730</v>
      </c>
      <c r="E2874" t="str">
        <f>HYPERLINK("https://patents.google.com/patent/US4058430A/en")</f>
        <v>https://patents.google.com/patent/US4058430A/en</v>
      </c>
    </row>
    <row r="2875" spans="3:5" x14ac:dyDescent="0.25">
      <c r="C2875" t="s">
        <v>4731</v>
      </c>
      <c r="D2875" t="s">
        <v>4732</v>
      </c>
      <c r="E2875" t="str">
        <f>HYPERLINK("https://patents.google.com/patent/US4285464A/en")</f>
        <v>https://patents.google.com/patent/US4285464A/en</v>
      </c>
    </row>
    <row r="2876" spans="3:5" x14ac:dyDescent="0.25">
      <c r="C2876" t="s">
        <v>4733</v>
      </c>
      <c r="D2876" t="s">
        <v>4734</v>
      </c>
      <c r="E2876" t="str">
        <f>HYPERLINK("https://patents.google.com/patent/US4303193A/en")</f>
        <v>https://patents.google.com/patent/US4303193A/en</v>
      </c>
    </row>
    <row r="2877" spans="3:5" x14ac:dyDescent="0.25">
      <c r="C2877" t="s">
        <v>4735</v>
      </c>
      <c r="D2877" t="s">
        <v>4736</v>
      </c>
      <c r="E2877" t="str">
        <f>HYPERLINK("https://patents.google.com/patent/US3871176A/en")</f>
        <v>https://patents.google.com/patent/US3871176A/en</v>
      </c>
    </row>
    <row r="2878" spans="3:5" x14ac:dyDescent="0.25">
      <c r="C2878" t="s">
        <v>4737</v>
      </c>
      <c r="D2878" t="s">
        <v>4738</v>
      </c>
      <c r="E2878" t="str">
        <f>HYPERLINK("https://patents.google.com/patent/US6578225B2/en")</f>
        <v>https://patents.google.com/patent/US6578225B2/en</v>
      </c>
    </row>
    <row r="2879" spans="3:5" x14ac:dyDescent="0.25">
      <c r="C2879" t="s">
        <v>4739</v>
      </c>
      <c r="D2879" t="s">
        <v>4740</v>
      </c>
      <c r="E2879" t="str">
        <f>HYPERLINK("https://patents.google.com/patent/US4421503A/en")</f>
        <v>https://patents.google.com/patent/US4421503A/en</v>
      </c>
    </row>
    <row r="2880" spans="3:5" x14ac:dyDescent="0.25">
      <c r="C2880" t="s">
        <v>4741</v>
      </c>
      <c r="D2880" t="s">
        <v>4742</v>
      </c>
      <c r="E2880" t="str">
        <f>HYPERLINK("https://patents.google.com/patent/US3618089A/en")</f>
        <v>https://patents.google.com/patent/US3618089A/en</v>
      </c>
    </row>
    <row r="2881" spans="3:5" x14ac:dyDescent="0.25">
      <c r="C2881" t="s">
        <v>4743</v>
      </c>
      <c r="D2881" t="s">
        <v>4744</v>
      </c>
      <c r="E2881" t="str">
        <f>HYPERLINK("https://patents.google.com/patent/US3369626A/en")</f>
        <v>https://patents.google.com/patent/US3369626A/en</v>
      </c>
    </row>
    <row r="2882" spans="3:5" x14ac:dyDescent="0.25">
      <c r="C2882" t="s">
        <v>4745</v>
      </c>
      <c r="D2882" t="s">
        <v>4746</v>
      </c>
      <c r="E2882" t="str">
        <f>HYPERLINK("https://patents.google.com/patent/US3139305A/en")</f>
        <v>https://patents.google.com/patent/US3139305A/en</v>
      </c>
    </row>
    <row r="2883" spans="3:5" x14ac:dyDescent="0.25">
      <c r="C2883" t="s">
        <v>4747</v>
      </c>
      <c r="D2883" t="s">
        <v>4748</v>
      </c>
      <c r="E2883" t="str">
        <f>HYPERLINK("https://patents.google.com/patent/US3198494A/en")</f>
        <v>https://patents.google.com/patent/US3198494A/en</v>
      </c>
    </row>
    <row r="2884" spans="3:5" x14ac:dyDescent="0.25">
      <c r="C2884" t="s">
        <v>4749</v>
      </c>
      <c r="D2884" t="s">
        <v>4750</v>
      </c>
      <c r="E2884" t="str">
        <f>HYPERLINK("https://patents.google.com/patent/US3453510A/en")</f>
        <v>https://patents.google.com/patent/US3453510A/en</v>
      </c>
    </row>
    <row r="2885" spans="3:5" x14ac:dyDescent="0.25">
      <c r="C2885" t="s">
        <v>4751</v>
      </c>
      <c r="D2885" t="s">
        <v>4752</v>
      </c>
      <c r="E2885" t="str">
        <f>HYPERLINK("https://patents.google.com/patent/US3312141A/en")</f>
        <v>https://patents.google.com/patent/US3312141A/en</v>
      </c>
    </row>
    <row r="2886" spans="3:5" x14ac:dyDescent="0.25">
      <c r="C2886" t="s">
        <v>4753</v>
      </c>
      <c r="D2886" t="s">
        <v>4754</v>
      </c>
      <c r="E2886" t="str">
        <f>HYPERLINK("https://patents.google.com/patent/US3244898A/en")</f>
        <v>https://patents.google.com/patent/US3244898A/en</v>
      </c>
    </row>
    <row r="2887" spans="3:5" x14ac:dyDescent="0.25">
      <c r="C2887" t="s">
        <v>4755</v>
      </c>
      <c r="D2887" t="s">
        <v>4756</v>
      </c>
      <c r="E2887" t="str">
        <f>HYPERLINK("https://patents.google.com/patent/US2907304A/en")</f>
        <v>https://patents.google.com/patent/US2907304A/en</v>
      </c>
    </row>
    <row r="2888" spans="3:5" x14ac:dyDescent="0.25">
      <c r="C2888" t="s">
        <v>4757</v>
      </c>
      <c r="D2888" t="s">
        <v>4758</v>
      </c>
      <c r="E2888" t="str">
        <f>HYPERLINK("https://patents.google.com/patent/US3188884A/en")</f>
        <v>https://patents.google.com/patent/US3188884A/en</v>
      </c>
    </row>
    <row r="2889" spans="3:5" x14ac:dyDescent="0.25">
      <c r="C2889" t="s">
        <v>4759</v>
      </c>
      <c r="D2889" t="s">
        <v>4760</v>
      </c>
      <c r="E2889" t="str">
        <f>HYPERLINK("https://patents.google.com/patent/US4854730A/en")</f>
        <v>https://patents.google.com/patent/US4854730A/en</v>
      </c>
    </row>
    <row r="2890" spans="3:5" x14ac:dyDescent="0.25">
      <c r="C2890" t="s">
        <v>4761</v>
      </c>
      <c r="D2890" t="s">
        <v>4762</v>
      </c>
      <c r="E2890" t="str">
        <f>HYPERLINK("https://patents.google.com/patent/US6850403B1/en")</f>
        <v>https://patents.google.com/patent/US6850403B1/en</v>
      </c>
    </row>
    <row r="2891" spans="3:5" x14ac:dyDescent="0.25">
      <c r="C2891" t="s">
        <v>4763</v>
      </c>
      <c r="D2891" t="s">
        <v>4764</v>
      </c>
      <c r="E2891" t="str">
        <f>HYPERLINK("https://patents.google.com/patent/US6465986B1/en")</f>
        <v>https://patents.google.com/patent/US6465986B1/en</v>
      </c>
    </row>
    <row r="2892" spans="3:5" x14ac:dyDescent="0.25">
      <c r="C2892" t="s">
        <v>4765</v>
      </c>
      <c r="D2892" t="s">
        <v>4766</v>
      </c>
      <c r="E2892" t="str">
        <f>HYPERLINK("https://patents.google.com/patent/US5979246A/en")</f>
        <v>https://patents.google.com/patent/US5979246A/en</v>
      </c>
    </row>
    <row r="2893" spans="3:5" x14ac:dyDescent="0.25">
      <c r="C2893" t="s">
        <v>4767</v>
      </c>
      <c r="D2893" t="s">
        <v>4768</v>
      </c>
      <c r="E2893" t="str">
        <f>HYPERLINK("https://patents.google.com/patent/US6626824B2/en")</f>
        <v>https://patents.google.com/patent/US6626824B2/en</v>
      </c>
    </row>
    <row r="2894" spans="3:5" x14ac:dyDescent="0.25">
      <c r="C2894" t="s">
        <v>4769</v>
      </c>
      <c r="D2894" t="s">
        <v>4770</v>
      </c>
      <c r="E2894" t="str">
        <f>HYPERLINK("https://patents.google.com/patent/US20080295595A1/en")</f>
        <v>https://patents.google.com/patent/US20080295595A1/en</v>
      </c>
    </row>
    <row r="2895" spans="3:5" x14ac:dyDescent="0.25">
      <c r="C2895" t="s">
        <v>4771</v>
      </c>
      <c r="D2895" t="s">
        <v>4772</v>
      </c>
      <c r="E2895" t="str">
        <f>HYPERLINK("https://patents.google.com/patent/US2630007A/en")</f>
        <v>https://patents.google.com/patent/US2630007A/en</v>
      </c>
    </row>
    <row r="2896" spans="3:5" x14ac:dyDescent="0.25">
      <c r="C2896" t="s">
        <v>4773</v>
      </c>
      <c r="D2896" t="s">
        <v>4774</v>
      </c>
      <c r="E2896" t="str">
        <f>HYPERLINK("https://patents.google.com/patent/US5930105A/en")</f>
        <v>https://patents.google.com/patent/US5930105A/en</v>
      </c>
    </row>
    <row r="2897" spans="3:5" x14ac:dyDescent="0.25">
      <c r="C2897" t="s">
        <v>4775</v>
      </c>
      <c r="D2897" t="s">
        <v>4776</v>
      </c>
      <c r="E2897" t="str">
        <f>HYPERLINK("https://patents.google.com/patent/US5710678A/en")</f>
        <v>https://patents.google.com/patent/US5710678A/en</v>
      </c>
    </row>
    <row r="2898" spans="3:5" x14ac:dyDescent="0.25">
      <c r="C2898" t="s">
        <v>4777</v>
      </c>
      <c r="D2898" t="s">
        <v>4778</v>
      </c>
      <c r="E2898" t="str">
        <f>HYPERLINK("https://patents.google.com/patent/US6605223B2/en")</f>
        <v>https://patents.google.com/patent/US6605223B2/en</v>
      </c>
    </row>
    <row r="2899" spans="3:5" x14ac:dyDescent="0.25">
      <c r="C2899" t="s">
        <v>4779</v>
      </c>
      <c r="D2899" t="s">
        <v>4780</v>
      </c>
      <c r="E2899" t="str">
        <f>HYPERLINK("https://patents.google.com/patent/US6588150B1/en")</f>
        <v>https://patents.google.com/patent/US6588150B1/en</v>
      </c>
    </row>
    <row r="2900" spans="3:5" x14ac:dyDescent="0.25">
      <c r="C2900" t="s">
        <v>4781</v>
      </c>
      <c r="D2900" t="s">
        <v>4782</v>
      </c>
      <c r="E2900" t="str">
        <f>HYPERLINK("https://patents.google.com/patent/US2709421A/en")</f>
        <v>https://patents.google.com/patent/US2709421A/en</v>
      </c>
    </row>
    <row r="2901" spans="3:5" x14ac:dyDescent="0.25">
      <c r="C2901" t="s">
        <v>4783</v>
      </c>
      <c r="D2901" t="s">
        <v>4784</v>
      </c>
      <c r="E2901" t="str">
        <f>HYPERLINK("https://patents.google.com/patent/US4402680A/en")</f>
        <v>https://patents.google.com/patent/US4402680A/en</v>
      </c>
    </row>
    <row r="2902" spans="3:5" x14ac:dyDescent="0.25">
      <c r="C2902" t="s">
        <v>4785</v>
      </c>
      <c r="D2902" t="s">
        <v>4786</v>
      </c>
      <c r="E2902" t="str">
        <f>HYPERLINK("https://patents.google.com/patent/US5513832A/en")</f>
        <v>https://patents.google.com/patent/US5513832A/en</v>
      </c>
    </row>
    <row r="2903" spans="3:5" x14ac:dyDescent="0.25">
      <c r="C2903" t="s">
        <v>4787</v>
      </c>
      <c r="D2903" t="s">
        <v>4788</v>
      </c>
      <c r="E2903" t="str">
        <f>HYPERLINK("https://patents.google.com/patent/US3669751A/en")</f>
        <v>https://patents.google.com/patent/US3669751A/en</v>
      </c>
    </row>
    <row r="2904" spans="3:5" x14ac:dyDescent="0.25">
      <c r="C2904" t="s">
        <v>4789</v>
      </c>
      <c r="D2904" t="s">
        <v>4790</v>
      </c>
      <c r="E2904" t="str">
        <f>HYPERLINK("https://patents.google.com/patent/US5513673A/en")</f>
        <v>https://patents.google.com/patent/US5513673A/en</v>
      </c>
    </row>
    <row r="2905" spans="3:5" x14ac:dyDescent="0.25">
      <c r="C2905" t="s">
        <v>4791</v>
      </c>
      <c r="D2905" t="s">
        <v>4792</v>
      </c>
      <c r="E2905" t="str">
        <f>HYPERLINK("https://patents.google.com/patent/US5529274A/en")</f>
        <v>https://patents.google.com/patent/US5529274A/en</v>
      </c>
    </row>
    <row r="2906" spans="3:5" x14ac:dyDescent="0.25">
      <c r="C2906" t="s">
        <v>4793</v>
      </c>
      <c r="D2906" t="s">
        <v>4794</v>
      </c>
      <c r="E2906" t="str">
        <f>HYPERLINK("https://patents.google.com/patent/US2285540A/en")</f>
        <v>https://patents.google.com/patent/US2285540A/en</v>
      </c>
    </row>
    <row r="2907" spans="3:5" x14ac:dyDescent="0.25">
      <c r="C2907" t="s">
        <v>4795</v>
      </c>
      <c r="D2907" t="s">
        <v>4796</v>
      </c>
      <c r="E2907" t="str">
        <f>HYPERLINK("https://patents.google.com/patent/US4441151A/en")</f>
        <v>https://patents.google.com/patent/US4441151A/en</v>
      </c>
    </row>
    <row r="2908" spans="3:5" x14ac:dyDescent="0.25">
      <c r="C2908" t="s">
        <v>4797</v>
      </c>
      <c r="D2908" t="s">
        <v>4798</v>
      </c>
      <c r="E2908" t="str">
        <f>HYPERLINK("https://patents.google.com/patent/US2594449A/en")</f>
        <v>https://patents.google.com/patent/US2594449A/en</v>
      </c>
    </row>
    <row r="2909" spans="3:5" x14ac:dyDescent="0.25">
      <c r="C2909" t="s">
        <v>4799</v>
      </c>
      <c r="D2909" t="s">
        <v>4800</v>
      </c>
      <c r="E2909" t="str">
        <f>HYPERLINK("https://patents.google.com/patent/US5591016A/en")</f>
        <v>https://patents.google.com/patent/US5591016A/en</v>
      </c>
    </row>
    <row r="2910" spans="3:5" x14ac:dyDescent="0.25">
      <c r="C2910" t="s">
        <v>4801</v>
      </c>
      <c r="D2910" t="s">
        <v>4802</v>
      </c>
      <c r="E2910" t="str">
        <f>HYPERLINK("https://patents.google.com/patent/US2300742A/en")</f>
        <v>https://patents.google.com/patent/US2300742A/en</v>
      </c>
    </row>
    <row r="2911" spans="3:5" x14ac:dyDescent="0.25">
      <c r="C2911" t="s">
        <v>4803</v>
      </c>
      <c r="D2911" t="s">
        <v>4804</v>
      </c>
      <c r="E2911" t="str">
        <f>HYPERLINK("https://patents.google.com/patent/US3293459A/en")</f>
        <v>https://patents.google.com/patent/US3293459A/en</v>
      </c>
    </row>
    <row r="2912" spans="3:5" x14ac:dyDescent="0.25">
      <c r="C2912" t="s">
        <v>4805</v>
      </c>
      <c r="D2912" t="s">
        <v>4806</v>
      </c>
      <c r="E2912" t="str">
        <f>HYPERLINK("https://patents.google.com/patent/US2947166A/en")</f>
        <v>https://patents.google.com/patent/US2947166A/en</v>
      </c>
    </row>
    <row r="2913" spans="3:5" x14ac:dyDescent="0.25">
      <c r="C2913" t="s">
        <v>4807</v>
      </c>
      <c r="D2913" t="s">
        <v>4808</v>
      </c>
      <c r="E2913" t="str">
        <f>HYPERLINK("https://patents.google.com/patent/US4319483A/en")</f>
        <v>https://patents.google.com/patent/US4319483A/en</v>
      </c>
    </row>
    <row r="2914" spans="3:5" x14ac:dyDescent="0.25">
      <c r="C2914" t="s">
        <v>4809</v>
      </c>
      <c r="D2914" t="s">
        <v>4810</v>
      </c>
      <c r="E2914" t="str">
        <f>HYPERLINK("https://patents.google.com/patent/US9403573B1/en")</f>
        <v>https://patents.google.com/patent/US9403573B1/en</v>
      </c>
    </row>
    <row r="2915" spans="3:5" x14ac:dyDescent="0.25">
      <c r="C2915" t="s">
        <v>4811</v>
      </c>
      <c r="D2915" t="s">
        <v>4812</v>
      </c>
      <c r="E2915" t="str">
        <f>HYPERLINK("https://patents.google.com/patent/US4884899A/en")</f>
        <v>https://patents.google.com/patent/US4884899A/en</v>
      </c>
    </row>
    <row r="2916" spans="3:5" x14ac:dyDescent="0.25">
      <c r="C2916" t="s">
        <v>4811</v>
      </c>
      <c r="D2916" t="s">
        <v>4813</v>
      </c>
      <c r="E2916" t="str">
        <f>HYPERLINK("https://patents.google.com/patent/US4828403A/en")</f>
        <v>https://patents.google.com/patent/US4828403A/en</v>
      </c>
    </row>
    <row r="2917" spans="3:5" x14ac:dyDescent="0.25">
      <c r="C2917" t="s">
        <v>4814</v>
      </c>
      <c r="D2917" t="s">
        <v>4815</v>
      </c>
      <c r="E2917" t="str">
        <f>HYPERLINK("https://patents.google.com/patent/US4396020A/en")</f>
        <v>https://patents.google.com/patent/US4396020A/en</v>
      </c>
    </row>
    <row r="2918" spans="3:5" x14ac:dyDescent="0.25">
      <c r="C2918" t="s">
        <v>4816</v>
      </c>
      <c r="D2918" t="s">
        <v>4817</v>
      </c>
      <c r="E2918" t="str">
        <f>HYPERLINK("https://patents.google.com/patent/US20080043020A1/en")</f>
        <v>https://patents.google.com/patent/US20080043020A1/en</v>
      </c>
    </row>
    <row r="2919" spans="3:5" x14ac:dyDescent="0.25">
      <c r="C2919" t="s">
        <v>4818</v>
      </c>
      <c r="D2919" t="s">
        <v>4819</v>
      </c>
      <c r="E2919" t="str">
        <f>HYPERLINK("https://patents.google.com/patent/US2829892A/en")</f>
        <v>https://patents.google.com/patent/US2829892A/en</v>
      </c>
    </row>
    <row r="2920" spans="3:5" x14ac:dyDescent="0.25">
      <c r="C2920" t="s">
        <v>4820</v>
      </c>
      <c r="D2920" t="s">
        <v>4821</v>
      </c>
      <c r="E2920" t="str">
        <f>HYPERLINK("https://patents.google.com/patent/US3543947A/en")</f>
        <v>https://patents.google.com/patent/US3543947A/en</v>
      </c>
    </row>
    <row r="2921" spans="3:5" x14ac:dyDescent="0.25">
      <c r="C2921" t="s">
        <v>4822</v>
      </c>
      <c r="D2921" t="s">
        <v>4823</v>
      </c>
      <c r="E2921" t="str">
        <f>HYPERLINK("https://patents.google.com/patent/US3218863A/en")</f>
        <v>https://patents.google.com/patent/US3218863A/en</v>
      </c>
    </row>
    <row r="2922" spans="3:5" x14ac:dyDescent="0.25">
      <c r="C2922" t="s">
        <v>4824</v>
      </c>
      <c r="D2922" t="s">
        <v>4825</v>
      </c>
      <c r="E2922" t="str">
        <f>HYPERLINK("https://patents.google.com/patent/US3462692A/en")</f>
        <v>https://patents.google.com/patent/US3462692A/en</v>
      </c>
    </row>
    <row r="2923" spans="3:5" x14ac:dyDescent="0.25">
      <c r="C2923" t="s">
        <v>4826</v>
      </c>
      <c r="D2923" t="s">
        <v>4827</v>
      </c>
      <c r="E2923" t="str">
        <f>HYPERLINK("https://patents.google.com/patent/US20110010013A1/en")</f>
        <v>https://patents.google.com/patent/US20110010013A1/en</v>
      </c>
    </row>
    <row r="2924" spans="3:5" x14ac:dyDescent="0.25">
      <c r="C2924" t="s">
        <v>4828</v>
      </c>
      <c r="D2924" t="s">
        <v>4829</v>
      </c>
      <c r="E2924" t="str">
        <f>HYPERLINK("https://patents.google.com/patent/US2968180A/en")</f>
        <v>https://patents.google.com/patent/US2968180A/en</v>
      </c>
    </row>
    <row r="2925" spans="3:5" x14ac:dyDescent="0.25">
      <c r="C2925" t="s">
        <v>4830</v>
      </c>
      <c r="D2925" t="s">
        <v>4831</v>
      </c>
      <c r="E2925" t="str">
        <f>HYPERLINK("https://patents.google.com/patent/US20110313568A1/en")</f>
        <v>https://patents.google.com/patent/US20110313568A1/en</v>
      </c>
    </row>
    <row r="2926" spans="3:5" x14ac:dyDescent="0.25">
      <c r="C2926" t="s">
        <v>4832</v>
      </c>
      <c r="D2926" t="s">
        <v>4833</v>
      </c>
      <c r="E2926" t="str">
        <f>HYPERLINK("https://patents.google.com/patent/US20120215355A1/en")</f>
        <v>https://patents.google.com/patent/US20120215355A1/en</v>
      </c>
    </row>
    <row r="2927" spans="3:5" x14ac:dyDescent="0.25">
      <c r="C2927" t="s">
        <v>4834</v>
      </c>
      <c r="D2927" t="s">
        <v>4835</v>
      </c>
      <c r="E2927" t="str">
        <f>HYPERLINK("https://patents.google.com/patent/US20160325803A1/en")</f>
        <v>https://patents.google.com/patent/US20160325803A1/en</v>
      </c>
    </row>
    <row r="2928" spans="3:5" x14ac:dyDescent="0.25">
      <c r="C2928" t="s">
        <v>4836</v>
      </c>
      <c r="D2928" t="s">
        <v>4837</v>
      </c>
      <c r="E2928" t="str">
        <f>HYPERLINK("https://patents.google.com/patent/US20080164006A1/en")</f>
        <v>https://patents.google.com/patent/US20080164006A1/en</v>
      </c>
    </row>
    <row r="2929" spans="3:5" x14ac:dyDescent="0.25">
      <c r="C2929" t="s">
        <v>4838</v>
      </c>
      <c r="D2929" t="s">
        <v>4839</v>
      </c>
      <c r="E2929" t="str">
        <f>HYPERLINK("https://patents.google.com/patent/US3595079A/en")</f>
        <v>https://patents.google.com/patent/US3595079A/en</v>
      </c>
    </row>
    <row r="2930" spans="3:5" x14ac:dyDescent="0.25">
      <c r="C2930" t="s">
        <v>4840</v>
      </c>
      <c r="D2930" t="s">
        <v>4841</v>
      </c>
      <c r="E2930" t="str">
        <f>HYPERLINK("https://patents.google.com/patent/US5818131A/en")</f>
        <v>https://patents.google.com/patent/US5818131A/en</v>
      </c>
    </row>
    <row r="2931" spans="3:5" x14ac:dyDescent="0.25">
      <c r="C2931" t="s">
        <v>4842</v>
      </c>
      <c r="D2931" t="s">
        <v>4843</v>
      </c>
      <c r="E2931" t="str">
        <f>HYPERLINK("https://patents.google.com/patent/US3379882A/en")</f>
        <v>https://patents.google.com/patent/US3379882A/en</v>
      </c>
    </row>
    <row r="2932" spans="3:5" x14ac:dyDescent="0.25">
      <c r="C2932" t="s">
        <v>4844</v>
      </c>
      <c r="D2932" t="s">
        <v>4845</v>
      </c>
      <c r="E2932" t="str">
        <f>HYPERLINK("https://patents.google.com/patent/US20060205581A1/en")</f>
        <v>https://patents.google.com/patent/US20060205581A1/en</v>
      </c>
    </row>
    <row r="2933" spans="3:5" x14ac:dyDescent="0.25">
      <c r="C2933" t="s">
        <v>4846</v>
      </c>
      <c r="D2933" t="s">
        <v>4847</v>
      </c>
      <c r="E2933" t="str">
        <f>HYPERLINK("https://patents.google.com/patent/US5383765A/en")</f>
        <v>https://patents.google.com/patent/US5383765A/en</v>
      </c>
    </row>
    <row r="2934" spans="3:5" x14ac:dyDescent="0.25">
      <c r="C2934" t="s">
        <v>4848</v>
      </c>
      <c r="D2934" t="s">
        <v>4849</v>
      </c>
      <c r="E2934" t="str">
        <f>HYPERLINK("https://patents.google.com/patent/US4947893A/en")</f>
        <v>https://patents.google.com/patent/US4947893A/en</v>
      </c>
    </row>
    <row r="2935" spans="3:5" x14ac:dyDescent="0.25">
      <c r="C2935" t="s">
        <v>4850</v>
      </c>
      <c r="D2935" t="s">
        <v>4851</v>
      </c>
      <c r="E2935" t="str">
        <f>HYPERLINK("https://patents.google.com/patent/CN101236513A/en")</f>
        <v>https://patents.google.com/patent/CN101236513A/en</v>
      </c>
    </row>
    <row r="2936" spans="3:5" x14ac:dyDescent="0.25">
      <c r="C2936" t="s">
        <v>4852</v>
      </c>
      <c r="D2936" t="s">
        <v>4853</v>
      </c>
      <c r="E2936" t="str">
        <f>HYPERLINK("https://patents.google.com/patent/US3470741A/en")</f>
        <v>https://patents.google.com/patent/US3470741A/en</v>
      </c>
    </row>
    <row r="2937" spans="3:5" x14ac:dyDescent="0.25">
      <c r="C2937" t="s">
        <v>4854</v>
      </c>
      <c r="D2937" t="s">
        <v>4855</v>
      </c>
      <c r="E2937" t="str">
        <f>HYPERLINK("https://patents.google.com/patent/US2772567A/en")</f>
        <v>https://patents.google.com/patent/US2772567A/en</v>
      </c>
    </row>
    <row r="2938" spans="3:5" x14ac:dyDescent="0.25">
      <c r="C2938" t="s">
        <v>4856</v>
      </c>
      <c r="D2938" t="s">
        <v>4857</v>
      </c>
      <c r="E2938" t="str">
        <f>HYPERLINK("https://patents.google.com/patent/US4615230A/en")</f>
        <v>https://patents.google.com/patent/US4615230A/en</v>
      </c>
    </row>
    <row r="2939" spans="3:5" x14ac:dyDescent="0.25">
      <c r="C2939" t="s">
        <v>4858</v>
      </c>
      <c r="D2939" t="s">
        <v>4859</v>
      </c>
      <c r="E2939" t="str">
        <f>HYPERLINK("https://patents.google.com/patent/US6982038B2/en")</f>
        <v>https://patents.google.com/patent/US6982038B2/en</v>
      </c>
    </row>
    <row r="2940" spans="3:5" x14ac:dyDescent="0.25">
      <c r="C2940" t="s">
        <v>4777</v>
      </c>
      <c r="D2940" t="s">
        <v>4860</v>
      </c>
      <c r="E2940" t="str">
        <f>HYPERLINK("https://patents.google.com/patent/US20020020680A1/en")</f>
        <v>https://patents.google.com/patent/US20020020680A1/en</v>
      </c>
    </row>
    <row r="2941" spans="3:5" x14ac:dyDescent="0.25">
      <c r="C2941" t="s">
        <v>4861</v>
      </c>
      <c r="D2941" t="s">
        <v>4862</v>
      </c>
      <c r="E2941" t="str">
        <f>HYPERLINK("https://patents.google.com/patent/US2775754A/en")</f>
        <v>https://patents.google.com/patent/US2775754A/en</v>
      </c>
    </row>
    <row r="2942" spans="3:5" x14ac:dyDescent="0.25">
      <c r="C2942" t="s">
        <v>4863</v>
      </c>
      <c r="D2942" t="s">
        <v>4864</v>
      </c>
      <c r="E2942" t="str">
        <f>HYPERLINK("https://patents.google.com/patent/US2869661A/en")</f>
        <v>https://patents.google.com/patent/US2869661A/en</v>
      </c>
    </row>
    <row r="2943" spans="3:5" x14ac:dyDescent="0.25">
      <c r="C2943" t="s">
        <v>4865</v>
      </c>
      <c r="D2943" t="s">
        <v>4866</v>
      </c>
      <c r="E2943" t="str">
        <f>HYPERLINK("https://patents.google.com/patent/US2448528A/en")</f>
        <v>https://patents.google.com/patent/US2448528A/en</v>
      </c>
    </row>
    <row r="2944" spans="3:5" x14ac:dyDescent="0.25">
      <c r="C2944" t="s">
        <v>4867</v>
      </c>
      <c r="D2944" t="s">
        <v>4868</v>
      </c>
      <c r="E2944" t="str">
        <f>HYPERLINK("https://patents.google.com/patent/US2966056A/en")</f>
        <v>https://patents.google.com/patent/US2966056A/en</v>
      </c>
    </row>
    <row r="2945" spans="3:5" x14ac:dyDescent="0.25">
      <c r="C2945" t="s">
        <v>4869</v>
      </c>
      <c r="D2945" t="s">
        <v>4870</v>
      </c>
      <c r="E2945" t="str">
        <f>HYPERLINK("https://patents.google.com/patent/CN203158157U/en")</f>
        <v>https://patents.google.com/patent/CN203158157U/en</v>
      </c>
    </row>
    <row r="2946" spans="3:5" x14ac:dyDescent="0.25">
      <c r="C2946" t="s">
        <v>4871</v>
      </c>
      <c r="D2946" t="s">
        <v>4872</v>
      </c>
      <c r="E2946" t="str">
        <f>HYPERLINK("https://patents.google.com/patent/US20050236908A1/en")</f>
        <v>https://patents.google.com/patent/US20050236908A1/en</v>
      </c>
    </row>
    <row r="2947" spans="3:5" x14ac:dyDescent="0.25">
      <c r="C2947" t="s">
        <v>4873</v>
      </c>
      <c r="D2947" t="s">
        <v>4874</v>
      </c>
      <c r="E2947" t="str">
        <f>HYPERLINK("https://patents.google.com/patent/US2520045A/en")</f>
        <v>https://patents.google.com/patent/US2520045A/en</v>
      </c>
    </row>
    <row r="2948" spans="3:5" x14ac:dyDescent="0.25">
      <c r="C2948" t="s">
        <v>4875</v>
      </c>
      <c r="D2948" t="s">
        <v>4876</v>
      </c>
      <c r="E2948" t="str">
        <f>HYPERLINK("https://patents.google.com/patent/US20090139781A1/en")</f>
        <v>https://patents.google.com/patent/US20090139781A1/en</v>
      </c>
    </row>
    <row r="2949" spans="3:5" x14ac:dyDescent="0.25">
      <c r="C2949" t="s">
        <v>4877</v>
      </c>
      <c r="D2949" t="s">
        <v>4878</v>
      </c>
      <c r="E2949" t="str">
        <f>HYPERLINK("https://patents.google.com/patent/US6977791B2/en")</f>
        <v>https://patents.google.com/patent/US6977791B2/en</v>
      </c>
    </row>
    <row r="2950" spans="3:5" x14ac:dyDescent="0.25">
      <c r="C2950" t="s">
        <v>4879</v>
      </c>
      <c r="D2950" t="s">
        <v>4880</v>
      </c>
      <c r="E2950" t="str">
        <f>HYPERLINK("https://patents.google.com/patent/US5663870A/en")</f>
        <v>https://patents.google.com/patent/US5663870A/en</v>
      </c>
    </row>
    <row r="2951" spans="3:5" x14ac:dyDescent="0.25">
      <c r="C2951" t="s">
        <v>4881</v>
      </c>
      <c r="D2951" t="s">
        <v>4882</v>
      </c>
      <c r="E2951" t="str">
        <f>HYPERLINK("https://patents.google.com/patent/US6195998B1/en")</f>
        <v>https://patents.google.com/patent/US6195998B1/en</v>
      </c>
    </row>
    <row r="2952" spans="3:5" x14ac:dyDescent="0.25">
      <c r="C2952" t="s">
        <v>4883</v>
      </c>
      <c r="D2952" t="s">
        <v>4884</v>
      </c>
      <c r="E2952" t="str">
        <f>HYPERLINK("https://patents.google.com/patent/CN203268242U/en")</f>
        <v>https://patents.google.com/patent/CN203268242U/en</v>
      </c>
    </row>
    <row r="2953" spans="3:5" x14ac:dyDescent="0.25">
      <c r="C2953" t="s">
        <v>4885</v>
      </c>
      <c r="D2953" t="s">
        <v>4886</v>
      </c>
      <c r="E2953" t="str">
        <f>HYPERLINK("https://patents.google.com/patent/US3834613A/en")</f>
        <v>https://patents.google.com/patent/US3834613A/en</v>
      </c>
    </row>
    <row r="2954" spans="3:5" x14ac:dyDescent="0.25">
      <c r="C2954" t="s">
        <v>4887</v>
      </c>
      <c r="D2954" t="s">
        <v>4888</v>
      </c>
      <c r="E2954" t="str">
        <f>HYPERLINK("https://patents.google.com/patent/US20090259107A1/en")</f>
        <v>https://patents.google.com/patent/US20090259107A1/en</v>
      </c>
    </row>
    <row r="2955" spans="3:5" x14ac:dyDescent="0.25">
      <c r="C2955" t="s">
        <v>4889</v>
      </c>
      <c r="D2955" t="s">
        <v>4890</v>
      </c>
      <c r="E2955" t="str">
        <f>HYPERLINK("https://patents.google.com/patent/US6267450B1/en")</f>
        <v>https://patents.google.com/patent/US6267450B1/en</v>
      </c>
    </row>
    <row r="2956" spans="3:5" x14ac:dyDescent="0.25">
      <c r="C2956" t="s">
        <v>4891</v>
      </c>
      <c r="D2956" t="s">
        <v>4892</v>
      </c>
      <c r="E2956" t="str">
        <f>HYPERLINK("https://patents.google.com/patent/US20110027084A1/en")</f>
        <v>https://patents.google.com/patent/US20110027084A1/en</v>
      </c>
    </row>
    <row r="2957" spans="3:5" x14ac:dyDescent="0.25">
      <c r="C2957" t="s">
        <v>4727</v>
      </c>
      <c r="D2957" t="s">
        <v>4893</v>
      </c>
      <c r="E2957" t="str">
        <f>HYPERLINK("https://patents.google.com/patent/US20040037300A1/en")</f>
        <v>https://patents.google.com/patent/US20040037300A1/en</v>
      </c>
    </row>
    <row r="2958" spans="3:5" x14ac:dyDescent="0.25">
      <c r="C2958" t="s">
        <v>4894</v>
      </c>
      <c r="D2958" t="s">
        <v>4895</v>
      </c>
      <c r="E2958" t="str">
        <f>HYPERLINK("https://patents.google.com/patent/US3635084A/en")</f>
        <v>https://patents.google.com/patent/US3635084A/en</v>
      </c>
    </row>
    <row r="2959" spans="3:5" x14ac:dyDescent="0.25">
      <c r="C2959" t="s">
        <v>4896</v>
      </c>
      <c r="D2959" t="s">
        <v>4897</v>
      </c>
      <c r="E2959" t="str">
        <f>HYPERLINK("https://patents.google.com/patent/US4257065A/en")</f>
        <v>https://patents.google.com/patent/US4257065A/en</v>
      </c>
    </row>
    <row r="2960" spans="3:5" x14ac:dyDescent="0.25">
      <c r="C2960" t="s">
        <v>4898</v>
      </c>
      <c r="D2960" t="s">
        <v>4899</v>
      </c>
      <c r="E2960" t="str">
        <f>HYPERLINK("https://patents.google.com/patent/US20070153459A1/en")</f>
        <v>https://patents.google.com/patent/US20070153459A1/en</v>
      </c>
    </row>
    <row r="2961" spans="3:5" x14ac:dyDescent="0.25">
      <c r="C2961" t="s">
        <v>4900</v>
      </c>
      <c r="D2961" t="s">
        <v>4901</v>
      </c>
      <c r="E2961" t="str">
        <f>HYPERLINK("https://patents.google.com/patent/US20040123633A1/en")</f>
        <v>https://patents.google.com/patent/US20040123633A1/en</v>
      </c>
    </row>
    <row r="2962" spans="3:5" x14ac:dyDescent="0.25">
      <c r="C2962" t="s">
        <v>4902</v>
      </c>
      <c r="D2962" t="s">
        <v>4903</v>
      </c>
      <c r="E2962" t="str">
        <f>HYPERLINK("https://patents.google.com/patent/US1864253A/en")</f>
        <v>https://patents.google.com/patent/US1864253A/en</v>
      </c>
    </row>
    <row r="2963" spans="3:5" x14ac:dyDescent="0.25">
      <c r="C2963" t="s">
        <v>4904</v>
      </c>
      <c r="D2963" t="s">
        <v>4905</v>
      </c>
      <c r="E2963" t="str">
        <f>HYPERLINK("https://patents.google.com/patent/US5108148A/en")</f>
        <v>https://patents.google.com/patent/US5108148A/en</v>
      </c>
    </row>
    <row r="2964" spans="3:5" x14ac:dyDescent="0.25">
      <c r="C2964" t="s">
        <v>4906</v>
      </c>
      <c r="D2964" t="s">
        <v>4907</v>
      </c>
      <c r="E2964" t="str">
        <f>HYPERLINK("https://patents.google.com/patent/US3055389A/en")</f>
        <v>https://patents.google.com/patent/US3055389A/en</v>
      </c>
    </row>
    <row r="2965" spans="3:5" x14ac:dyDescent="0.25">
      <c r="C2965" t="s">
        <v>4908</v>
      </c>
      <c r="D2965" t="s">
        <v>4909</v>
      </c>
      <c r="E2965" t="str">
        <f>HYPERLINK("https://patents.google.com/patent/US5002105A/en")</f>
        <v>https://patents.google.com/patent/US5002105A/en</v>
      </c>
    </row>
    <row r="2966" spans="3:5" x14ac:dyDescent="0.25">
      <c r="C2966" t="s">
        <v>4910</v>
      </c>
      <c r="D2966" t="s">
        <v>4911</v>
      </c>
      <c r="E2966" t="str">
        <f>HYPERLINK("https://patents.google.com/patent/US5461498A/en")</f>
        <v>https://patents.google.com/patent/US5461498A/en</v>
      </c>
    </row>
    <row r="2967" spans="3:5" x14ac:dyDescent="0.25">
      <c r="C2967" t="s">
        <v>4912</v>
      </c>
      <c r="D2967" t="s">
        <v>4913</v>
      </c>
      <c r="E2967" t="str">
        <f>HYPERLINK("https://patents.google.com/patent/US2376599A/en")</f>
        <v>https://patents.google.com/patent/US2376599A/en</v>
      </c>
    </row>
    <row r="2968" spans="3:5" x14ac:dyDescent="0.25">
      <c r="C2968" t="s">
        <v>4914</v>
      </c>
      <c r="D2968" t="s">
        <v>4915</v>
      </c>
      <c r="E2968" t="str">
        <f>HYPERLINK("https://patents.google.com/patent/US3555532A/en")</f>
        <v>https://patents.google.com/patent/US3555532A/en</v>
      </c>
    </row>
    <row r="2969" spans="3:5" x14ac:dyDescent="0.25">
      <c r="C2969" t="s">
        <v>4916</v>
      </c>
      <c r="D2969" t="s">
        <v>4917</v>
      </c>
      <c r="E2969" t="str">
        <f>HYPERLINK("https://patents.google.com/patent/CN2175420Y/en")</f>
        <v>https://patents.google.com/patent/CN2175420Y/en</v>
      </c>
    </row>
    <row r="2970" spans="3:5" x14ac:dyDescent="0.25">
      <c r="C2970" t="s">
        <v>4918</v>
      </c>
      <c r="D2970" t="s">
        <v>4919</v>
      </c>
      <c r="E2970" t="str">
        <f>HYPERLINK("https://patents.google.com/patent/US20100237629A1/en")</f>
        <v>https://patents.google.com/patent/US20100237629A1/en</v>
      </c>
    </row>
    <row r="2971" spans="3:5" x14ac:dyDescent="0.25">
      <c r="C2971" t="s">
        <v>4920</v>
      </c>
      <c r="D2971" t="s">
        <v>4921</v>
      </c>
      <c r="E2971" t="str">
        <f>HYPERLINK("https://patents.google.com/patent/US2755020A/en")</f>
        <v>https://patents.google.com/patent/US2755020A/en</v>
      </c>
    </row>
    <row r="2972" spans="3:5" x14ac:dyDescent="0.25">
      <c r="C2972" t="s">
        <v>4922</v>
      </c>
      <c r="D2972" t="s">
        <v>4923</v>
      </c>
      <c r="E2972" t="str">
        <f>HYPERLINK("https://patents.google.com/patent/US2437449A/en")</f>
        <v>https://patents.google.com/patent/US2437449A/en</v>
      </c>
    </row>
    <row r="2973" spans="3:5" x14ac:dyDescent="0.25">
      <c r="C2973" t="s">
        <v>4924</v>
      </c>
      <c r="D2973" t="s">
        <v>4925</v>
      </c>
      <c r="E2973" t="str">
        <f>HYPERLINK("https://patents.google.com/patent/US6105368A/en")</f>
        <v>https://patents.google.com/patent/US6105368A/en</v>
      </c>
    </row>
    <row r="2974" spans="3:5" x14ac:dyDescent="0.25">
      <c r="C2974" t="s">
        <v>4926</v>
      </c>
      <c r="D2974" t="s">
        <v>4927</v>
      </c>
      <c r="E2974" t="str">
        <f>HYPERLINK("https://patents.google.com/patent/US4865810A/en")</f>
        <v>https://patents.google.com/patent/US4865810A/en</v>
      </c>
    </row>
    <row r="2975" spans="3:5" x14ac:dyDescent="0.25">
      <c r="C2975" t="s">
        <v>4928</v>
      </c>
      <c r="D2975" t="s">
        <v>4929</v>
      </c>
      <c r="E2975" t="str">
        <f>HYPERLINK("https://patents.google.com/patent/US6108219A/en")</f>
        <v>https://patents.google.com/patent/US6108219A/en</v>
      </c>
    </row>
    <row r="2976" spans="3:5" x14ac:dyDescent="0.25">
      <c r="C2976" t="s">
        <v>4801</v>
      </c>
      <c r="D2976" t="s">
        <v>4930</v>
      </c>
      <c r="E2976" t="str">
        <f>HYPERLINK("https://patents.google.com/patent/US2270732A/en")</f>
        <v>https://patents.google.com/patent/US2270732A/en</v>
      </c>
    </row>
    <row r="2977" spans="3:5" x14ac:dyDescent="0.25">
      <c r="C2977" t="s">
        <v>4931</v>
      </c>
      <c r="D2977" t="s">
        <v>4932</v>
      </c>
      <c r="E2977" t="str">
        <f>HYPERLINK("https://patents.google.com/patent/US20050223400A1/en")</f>
        <v>https://patents.google.com/patent/US20050223400A1/en</v>
      </c>
    </row>
    <row r="2978" spans="3:5" x14ac:dyDescent="0.25">
      <c r="C2978" t="s">
        <v>4933</v>
      </c>
      <c r="D2978" t="s">
        <v>4934</v>
      </c>
      <c r="E2978" t="str">
        <f>HYPERLINK("https://patents.google.com/patent/US2347898A/en")</f>
        <v>https://patents.google.com/patent/US2347898A/en</v>
      </c>
    </row>
    <row r="2979" spans="3:5" x14ac:dyDescent="0.25">
      <c r="C2979" t="s">
        <v>4935</v>
      </c>
      <c r="D2979" t="s">
        <v>4936</v>
      </c>
      <c r="E2979" t="str">
        <f>HYPERLINK("https://patents.google.com/patent/US5768087A/en")</f>
        <v>https://patents.google.com/patent/US5768087A/en</v>
      </c>
    </row>
    <row r="2980" spans="3:5" x14ac:dyDescent="0.25">
      <c r="C2980" t="s">
        <v>4937</v>
      </c>
      <c r="D2980" t="s">
        <v>4938</v>
      </c>
      <c r="E2980" t="str">
        <f>HYPERLINK("https://patents.google.com/patent/US4141071A/en")</f>
        <v>https://patents.google.com/patent/US4141071A/en</v>
      </c>
    </row>
    <row r="2981" spans="3:5" x14ac:dyDescent="0.25">
      <c r="C2981" t="s">
        <v>4939</v>
      </c>
      <c r="D2981" t="s">
        <v>4940</v>
      </c>
      <c r="E2981" t="str">
        <f>HYPERLINK("https://patents.google.com/patent/US20040068729A1/en")</f>
        <v>https://patents.google.com/patent/US20040068729A1/en</v>
      </c>
    </row>
    <row r="2982" spans="3:5" x14ac:dyDescent="0.25">
      <c r="C2982" t="s">
        <v>4941</v>
      </c>
      <c r="D2982" t="s">
        <v>4942</v>
      </c>
      <c r="E2982" t="str">
        <f>HYPERLINK("https://patents.google.com/patent/US20060249589A1/en")</f>
        <v>https://patents.google.com/patent/US20060249589A1/en</v>
      </c>
    </row>
    <row r="2983" spans="3:5" x14ac:dyDescent="0.25">
      <c r="C2983" t="s">
        <v>4943</v>
      </c>
      <c r="D2983" t="s">
        <v>4944</v>
      </c>
      <c r="E2983" t="str">
        <f>HYPERLINK("https://patents.google.com/patent/CN104824944A/en")</f>
        <v>https://patents.google.com/patent/CN104824944A/en</v>
      </c>
    </row>
    <row r="2984" spans="3:5" x14ac:dyDescent="0.25">
      <c r="C2984" t="s">
        <v>4945</v>
      </c>
      <c r="D2984" t="s">
        <v>4946</v>
      </c>
      <c r="E2984" t="str">
        <f>HYPERLINK("https://patents.google.com/patent/US4533308A/en")</f>
        <v>https://patents.google.com/patent/US4533308A/en</v>
      </c>
    </row>
    <row r="2985" spans="3:5" x14ac:dyDescent="0.25">
      <c r="C2985" t="s">
        <v>4947</v>
      </c>
      <c r="D2985" t="s">
        <v>4948</v>
      </c>
      <c r="E2985" t="str">
        <f>HYPERLINK("https://patents.google.com/patent/US7004271B1/en")</f>
        <v>https://patents.google.com/patent/US7004271B1/en</v>
      </c>
    </row>
    <row r="2986" spans="3:5" x14ac:dyDescent="0.25">
      <c r="C2986" t="s">
        <v>4949</v>
      </c>
      <c r="D2986" t="s">
        <v>4950</v>
      </c>
      <c r="E2986" t="str">
        <f>HYPERLINK("https://patents.google.com/patent/US3782368A/en")</f>
        <v>https://patents.google.com/patent/US3782368A/en</v>
      </c>
    </row>
    <row r="2987" spans="3:5" x14ac:dyDescent="0.25">
      <c r="C2987" t="s">
        <v>4951</v>
      </c>
      <c r="D2987" t="s">
        <v>4952</v>
      </c>
      <c r="E2987" t="str">
        <f>HYPERLINK("https://patents.google.com/patent/US4432158A/en")</f>
        <v>https://patents.google.com/patent/US4432158A/en</v>
      </c>
    </row>
    <row r="2988" spans="3:5" x14ac:dyDescent="0.25">
      <c r="C2988" t="s">
        <v>4953</v>
      </c>
      <c r="D2988" t="s">
        <v>4954</v>
      </c>
      <c r="E2988" t="str">
        <f>HYPERLINK("https://patents.google.com/patent/US4867792A/en")</f>
        <v>https://patents.google.com/patent/US4867792A/en</v>
      </c>
    </row>
    <row r="2989" spans="3:5" x14ac:dyDescent="0.25">
      <c r="C2989" t="s">
        <v>4955</v>
      </c>
      <c r="D2989" t="s">
        <v>4956</v>
      </c>
      <c r="E2989" t="str">
        <f>HYPERLINK("https://patents.google.com/patent/US2392916A/en")</f>
        <v>https://patents.google.com/patent/US2392916A/en</v>
      </c>
    </row>
    <row r="2990" spans="3:5" x14ac:dyDescent="0.25">
      <c r="C2990" t="s">
        <v>4957</v>
      </c>
      <c r="D2990" t="s">
        <v>4958</v>
      </c>
      <c r="E2990" t="str">
        <f>HYPERLINK("https://patents.google.com/patent/US2593950A/en")</f>
        <v>https://patents.google.com/patent/US2593950A/en</v>
      </c>
    </row>
    <row r="2991" spans="3:5" x14ac:dyDescent="0.25">
      <c r="C2991" t="s">
        <v>4959</v>
      </c>
      <c r="D2991" t="s">
        <v>4960</v>
      </c>
      <c r="E2991" t="str">
        <f>HYPERLINK("https://patents.google.com/patent/US2981107A/en")</f>
        <v>https://patents.google.com/patent/US2981107A/en</v>
      </c>
    </row>
    <row r="2992" spans="3:5" x14ac:dyDescent="0.25">
      <c r="C2992" t="s">
        <v>4961</v>
      </c>
      <c r="D2992" t="s">
        <v>4962</v>
      </c>
      <c r="E2992" t="str">
        <f>HYPERLINK("https://patents.google.com/patent/US3779451A/en")</f>
        <v>https://patents.google.com/patent/US3779451A/en</v>
      </c>
    </row>
    <row r="2993" spans="3:5" x14ac:dyDescent="0.25">
      <c r="C2993" t="s">
        <v>4963</v>
      </c>
      <c r="D2993" t="s">
        <v>4964</v>
      </c>
      <c r="E2993" t="str">
        <f>HYPERLINK("https://patents.google.com/patent/US2461643A/en")</f>
        <v>https://patents.google.com/patent/US2461643A/en</v>
      </c>
    </row>
    <row r="2994" spans="3:5" x14ac:dyDescent="0.25">
      <c r="C2994" t="s">
        <v>4801</v>
      </c>
      <c r="D2994" t="s">
        <v>4965</v>
      </c>
      <c r="E2994" t="str">
        <f>HYPERLINK("https://patents.google.com/patent/US2413128A/en")</f>
        <v>https://patents.google.com/patent/US2413128A/en</v>
      </c>
    </row>
    <row r="2995" spans="3:5" x14ac:dyDescent="0.25">
      <c r="C2995" t="s">
        <v>4966</v>
      </c>
      <c r="D2995" t="s">
        <v>4967</v>
      </c>
      <c r="E2995" t="str">
        <f>HYPERLINK("https://patents.google.com/patent/US20080203406A1/en")</f>
        <v>https://patents.google.com/patent/US20080203406A1/en</v>
      </c>
    </row>
    <row r="2996" spans="3:5" x14ac:dyDescent="0.25">
      <c r="C2996" t="s">
        <v>4968</v>
      </c>
      <c r="D2996" t="s">
        <v>4969</v>
      </c>
      <c r="E2996" t="str">
        <f>HYPERLINK("https://patents.google.com/patent/WO2001097943A1/en")</f>
        <v>https://patents.google.com/patent/WO2001097943A1/en</v>
      </c>
    </row>
    <row r="2997" spans="3:5" x14ac:dyDescent="0.25">
      <c r="C2997" t="s">
        <v>4970</v>
      </c>
      <c r="D2997" t="s">
        <v>4971</v>
      </c>
      <c r="E2997" t="str">
        <f>HYPERLINK("https://patents.google.com/patent/CN102004054A/en")</f>
        <v>https://patents.google.com/patent/CN102004054A/en</v>
      </c>
    </row>
    <row r="2998" spans="3:5" x14ac:dyDescent="0.25">
      <c r="C2998" t="s">
        <v>4887</v>
      </c>
      <c r="D2998" t="s">
        <v>4972</v>
      </c>
      <c r="E2998" t="str">
        <f>HYPERLINK("https://patents.google.com/patent/US20120130180A1/en")</f>
        <v>https://patents.google.com/patent/US20120130180A1/en</v>
      </c>
    </row>
    <row r="2999" spans="3:5" x14ac:dyDescent="0.25">
      <c r="C2999" t="s">
        <v>4973</v>
      </c>
      <c r="D2999" t="s">
        <v>4974</v>
      </c>
      <c r="E2999" t="str">
        <f>HYPERLINK("https://patents.google.com/patent/EP2573902A2/en")</f>
        <v>https://patents.google.com/patent/EP2573902A2/en</v>
      </c>
    </row>
    <row r="3000" spans="3:5" x14ac:dyDescent="0.25">
      <c r="C3000" t="s">
        <v>4975</v>
      </c>
      <c r="D3000" t="s">
        <v>4976</v>
      </c>
      <c r="E3000" t="str">
        <f>HYPERLINK("https://patents.google.com/patent/US7032119B2/en")</f>
        <v>https://patents.google.com/patent/US7032119B2/en</v>
      </c>
    </row>
    <row r="3001" spans="3:5" x14ac:dyDescent="0.25">
      <c r="C3001" t="s">
        <v>4977</v>
      </c>
      <c r="D3001" t="s">
        <v>4978</v>
      </c>
      <c r="E3001" t="str">
        <f>HYPERLINK("https://patents.google.com/patent/US6859882B2/en")</f>
        <v>https://patents.google.com/patent/US6859882B2/en</v>
      </c>
    </row>
    <row r="3002" spans="3:5" x14ac:dyDescent="0.25">
      <c r="C3002" t="s">
        <v>4979</v>
      </c>
      <c r="D3002" t="s">
        <v>4980</v>
      </c>
      <c r="E3002" t="str">
        <f>HYPERLINK("https://patents.google.com/patent/US7058826B2/en")</f>
        <v>https://patents.google.com/patent/US7058826B2/en</v>
      </c>
    </row>
    <row r="3003" spans="3:5" x14ac:dyDescent="0.25">
      <c r="C3003" t="s">
        <v>4981</v>
      </c>
      <c r="D3003" t="s">
        <v>4982</v>
      </c>
      <c r="E3003" t="str">
        <f>HYPERLINK("https://patents.google.com/patent/US20160121198A1/en")</f>
        <v>https://patents.google.com/patent/US20160121198A1/en</v>
      </c>
    </row>
    <row r="3004" spans="3:5" x14ac:dyDescent="0.25">
      <c r="C3004" t="s">
        <v>4983</v>
      </c>
      <c r="D3004" t="s">
        <v>4984</v>
      </c>
      <c r="E3004" t="str">
        <f>HYPERLINK("https://patents.google.com/patent/US2555853A/en")</f>
        <v>https://patents.google.com/patent/US2555853A/en</v>
      </c>
    </row>
    <row r="3005" spans="3:5" x14ac:dyDescent="0.25">
      <c r="C3005" t="s">
        <v>4985</v>
      </c>
      <c r="D3005" t="s">
        <v>4986</v>
      </c>
      <c r="E3005" t="str">
        <f>HYPERLINK("https://patents.google.com/patent/US3078689A/en")</f>
        <v>https://patents.google.com/patent/US3078689A/en</v>
      </c>
    </row>
    <row r="3006" spans="3:5" x14ac:dyDescent="0.25">
      <c r="C3006" t="s">
        <v>4987</v>
      </c>
      <c r="D3006" t="s">
        <v>4988</v>
      </c>
      <c r="E3006" t="str">
        <f>HYPERLINK("https://patents.google.com/patent/US2941147A/en")</f>
        <v>https://patents.google.com/patent/US2941147A/en</v>
      </c>
    </row>
    <row r="3007" spans="3:5" x14ac:dyDescent="0.25">
      <c r="C3007" t="s">
        <v>4989</v>
      </c>
      <c r="D3007" t="s">
        <v>4990</v>
      </c>
      <c r="E3007" t="str">
        <f>HYPERLINK("https://patents.google.com/patent/US2639411A/en")</f>
        <v>https://patents.google.com/patent/US2639411A/en</v>
      </c>
    </row>
    <row r="3008" spans="3:5" x14ac:dyDescent="0.25">
      <c r="C3008" t="s">
        <v>4991</v>
      </c>
      <c r="D3008" t="s">
        <v>4992</v>
      </c>
      <c r="E3008" t="str">
        <f>HYPERLINK("https://patents.google.com/patent/US4201066A/en")</f>
        <v>https://patents.google.com/patent/US4201066A/en</v>
      </c>
    </row>
    <row r="3009" spans="3:5" x14ac:dyDescent="0.25">
      <c r="C3009" t="s">
        <v>4993</v>
      </c>
      <c r="D3009" t="s">
        <v>4994</v>
      </c>
      <c r="E3009" t="str">
        <f>HYPERLINK("https://patents.google.com/patent/US3410339A/en")</f>
        <v>https://patents.google.com/patent/US3410339A/en</v>
      </c>
    </row>
    <row r="3010" spans="3:5" x14ac:dyDescent="0.25">
      <c r="C3010" t="s">
        <v>4995</v>
      </c>
      <c r="D3010" t="s">
        <v>4996</v>
      </c>
      <c r="E3010" t="str">
        <f>HYPERLINK("https://patents.google.com/patent/US4121292A/en")</f>
        <v>https://patents.google.com/patent/US4121292A/en</v>
      </c>
    </row>
    <row r="3011" spans="3:5" x14ac:dyDescent="0.25">
      <c r="C3011" t="s">
        <v>4997</v>
      </c>
      <c r="D3011" t="s">
        <v>4998</v>
      </c>
      <c r="E3011" t="str">
        <f>HYPERLINK("https://patents.google.com/patent/US3303701A/en")</f>
        <v>https://patents.google.com/patent/US3303701A/en</v>
      </c>
    </row>
    <row r="3012" spans="3:5" x14ac:dyDescent="0.25">
      <c r="C3012" t="s">
        <v>4999</v>
      </c>
      <c r="D3012" t="s">
        <v>5000</v>
      </c>
      <c r="E3012" t="str">
        <f>HYPERLINK("https://patents.google.com/patent/US7057130B2/en")</f>
        <v>https://patents.google.com/patent/US7057130B2/en</v>
      </c>
    </row>
    <row r="3013" spans="3:5" x14ac:dyDescent="0.25">
      <c r="C3013" t="s">
        <v>5001</v>
      </c>
      <c r="D3013" t="s">
        <v>5002</v>
      </c>
      <c r="E3013" t="str">
        <f>HYPERLINK("https://patents.google.com/patent/CN101988308A/en")</f>
        <v>https://patents.google.com/patent/CN101988308A/en</v>
      </c>
    </row>
    <row r="3014" spans="3:5" x14ac:dyDescent="0.25">
      <c r="C3014" t="s">
        <v>5003</v>
      </c>
      <c r="D3014" t="s">
        <v>5004</v>
      </c>
      <c r="E3014" t="str">
        <f>HYPERLINK("https://patents.google.com/patent/US3680384A/en")</f>
        <v>https://patents.google.com/patent/US3680384A/en</v>
      </c>
    </row>
    <row r="3015" spans="3:5" x14ac:dyDescent="0.25">
      <c r="C3015" t="s">
        <v>5005</v>
      </c>
      <c r="D3015" t="s">
        <v>5006</v>
      </c>
      <c r="E3015" t="str">
        <f>HYPERLINK("https://patents.google.com/patent/US3857461A/en")</f>
        <v>https://patents.google.com/patent/US3857461A/en</v>
      </c>
    </row>
    <row r="3016" spans="3:5" x14ac:dyDescent="0.25">
      <c r="C3016" t="s">
        <v>5007</v>
      </c>
      <c r="D3016" t="s">
        <v>5008</v>
      </c>
      <c r="E3016" t="str">
        <f>HYPERLINK("https://patents.google.com/patent/US2861493A/en")</f>
        <v>https://patents.google.com/patent/US2861493A/en</v>
      </c>
    </row>
    <row r="3017" spans="3:5" x14ac:dyDescent="0.25">
      <c r="C3017" t="s">
        <v>5009</v>
      </c>
      <c r="D3017" t="s">
        <v>5010</v>
      </c>
      <c r="E3017" t="str">
        <f>HYPERLINK("https://patents.google.com/patent/US4233658A/en")</f>
        <v>https://patents.google.com/patent/US4233658A/en</v>
      </c>
    </row>
    <row r="3018" spans="3:5" x14ac:dyDescent="0.25">
      <c r="C3018" t="s">
        <v>5011</v>
      </c>
      <c r="D3018" t="s">
        <v>5012</v>
      </c>
      <c r="E3018" t="str">
        <f>HYPERLINK("https://patents.google.com/patent/CN203186511U/en")</f>
        <v>https://patents.google.com/patent/CN203186511U/en</v>
      </c>
    </row>
    <row r="3019" spans="3:5" x14ac:dyDescent="0.25">
      <c r="C3019" t="s">
        <v>5013</v>
      </c>
      <c r="D3019" t="s">
        <v>5014</v>
      </c>
      <c r="E3019" t="str">
        <f>HYPERLINK("https://patents.google.com/patent/US3093409A/en")</f>
        <v>https://patents.google.com/patent/US3093409A/en</v>
      </c>
    </row>
    <row r="3020" spans="3:5" x14ac:dyDescent="0.25">
      <c r="C3020" t="s">
        <v>5015</v>
      </c>
      <c r="D3020" t="s">
        <v>5016</v>
      </c>
      <c r="E3020" t="str">
        <f>HYPERLINK("https://patents.google.com/patent/US2707880A/en")</f>
        <v>https://patents.google.com/patent/US2707880A/en</v>
      </c>
    </row>
    <row r="3021" spans="3:5" x14ac:dyDescent="0.25">
      <c r="C3021" t="s">
        <v>4801</v>
      </c>
      <c r="D3021" t="s">
        <v>5017</v>
      </c>
      <c r="E3021" t="str">
        <f>HYPERLINK("https://patents.google.com/patent/US2352103A/en")</f>
        <v>https://patents.google.com/patent/US2352103A/en</v>
      </c>
    </row>
    <row r="3022" spans="3:5" x14ac:dyDescent="0.25">
      <c r="C3022" t="s">
        <v>5018</v>
      </c>
      <c r="D3022" t="s">
        <v>5019</v>
      </c>
      <c r="E3022" t="str">
        <f>HYPERLINK("https://patents.google.com/patent/US3004464A/en")</f>
        <v>https://patents.google.com/patent/US3004464A/en</v>
      </c>
    </row>
    <row r="3023" spans="3:5" x14ac:dyDescent="0.25">
      <c r="C3023" t="s">
        <v>5020</v>
      </c>
      <c r="D3023" t="s">
        <v>5021</v>
      </c>
      <c r="E3023" t="str">
        <f>HYPERLINK("https://patents.google.com/patent/CN102388821A/en")</f>
        <v>https://patents.google.com/patent/CN102388821A/en</v>
      </c>
    </row>
    <row r="3024" spans="3:5" x14ac:dyDescent="0.25">
      <c r="C3024" t="s">
        <v>5022</v>
      </c>
      <c r="D3024" t="s">
        <v>5023</v>
      </c>
      <c r="E3024" t="str">
        <f>HYPERLINK("https://patents.google.com/patent/WO2003099152A1/en")</f>
        <v>https://patents.google.com/patent/WO2003099152A1/en</v>
      </c>
    </row>
    <row r="3025" spans="3:5" x14ac:dyDescent="0.25">
      <c r="C3025" t="s">
        <v>5024</v>
      </c>
      <c r="D3025" t="s">
        <v>5025</v>
      </c>
      <c r="E3025" t="str">
        <f>HYPERLINK("https://patents.google.com/patent/CN1563626A/en")</f>
        <v>https://patents.google.com/patent/CN1563626A/en</v>
      </c>
    </row>
    <row r="3026" spans="3:5" x14ac:dyDescent="0.25">
      <c r="C3026" t="s">
        <v>5026</v>
      </c>
      <c r="D3026" t="s">
        <v>5027</v>
      </c>
      <c r="E3026" t="str">
        <f>HYPERLINK("https://patents.google.com/patent/US20080251293A1/en")</f>
        <v>https://patents.google.com/patent/US20080251293A1/en</v>
      </c>
    </row>
    <row r="3027" spans="3:5" x14ac:dyDescent="0.25">
      <c r="C3027" t="s">
        <v>5028</v>
      </c>
      <c r="D3027" t="s">
        <v>5029</v>
      </c>
      <c r="E3027" t="str">
        <f>HYPERLINK("https://patents.google.com/patent/US2659014A/en")</f>
        <v>https://patents.google.com/patent/US2659014A/en</v>
      </c>
    </row>
    <row r="3028" spans="3:5" x14ac:dyDescent="0.25">
      <c r="C3028" t="s">
        <v>5030</v>
      </c>
      <c r="D3028" t="s">
        <v>5031</v>
      </c>
      <c r="E3028" t="str">
        <f>HYPERLINK("https://patents.google.com/patent/US3576194A/en")</f>
        <v>https://patents.google.com/patent/US3576194A/en</v>
      </c>
    </row>
    <row r="3029" spans="3:5" x14ac:dyDescent="0.25">
      <c r="C3029" t="s">
        <v>5032</v>
      </c>
      <c r="D3029" t="s">
        <v>5033</v>
      </c>
      <c r="E3029" t="str">
        <f>HYPERLINK("https://patents.google.com/patent/US3081431A/en")</f>
        <v>https://patents.google.com/patent/US3081431A/en</v>
      </c>
    </row>
    <row r="3030" spans="3:5" x14ac:dyDescent="0.25">
      <c r="C3030" t="s">
        <v>5034</v>
      </c>
      <c r="D3030" t="s">
        <v>5035</v>
      </c>
      <c r="E3030" t="str">
        <f>HYPERLINK("https://patents.google.com/patent/US2727391A/en")</f>
        <v>https://patents.google.com/patent/US2727391A/en</v>
      </c>
    </row>
    <row r="3031" spans="3:5" x14ac:dyDescent="0.25">
      <c r="C3031" t="s">
        <v>5036</v>
      </c>
      <c r="D3031" t="s">
        <v>5037</v>
      </c>
      <c r="E3031" t="str">
        <f>HYPERLINK("https://patents.google.com/patent/US3785677A/en")</f>
        <v>https://patents.google.com/patent/US3785677A/en</v>
      </c>
    </row>
    <row r="3032" spans="3:5" x14ac:dyDescent="0.25">
      <c r="C3032" t="s">
        <v>5038</v>
      </c>
      <c r="D3032" t="s">
        <v>5039</v>
      </c>
      <c r="E3032" t="str">
        <f>HYPERLINK("https://patents.google.com/patent/CN102777043A/en")</f>
        <v>https://patents.google.com/patent/CN102777043A/en</v>
      </c>
    </row>
    <row r="3033" spans="3:5" x14ac:dyDescent="0.25">
      <c r="C3033" t="s">
        <v>5040</v>
      </c>
      <c r="D3033" t="s">
        <v>5041</v>
      </c>
      <c r="E3033" t="str">
        <f>HYPERLINK("https://patents.google.com/patent/US20090006245A1/en")</f>
        <v>https://patents.google.com/patent/US20090006245A1/en</v>
      </c>
    </row>
    <row r="3034" spans="3:5" x14ac:dyDescent="0.25">
      <c r="C3034" t="s">
        <v>5042</v>
      </c>
      <c r="D3034" t="s">
        <v>5043</v>
      </c>
      <c r="E3034" t="str">
        <f>HYPERLINK("https://patents.google.com/patent/US2841775A/en")</f>
        <v>https://patents.google.com/patent/US2841775A/en</v>
      </c>
    </row>
    <row r="3035" spans="3:5" x14ac:dyDescent="0.25">
      <c r="C3035" t="s">
        <v>5044</v>
      </c>
      <c r="D3035" t="s">
        <v>5045</v>
      </c>
      <c r="E3035" t="str">
        <f>HYPERLINK("https://patents.google.com/patent/CN101691791A/en")</f>
        <v>https://patents.google.com/patent/CN101691791A/en</v>
      </c>
    </row>
    <row r="3036" spans="3:5" x14ac:dyDescent="0.25">
      <c r="C3036" t="s">
        <v>5046</v>
      </c>
      <c r="D3036" t="s">
        <v>5047</v>
      </c>
      <c r="E3036" t="str">
        <f>HYPERLINK("https://patents.google.com/patent/US2656525A/en")</f>
        <v>https://patents.google.com/patent/US2656525A/en</v>
      </c>
    </row>
    <row r="3037" spans="3:5" x14ac:dyDescent="0.25">
      <c r="C3037" t="s">
        <v>5048</v>
      </c>
      <c r="D3037" t="s">
        <v>5049</v>
      </c>
      <c r="E3037" t="str">
        <f>HYPERLINK("https://patents.google.com/patent/US6167705B1/en")</f>
        <v>https://patents.google.com/patent/US6167705B1/en</v>
      </c>
    </row>
    <row r="3038" spans="3:5" x14ac:dyDescent="0.25">
      <c r="C3038" t="s">
        <v>5050</v>
      </c>
      <c r="D3038" t="s">
        <v>5051</v>
      </c>
      <c r="E3038" t="str">
        <f>HYPERLINK("https://patents.google.com/patent/EP2606867A1/en")</f>
        <v>https://patents.google.com/patent/EP2606867A1/en</v>
      </c>
    </row>
    <row r="3039" spans="3:5" x14ac:dyDescent="0.25">
      <c r="C3039" t="s">
        <v>5052</v>
      </c>
      <c r="D3039" t="s">
        <v>5053</v>
      </c>
      <c r="E3039" t="str">
        <f>HYPERLINK("https://patents.google.com/patent/US20050205310A1/en")</f>
        <v>https://patents.google.com/patent/US20050205310A1/en</v>
      </c>
    </row>
    <row r="3040" spans="3:5" x14ac:dyDescent="0.25">
      <c r="C3040" t="s">
        <v>5054</v>
      </c>
      <c r="D3040" t="s">
        <v>5055</v>
      </c>
      <c r="E3040" t="str">
        <f>HYPERLINK("https://patents.google.com/patent/US4050017A/en")</f>
        <v>https://patents.google.com/patent/US4050017A/en</v>
      </c>
    </row>
    <row r="3041" spans="3:5" x14ac:dyDescent="0.25">
      <c r="C3041" t="s">
        <v>5056</v>
      </c>
      <c r="D3041" t="s">
        <v>5057</v>
      </c>
      <c r="E3041" t="str">
        <f>HYPERLINK("https://patents.google.com/patent/US20120153899A1/en")</f>
        <v>https://patents.google.com/patent/US20120153899A1/en</v>
      </c>
    </row>
    <row r="3042" spans="3:5" x14ac:dyDescent="0.25">
      <c r="C3042" t="s">
        <v>5058</v>
      </c>
      <c r="D3042" t="s">
        <v>5059</v>
      </c>
      <c r="E3042" t="str">
        <f>HYPERLINK("https://patents.google.com/patent/US20100259285A1/en")</f>
        <v>https://patents.google.com/patent/US20100259285A1/en</v>
      </c>
    </row>
    <row r="3043" spans="3:5" x14ac:dyDescent="0.25">
      <c r="C3043" t="s">
        <v>5060</v>
      </c>
      <c r="D3043" t="s">
        <v>5061</v>
      </c>
      <c r="E3043" t="str">
        <f>HYPERLINK("https://patents.google.com/patent/US3313670A/en")</f>
        <v>https://patents.google.com/patent/US3313670A/en</v>
      </c>
    </row>
    <row r="3044" spans="3:5" x14ac:dyDescent="0.25">
      <c r="C3044" t="s">
        <v>5062</v>
      </c>
      <c r="D3044" t="s">
        <v>5063</v>
      </c>
      <c r="E3044" t="str">
        <f>HYPERLINK("https://patents.google.com/patent/US7182166B2/en")</f>
        <v>https://patents.google.com/patent/US7182166B2/en</v>
      </c>
    </row>
    <row r="3045" spans="3:5" x14ac:dyDescent="0.25">
      <c r="C3045" t="s">
        <v>5064</v>
      </c>
      <c r="D3045" t="s">
        <v>5065</v>
      </c>
      <c r="E3045" t="str">
        <f>HYPERLINK("https://patents.google.com/patent/US6105034A/en")</f>
        <v>https://patents.google.com/patent/US6105034A/en</v>
      </c>
    </row>
    <row r="3046" spans="3:5" x14ac:dyDescent="0.25">
      <c r="C3046" t="s">
        <v>5066</v>
      </c>
      <c r="D3046" t="s">
        <v>5067</v>
      </c>
      <c r="E3046" t="str">
        <f>HYPERLINK("https://patents.google.com/patent/US6143170A/en")</f>
        <v>https://patents.google.com/patent/US6143170A/en</v>
      </c>
    </row>
    <row r="3047" spans="3:5" x14ac:dyDescent="0.25">
      <c r="C3047" t="s">
        <v>5068</v>
      </c>
      <c r="D3047" t="s">
        <v>5069</v>
      </c>
      <c r="E3047" t="str">
        <f>HYPERLINK("https://patents.google.com/patent/US3658447A/en")</f>
        <v>https://patents.google.com/patent/US3658447A/en</v>
      </c>
    </row>
    <row r="3048" spans="3:5" x14ac:dyDescent="0.25">
      <c r="C3048" t="s">
        <v>5070</v>
      </c>
      <c r="D3048" t="s">
        <v>5071</v>
      </c>
      <c r="E3048" t="str">
        <f>HYPERLINK("https://patents.google.com/patent/US3096137A/en")</f>
        <v>https://patents.google.com/patent/US3096137A/en</v>
      </c>
    </row>
    <row r="3049" spans="3:5" x14ac:dyDescent="0.25">
      <c r="C3049" t="s">
        <v>5072</v>
      </c>
      <c r="D3049" t="s">
        <v>5073</v>
      </c>
      <c r="E3049" t="str">
        <f>HYPERLINK("https://patents.google.com/patent/US3151507A/en")</f>
        <v>https://patents.google.com/patent/US3151507A/en</v>
      </c>
    </row>
    <row r="3050" spans="3:5" x14ac:dyDescent="0.25">
      <c r="C3050" t="s">
        <v>5074</v>
      </c>
      <c r="D3050" t="s">
        <v>5075</v>
      </c>
      <c r="E3050" t="str">
        <f>HYPERLINK("https://patents.google.com/patent/US2744234A/en")</f>
        <v>https://patents.google.com/patent/US2744234A/en</v>
      </c>
    </row>
    <row r="3051" spans="3:5" x14ac:dyDescent="0.25">
      <c r="C3051" t="s">
        <v>5076</v>
      </c>
      <c r="D3051" t="s">
        <v>5077</v>
      </c>
      <c r="E3051" t="str">
        <f>HYPERLINK("https://patents.google.com/patent/US3163065A/en")</f>
        <v>https://patents.google.com/patent/US3163065A/en</v>
      </c>
    </row>
    <row r="3052" spans="3:5" x14ac:dyDescent="0.25">
      <c r="C3052" t="s">
        <v>5078</v>
      </c>
      <c r="D3052" t="s">
        <v>5079</v>
      </c>
      <c r="E3052" t="str">
        <f>HYPERLINK("https://patents.google.com/patent/US5381325A/en")</f>
        <v>https://patents.google.com/patent/US5381325A/en</v>
      </c>
    </row>
    <row r="3053" spans="3:5" x14ac:dyDescent="0.25">
      <c r="C3053" t="s">
        <v>5080</v>
      </c>
      <c r="D3053" t="s">
        <v>5081</v>
      </c>
      <c r="E3053" t="str">
        <f>HYPERLINK("https://patents.google.com/patent/US3562641A/en")</f>
        <v>https://patents.google.com/patent/US3562641A/en</v>
      </c>
    </row>
    <row r="3054" spans="3:5" x14ac:dyDescent="0.25">
      <c r="C3054" t="s">
        <v>5082</v>
      </c>
      <c r="D3054" t="s">
        <v>5083</v>
      </c>
      <c r="E3054" t="str">
        <f>HYPERLINK("https://patents.google.com/patent/CN105496333A/en")</f>
        <v>https://patents.google.com/patent/CN105496333A/en</v>
      </c>
    </row>
    <row r="3055" spans="3:5" x14ac:dyDescent="0.25">
      <c r="C3055" t="s">
        <v>5084</v>
      </c>
      <c r="D3055" t="s">
        <v>5085</v>
      </c>
      <c r="E3055" t="str">
        <f>HYPERLINK("https://patents.google.com/patent/US4846974A/en")</f>
        <v>https://patents.google.com/patent/US4846974A/en</v>
      </c>
    </row>
    <row r="3056" spans="3:5" x14ac:dyDescent="0.25">
      <c r="C3056" t="s">
        <v>5086</v>
      </c>
      <c r="D3056" t="s">
        <v>5087</v>
      </c>
      <c r="E3056" t="str">
        <f>HYPERLINK("https://patents.google.com/patent/US3826903A/en")</f>
        <v>https://patents.google.com/patent/US3826903A/en</v>
      </c>
    </row>
    <row r="3057" spans="3:5" x14ac:dyDescent="0.25">
      <c r="C3057" t="s">
        <v>5088</v>
      </c>
      <c r="D3057" t="s">
        <v>5089</v>
      </c>
      <c r="E3057" t="str">
        <f>HYPERLINK("https://patents.google.com/patent/US2822225A/en")</f>
        <v>https://patents.google.com/patent/US2822225A/en</v>
      </c>
    </row>
    <row r="3058" spans="3:5" x14ac:dyDescent="0.25">
      <c r="C3058" t="s">
        <v>5090</v>
      </c>
      <c r="D3058" t="s">
        <v>5091</v>
      </c>
      <c r="E3058" t="str">
        <f>HYPERLINK("https://patents.google.com/patent/CN201647849U/en")</f>
        <v>https://patents.google.com/patent/CN201647849U/en</v>
      </c>
    </row>
    <row r="3059" spans="3:5" x14ac:dyDescent="0.25">
      <c r="C3059" t="s">
        <v>5092</v>
      </c>
      <c r="D3059" t="s">
        <v>5093</v>
      </c>
      <c r="E3059" t="str">
        <f>HYPERLINK("https://patents.google.com/patent/CN101823485A/en")</f>
        <v>https://patents.google.com/patent/CN101823485A/en</v>
      </c>
    </row>
    <row r="3060" spans="3:5" x14ac:dyDescent="0.25">
      <c r="C3060" t="s">
        <v>5094</v>
      </c>
      <c r="D3060" t="s">
        <v>5095</v>
      </c>
      <c r="E3060" t="str">
        <f>HYPERLINK("https://patents.google.com/patent/GB2301399A/en")</f>
        <v>https://patents.google.com/patent/GB2301399A/en</v>
      </c>
    </row>
    <row r="3061" spans="3:5" x14ac:dyDescent="0.25">
      <c r="C3061" t="s">
        <v>5096</v>
      </c>
      <c r="D3061" t="s">
        <v>5097</v>
      </c>
      <c r="E3061" t="str">
        <f>HYPERLINK("https://patents.google.com/patent/US5427194A/en")</f>
        <v>https://patents.google.com/patent/US5427194A/en</v>
      </c>
    </row>
    <row r="3062" spans="3:5" x14ac:dyDescent="0.25">
      <c r="C3062" t="s">
        <v>5098</v>
      </c>
      <c r="D3062" t="s">
        <v>5099</v>
      </c>
      <c r="E3062" t="str">
        <f>HYPERLINK("https://patents.google.com/patent/US7420804B2/en")</f>
        <v>https://patents.google.com/patent/US7420804B2/en</v>
      </c>
    </row>
    <row r="3063" spans="3:5" x14ac:dyDescent="0.25">
      <c r="C3063" t="s">
        <v>5100</v>
      </c>
      <c r="D3063" t="s">
        <v>5101</v>
      </c>
      <c r="E3063" t="str">
        <f>HYPERLINK("https://patents.google.com/patent/CN102904348A/en")</f>
        <v>https://patents.google.com/patent/CN102904348A/en</v>
      </c>
    </row>
    <row r="3064" spans="3:5" x14ac:dyDescent="0.25">
      <c r="C3064" t="s">
        <v>5102</v>
      </c>
      <c r="D3064" t="s">
        <v>5103</v>
      </c>
      <c r="E3064" t="str">
        <f>HYPERLINK("https://patents.google.com/patent/CN102288486A/en")</f>
        <v>https://patents.google.com/patent/CN102288486A/en</v>
      </c>
    </row>
    <row r="3065" spans="3:5" x14ac:dyDescent="0.25">
      <c r="C3065" t="s">
        <v>5084</v>
      </c>
      <c r="D3065" t="s">
        <v>5104</v>
      </c>
      <c r="E3065" t="str">
        <f>HYPERLINK("https://patents.google.com/patent/US4981585A/en")</f>
        <v>https://patents.google.com/patent/US4981585A/en</v>
      </c>
    </row>
    <row r="3066" spans="3:5" x14ac:dyDescent="0.25">
      <c r="C3066" t="s">
        <v>5105</v>
      </c>
      <c r="D3066" t="s">
        <v>5106</v>
      </c>
      <c r="E3066" t="str">
        <f>HYPERLINK("https://patents.google.com/patent/US3320148A/en")</f>
        <v>https://patents.google.com/patent/US3320148A/en</v>
      </c>
    </row>
    <row r="3067" spans="3:5" x14ac:dyDescent="0.25">
      <c r="C3067" t="s">
        <v>5107</v>
      </c>
      <c r="D3067" t="s">
        <v>5108</v>
      </c>
      <c r="E3067" t="str">
        <f>HYPERLINK("https://patents.google.com/patent/US2650067A/en")</f>
        <v>https://patents.google.com/patent/US2650067A/en</v>
      </c>
    </row>
    <row r="3068" spans="3:5" x14ac:dyDescent="0.25">
      <c r="C3068" t="s">
        <v>5109</v>
      </c>
      <c r="D3068" t="s">
        <v>5110</v>
      </c>
      <c r="E3068" t="str">
        <f>HYPERLINK("https://patents.google.com/patent/US3454769A/en")</f>
        <v>https://patents.google.com/patent/US3454769A/en</v>
      </c>
    </row>
    <row r="3069" spans="3:5" x14ac:dyDescent="0.25">
      <c r="C3069" t="s">
        <v>5111</v>
      </c>
      <c r="D3069" t="s">
        <v>5112</v>
      </c>
      <c r="E3069" t="str">
        <f>HYPERLINK("https://patents.google.com/patent/US4255368A/en")</f>
        <v>https://patents.google.com/patent/US4255368A/en</v>
      </c>
    </row>
    <row r="3070" spans="3:5" x14ac:dyDescent="0.25">
      <c r="C3070" t="s">
        <v>5113</v>
      </c>
      <c r="D3070" t="s">
        <v>5114</v>
      </c>
      <c r="E3070" t="str">
        <f>HYPERLINK("https://patents.google.com/patent/US5385645A/en")</f>
        <v>https://patents.google.com/patent/US5385645A/en</v>
      </c>
    </row>
    <row r="3071" spans="3:5" x14ac:dyDescent="0.25">
      <c r="C3071" t="s">
        <v>5115</v>
      </c>
      <c r="D3071" t="s">
        <v>5116</v>
      </c>
      <c r="E3071" t="str">
        <f>HYPERLINK("https://patents.google.com/patent/US4111044A/en")</f>
        <v>https://patents.google.com/patent/US4111044A/en</v>
      </c>
    </row>
    <row r="3072" spans="3:5" x14ac:dyDescent="0.25">
      <c r="C3072" t="s">
        <v>5117</v>
      </c>
      <c r="D3072" t="s">
        <v>5118</v>
      </c>
      <c r="E3072" t="str">
        <f>HYPERLINK("https://patents.google.com/patent/US8891249B2/en")</f>
        <v>https://patents.google.com/patent/US8891249B2/en</v>
      </c>
    </row>
    <row r="3073" spans="3:5" x14ac:dyDescent="0.25">
      <c r="C3073" t="s">
        <v>5119</v>
      </c>
      <c r="D3073" t="s">
        <v>5120</v>
      </c>
      <c r="E3073" t="str">
        <f>HYPERLINK("https://patents.google.com/patent/US7060009B2/en")</f>
        <v>https://patents.google.com/patent/US7060009B2/en</v>
      </c>
    </row>
    <row r="3074" spans="3:5" x14ac:dyDescent="0.25">
      <c r="C3074" t="s">
        <v>5121</v>
      </c>
      <c r="D3074" t="s">
        <v>5122</v>
      </c>
      <c r="E3074" t="str">
        <f>HYPERLINK("https://patents.google.com/patent/US4158448A/en")</f>
        <v>https://patents.google.com/patent/US4158448A/en</v>
      </c>
    </row>
    <row r="3075" spans="3:5" x14ac:dyDescent="0.25">
      <c r="C3075" t="s">
        <v>4801</v>
      </c>
      <c r="D3075" t="s">
        <v>5123</v>
      </c>
      <c r="E3075" t="str">
        <f>HYPERLINK("https://patents.google.com/patent/US2366618A/en")</f>
        <v>https://patents.google.com/patent/US2366618A/en</v>
      </c>
    </row>
    <row r="3076" spans="3:5" x14ac:dyDescent="0.25">
      <c r="C3076" t="s">
        <v>5124</v>
      </c>
      <c r="D3076" t="s">
        <v>5125</v>
      </c>
      <c r="E3076" t="str">
        <f>HYPERLINK("https://patents.google.com/patent/US6158220A/en")</f>
        <v>https://patents.google.com/patent/US6158220A/en</v>
      </c>
    </row>
    <row r="3077" spans="3:5" x14ac:dyDescent="0.25">
      <c r="C3077" t="s">
        <v>5126</v>
      </c>
      <c r="D3077" t="s">
        <v>5127</v>
      </c>
      <c r="E3077" t="str">
        <f>HYPERLINK("https://patents.google.com/patent/US4121294A/en")</f>
        <v>https://patents.google.com/patent/US4121294A/en</v>
      </c>
    </row>
    <row r="3078" spans="3:5" x14ac:dyDescent="0.25">
      <c r="C3078" t="s">
        <v>5128</v>
      </c>
      <c r="D3078" t="s">
        <v>5129</v>
      </c>
      <c r="E3078" t="str">
        <f>HYPERLINK("https://patents.google.com/patent/US2955464A/en")</f>
        <v>https://patents.google.com/patent/US2955464A/en</v>
      </c>
    </row>
    <row r="3079" spans="3:5" x14ac:dyDescent="0.25">
      <c r="C3079" t="s">
        <v>5130</v>
      </c>
      <c r="D3079" t="s">
        <v>5131</v>
      </c>
      <c r="E3079" t="str">
        <f>HYPERLINK("https://patents.google.com/patent/US20150100439A1/en")</f>
        <v>https://patents.google.com/patent/US20150100439A1/en</v>
      </c>
    </row>
    <row r="3080" spans="3:5" x14ac:dyDescent="0.25">
      <c r="C3080" t="s">
        <v>5132</v>
      </c>
      <c r="D3080" t="s">
        <v>5133</v>
      </c>
      <c r="E3080" t="str">
        <f>HYPERLINK("https://patents.google.com/patent/US20060017150A1/en")</f>
        <v>https://patents.google.com/patent/US20060017150A1/en</v>
      </c>
    </row>
    <row r="3081" spans="3:5" x14ac:dyDescent="0.25">
      <c r="C3081" t="s">
        <v>5134</v>
      </c>
      <c r="D3081" t="s">
        <v>5135</v>
      </c>
      <c r="E3081" t="str">
        <f>HYPERLINK("https://patents.google.com/patent/US20140077617A1/en")</f>
        <v>https://patents.google.com/patent/US20140077617A1/en</v>
      </c>
    </row>
    <row r="3082" spans="3:5" x14ac:dyDescent="0.25">
      <c r="C3082" t="s">
        <v>5136</v>
      </c>
      <c r="D3082" t="s">
        <v>5137</v>
      </c>
      <c r="E3082" t="str">
        <f>HYPERLINK("https://patents.google.com/patent/US5054936A/en")</f>
        <v>https://patents.google.com/patent/US5054936A/en</v>
      </c>
    </row>
    <row r="3083" spans="3:5" x14ac:dyDescent="0.25">
      <c r="C3083" t="s">
        <v>5138</v>
      </c>
      <c r="D3083" t="s">
        <v>5139</v>
      </c>
      <c r="E3083" t="str">
        <f>HYPERLINK("https://patents.google.com/patent/US5835063A/en")</f>
        <v>https://patents.google.com/patent/US5835063A/en</v>
      </c>
    </row>
    <row r="3084" spans="3:5" x14ac:dyDescent="0.25">
      <c r="C3084" t="s">
        <v>5140</v>
      </c>
      <c r="D3084" t="s">
        <v>5141</v>
      </c>
      <c r="E3084" t="str">
        <f>HYPERLINK("https://patents.google.com/patent/US4113849A/en")</f>
        <v>https://patents.google.com/patent/US4113849A/en</v>
      </c>
    </row>
    <row r="3085" spans="3:5" x14ac:dyDescent="0.25">
      <c r="C3085" t="s">
        <v>5142</v>
      </c>
      <c r="D3085" t="s">
        <v>5143</v>
      </c>
      <c r="E3085" t="str">
        <f>HYPERLINK("https://patents.google.com/patent/US3054946A/en")</f>
        <v>https://patents.google.com/patent/US3054946A/en</v>
      </c>
    </row>
    <row r="3086" spans="3:5" x14ac:dyDescent="0.25">
      <c r="C3086" t="s">
        <v>5144</v>
      </c>
      <c r="D3086" t="s">
        <v>5145</v>
      </c>
      <c r="E3086" t="str">
        <f>HYPERLINK("https://patents.google.com/patent/US7006901B2/en")</f>
        <v>https://patents.google.com/patent/US7006901B2/en</v>
      </c>
    </row>
    <row r="3087" spans="3:5" x14ac:dyDescent="0.25">
      <c r="C3087" t="s">
        <v>5146</v>
      </c>
      <c r="D3087" t="s">
        <v>5147</v>
      </c>
      <c r="E3087" t="str">
        <f>HYPERLINK("https://patents.google.com/patent/US3602717A/en")</f>
        <v>https://patents.google.com/patent/US3602717A/en</v>
      </c>
    </row>
    <row r="3088" spans="3:5" x14ac:dyDescent="0.25">
      <c r="C3088" t="s">
        <v>5148</v>
      </c>
      <c r="D3088" t="s">
        <v>5149</v>
      </c>
      <c r="E3088" t="str">
        <f>HYPERLINK("https://patents.google.com/patent/US2755999A/en")</f>
        <v>https://patents.google.com/patent/US2755999A/en</v>
      </c>
    </row>
    <row r="3089" spans="3:5" x14ac:dyDescent="0.25">
      <c r="C3089" t="s">
        <v>5150</v>
      </c>
      <c r="D3089" t="s">
        <v>5151</v>
      </c>
      <c r="E3089" t="str">
        <f>HYPERLINK("https://patents.google.com/patent/US3002383A/en")</f>
        <v>https://patents.google.com/patent/US3002383A/en</v>
      </c>
    </row>
    <row r="3090" spans="3:5" x14ac:dyDescent="0.25">
      <c r="C3090" t="s">
        <v>5152</v>
      </c>
      <c r="D3090" t="s">
        <v>5153</v>
      </c>
      <c r="E3090" t="str">
        <f>HYPERLINK("https://patents.google.com/patent/US3573784A/en")</f>
        <v>https://patents.google.com/patent/US3573784A/en</v>
      </c>
    </row>
    <row r="3091" spans="3:5" x14ac:dyDescent="0.25">
      <c r="C3091" t="s">
        <v>5154</v>
      </c>
      <c r="D3091" t="s">
        <v>5155</v>
      </c>
      <c r="E3091" t="str">
        <f>HYPERLINK("https://patents.google.com/patent/US6279394B1/en")</f>
        <v>https://patents.google.com/patent/US6279394B1/en</v>
      </c>
    </row>
    <row r="3092" spans="3:5" x14ac:dyDescent="0.25">
      <c r="C3092" t="s">
        <v>5156</v>
      </c>
      <c r="D3092" t="s">
        <v>5157</v>
      </c>
      <c r="E3092" t="str">
        <f>HYPERLINK("https://patents.google.com/patent/US6263675B1/en")</f>
        <v>https://patents.google.com/patent/US6263675B1/en</v>
      </c>
    </row>
    <row r="3093" spans="3:5" x14ac:dyDescent="0.25">
      <c r="C3093" t="s">
        <v>5158</v>
      </c>
      <c r="D3093" t="s">
        <v>5159</v>
      </c>
      <c r="E3093" t="str">
        <f>HYPERLINK("https://patents.google.com/patent/US2627660A/en")</f>
        <v>https://patents.google.com/patent/US2627660A/en</v>
      </c>
    </row>
    <row r="3094" spans="3:5" x14ac:dyDescent="0.25">
      <c r="C3094" t="s">
        <v>4791</v>
      </c>
      <c r="D3094" t="s">
        <v>5160</v>
      </c>
      <c r="E3094" t="str">
        <f>HYPERLINK("https://patents.google.com/patent/USRE38463E1/en")</f>
        <v>https://patents.google.com/patent/USRE38463E1/en</v>
      </c>
    </row>
    <row r="3095" spans="3:5" x14ac:dyDescent="0.25">
      <c r="C3095" t="s">
        <v>5161</v>
      </c>
      <c r="D3095" t="s">
        <v>5162</v>
      </c>
      <c r="E3095" t="str">
        <f>HYPERLINK("https://patents.google.com/patent/US2724022A/en")</f>
        <v>https://patents.google.com/patent/US2724022A/en</v>
      </c>
    </row>
    <row r="3096" spans="3:5" x14ac:dyDescent="0.25">
      <c r="C3096" t="s">
        <v>5163</v>
      </c>
      <c r="D3096" t="s">
        <v>5164</v>
      </c>
      <c r="E3096" t="str">
        <f>HYPERLINK("https://patents.google.com/patent/US7552350B2/en")</f>
        <v>https://patents.google.com/patent/US7552350B2/en</v>
      </c>
    </row>
    <row r="3097" spans="3:5" x14ac:dyDescent="0.25">
      <c r="C3097" t="s">
        <v>5165</v>
      </c>
      <c r="D3097" t="s">
        <v>5166</v>
      </c>
      <c r="E3097" t="str">
        <f>HYPERLINK("https://patents.google.com/patent/US3639974A/en")</f>
        <v>https://patents.google.com/patent/US3639974A/en</v>
      </c>
    </row>
    <row r="3098" spans="3:5" x14ac:dyDescent="0.25">
      <c r="C3098" t="s">
        <v>5167</v>
      </c>
      <c r="D3098" t="s">
        <v>5168</v>
      </c>
      <c r="E3098" t="str">
        <f>HYPERLINK("https://patents.google.com/patent/DE102011084236A1/en")</f>
        <v>https://patents.google.com/patent/DE102011084236A1/en</v>
      </c>
    </row>
    <row r="3099" spans="3:5" x14ac:dyDescent="0.25">
      <c r="C3099" t="s">
        <v>5169</v>
      </c>
      <c r="D3099" t="s">
        <v>5170</v>
      </c>
      <c r="E3099" t="str">
        <f>HYPERLINK("https://patents.google.com/patent/US20110073523A1/en")</f>
        <v>https://patents.google.com/patent/US20110073523A1/en</v>
      </c>
    </row>
    <row r="3100" spans="3:5" x14ac:dyDescent="0.25">
      <c r="C3100" t="s">
        <v>5171</v>
      </c>
      <c r="D3100" t="s">
        <v>5172</v>
      </c>
      <c r="E3100" t="str">
        <f>HYPERLINK("https://patents.google.com/patent/US20100286831A1/en")</f>
        <v>https://patents.google.com/patent/US20100286831A1/en</v>
      </c>
    </row>
    <row r="3101" spans="3:5" x14ac:dyDescent="0.25">
      <c r="C3101" t="s">
        <v>5173</v>
      </c>
      <c r="D3101" t="s">
        <v>5174</v>
      </c>
      <c r="E3101" t="str">
        <f>HYPERLINK("https://patents.google.com/patent/US2033146A/en")</f>
        <v>https://patents.google.com/patent/US2033146A/en</v>
      </c>
    </row>
    <row r="3102" spans="3:5" x14ac:dyDescent="0.25">
      <c r="C3102" t="s">
        <v>4920</v>
      </c>
      <c r="D3102" t="s">
        <v>5175</v>
      </c>
      <c r="E3102" t="str">
        <f>HYPERLINK("https://patents.google.com/patent/US2675510A/en")</f>
        <v>https://patents.google.com/patent/US2675510A/en</v>
      </c>
    </row>
    <row r="3103" spans="3:5" x14ac:dyDescent="0.25">
      <c r="C3103" t="s">
        <v>5176</v>
      </c>
      <c r="D3103" t="s">
        <v>5177</v>
      </c>
      <c r="E3103" t="str">
        <f>HYPERLINK("https://patents.google.com/patent/WO2013138380A2/en")</f>
        <v>https://patents.google.com/patent/WO2013138380A2/en</v>
      </c>
    </row>
    <row r="3104" spans="3:5" x14ac:dyDescent="0.25">
      <c r="C3104" t="s">
        <v>5178</v>
      </c>
      <c r="D3104" t="s">
        <v>5179</v>
      </c>
      <c r="E3104" t="str">
        <f>HYPERLINK("https://patents.google.com/patent/US2886755A/en")</f>
        <v>https://patents.google.com/patent/US2886755A/en</v>
      </c>
    </row>
    <row r="3105" spans="3:5" x14ac:dyDescent="0.25">
      <c r="C3105" t="s">
        <v>5180</v>
      </c>
      <c r="D3105" t="s">
        <v>5181</v>
      </c>
      <c r="E3105" t="str">
        <f>HYPERLINK("https://patents.google.com/patent/US20160229556A1/en")</f>
        <v>https://patents.google.com/patent/US20160229556A1/en</v>
      </c>
    </row>
    <row r="3106" spans="3:5" x14ac:dyDescent="0.25">
      <c r="C3106" t="s">
        <v>5182</v>
      </c>
      <c r="D3106" t="s">
        <v>5183</v>
      </c>
      <c r="E3106" t="str">
        <f>HYPERLINK("https://patents.google.com/patent/CN201172152Y/en")</f>
        <v>https://patents.google.com/patent/CN201172152Y/en</v>
      </c>
    </row>
    <row r="3107" spans="3:5" x14ac:dyDescent="0.25">
      <c r="C3107" t="s">
        <v>5184</v>
      </c>
      <c r="D3107" t="s">
        <v>5185</v>
      </c>
      <c r="E3107" t="str">
        <f>HYPERLINK("https://patents.google.com/patent/US20070112795A1/en")</f>
        <v>https://patents.google.com/patent/US20070112795A1/en</v>
      </c>
    </row>
    <row r="3108" spans="3:5" x14ac:dyDescent="0.25">
      <c r="C3108" t="s">
        <v>5186</v>
      </c>
      <c r="D3108" t="s">
        <v>5187</v>
      </c>
      <c r="E3108" t="str">
        <f>HYPERLINK("https://patents.google.com/patent/US5163824A/en")</f>
        <v>https://patents.google.com/patent/US5163824A/en</v>
      </c>
    </row>
    <row r="3109" spans="3:5" x14ac:dyDescent="0.25">
      <c r="C3109" t="s">
        <v>5188</v>
      </c>
      <c r="D3109" t="s">
        <v>5189</v>
      </c>
      <c r="E3109" t="str">
        <f>HYPERLINK("https://patents.google.com/patent/US7822967B2/en")</f>
        <v>https://patents.google.com/patent/US7822967B2/en</v>
      </c>
    </row>
    <row r="3110" spans="3:5" x14ac:dyDescent="0.25">
      <c r="C3110" t="s">
        <v>5190</v>
      </c>
      <c r="D3110" t="s">
        <v>5191</v>
      </c>
      <c r="E3110" t="str">
        <f>HYPERLINK("https://patents.google.com/patent/US20110234926A1/en")</f>
        <v>https://patents.google.com/patent/US20110234926A1/en</v>
      </c>
    </row>
    <row r="3111" spans="3:5" x14ac:dyDescent="0.25">
      <c r="C3111" t="s">
        <v>5192</v>
      </c>
      <c r="D3111" t="s">
        <v>5193</v>
      </c>
      <c r="E3111" t="str">
        <f>HYPERLINK("https://patents.google.com/patent/US20110231050A1/en")</f>
        <v>https://patents.google.com/patent/US20110231050A1/en</v>
      </c>
    </row>
    <row r="3112" spans="3:5" x14ac:dyDescent="0.25">
      <c r="C3112" t="s">
        <v>5194</v>
      </c>
      <c r="D3112" t="s">
        <v>5195</v>
      </c>
      <c r="E3112" t="str">
        <f>HYPERLINK("https://patents.google.com/patent/US2533722A/en")</f>
        <v>https://patents.google.com/patent/US2533722A/en</v>
      </c>
    </row>
    <row r="3113" spans="3:5" x14ac:dyDescent="0.25">
      <c r="C3113" t="s">
        <v>5196</v>
      </c>
      <c r="D3113" t="s">
        <v>5197</v>
      </c>
      <c r="E3113" t="str">
        <f>HYPERLINK("https://patents.google.com/patent/US1951035A/en")</f>
        <v>https://patents.google.com/patent/US1951035A/en</v>
      </c>
    </row>
    <row r="3114" spans="3:5" x14ac:dyDescent="0.25">
      <c r="C3114" t="s">
        <v>5198</v>
      </c>
      <c r="D3114" t="s">
        <v>5199</v>
      </c>
      <c r="E3114" t="str">
        <f>HYPERLINK("https://patents.google.com/patent/US20080050292A1/en")</f>
        <v>https://patents.google.com/patent/US20080050292A1/en</v>
      </c>
    </row>
    <row r="3115" spans="3:5" x14ac:dyDescent="0.25">
      <c r="C3115" t="s">
        <v>5200</v>
      </c>
      <c r="D3115" t="s">
        <v>5201</v>
      </c>
      <c r="E3115" t="str">
        <f>HYPERLINK("https://patents.google.com/patent/US20020121394A1/en")</f>
        <v>https://patents.google.com/patent/US20020121394A1/en</v>
      </c>
    </row>
    <row r="3116" spans="3:5" x14ac:dyDescent="0.25">
      <c r="C3116" t="s">
        <v>5202</v>
      </c>
      <c r="D3116" t="s">
        <v>5203</v>
      </c>
      <c r="E3116" t="str">
        <f>HYPERLINK("https://patents.google.com/patent/CN101979853A/en")</f>
        <v>https://patents.google.com/patent/CN101979853A/en</v>
      </c>
    </row>
    <row r="3117" spans="3:5" x14ac:dyDescent="0.25">
      <c r="C3117" t="s">
        <v>5204</v>
      </c>
      <c r="D3117" t="s">
        <v>5205</v>
      </c>
      <c r="E3117" t="str">
        <f>HYPERLINK("https://patents.google.com/patent/CN103568325A/en")</f>
        <v>https://patents.google.com/patent/CN103568325A/en</v>
      </c>
    </row>
    <row r="3118" spans="3:5" x14ac:dyDescent="0.25">
      <c r="C3118" t="s">
        <v>5206</v>
      </c>
      <c r="D3118" t="s">
        <v>5207</v>
      </c>
      <c r="E3118" t="str">
        <f>HYPERLINK("https://patents.google.com/patent/CN104859773A/en")</f>
        <v>https://patents.google.com/patent/CN104859773A/en</v>
      </c>
    </row>
    <row r="3119" spans="3:5" x14ac:dyDescent="0.25">
      <c r="C3119" t="s">
        <v>5208</v>
      </c>
      <c r="D3119" t="s">
        <v>5209</v>
      </c>
      <c r="E3119" t="str">
        <f>HYPERLINK("https://patents.google.com/patent/US20130320772A1/en")</f>
        <v>https://patents.google.com/patent/US20130320772A1/en</v>
      </c>
    </row>
    <row r="3120" spans="3:5" x14ac:dyDescent="0.25">
      <c r="C3120" t="s">
        <v>5210</v>
      </c>
      <c r="D3120" t="s">
        <v>5211</v>
      </c>
      <c r="E3120" t="str">
        <f>HYPERLINK("https://patents.google.com/patent/US8700250B1/en")</f>
        <v>https://patents.google.com/patent/US8700250B1/en</v>
      </c>
    </row>
    <row r="3121" spans="3:5" x14ac:dyDescent="0.25">
      <c r="C3121" t="s">
        <v>5212</v>
      </c>
      <c r="D3121" t="s">
        <v>5213</v>
      </c>
      <c r="E3121" t="str">
        <f>HYPERLINK("https://patents.google.com/patent/US2756973A/en")</f>
        <v>https://patents.google.com/patent/US2756973A/en</v>
      </c>
    </row>
    <row r="3122" spans="3:5" x14ac:dyDescent="0.25">
      <c r="C3122" t="s">
        <v>5214</v>
      </c>
      <c r="D3122" t="s">
        <v>5215</v>
      </c>
      <c r="E3122" t="str">
        <f>HYPERLINK("https://patents.google.com/patent/US2625822A/en")</f>
        <v>https://patents.google.com/patent/US2625822A/en</v>
      </c>
    </row>
    <row r="3123" spans="3:5" x14ac:dyDescent="0.25">
      <c r="C3123" t="s">
        <v>5216</v>
      </c>
      <c r="D3123" t="s">
        <v>5217</v>
      </c>
      <c r="E3123" t="str">
        <f>HYPERLINK("https://patents.google.com/patent/US2999668A/en")</f>
        <v>https://patents.google.com/patent/US2999668A/en</v>
      </c>
    </row>
    <row r="3124" spans="3:5" x14ac:dyDescent="0.25">
      <c r="C3124" t="s">
        <v>5218</v>
      </c>
      <c r="D3124" t="s">
        <v>5219</v>
      </c>
      <c r="E3124" t="str">
        <f>HYPERLINK("https://patents.google.com/patent/US8191920B2/en")</f>
        <v>https://patents.google.com/patent/US8191920B2/en</v>
      </c>
    </row>
    <row r="3125" spans="3:5" x14ac:dyDescent="0.25">
      <c r="C3125" t="s">
        <v>5220</v>
      </c>
      <c r="D3125" t="s">
        <v>5221</v>
      </c>
      <c r="E3125" t="str">
        <f>HYPERLINK("https://patents.google.com/patent/US3785086A/en")</f>
        <v>https://patents.google.com/patent/US3785086A/en</v>
      </c>
    </row>
    <row r="3126" spans="3:5" x14ac:dyDescent="0.25">
      <c r="C3126" t="s">
        <v>5222</v>
      </c>
      <c r="D3126" t="s">
        <v>5223</v>
      </c>
      <c r="E3126" t="str">
        <f>HYPERLINK("https://patents.google.com/patent/US4190799A/en")</f>
        <v>https://patents.google.com/patent/US4190799A/en</v>
      </c>
    </row>
    <row r="3127" spans="3:5" x14ac:dyDescent="0.25">
      <c r="C3127" t="s">
        <v>5224</v>
      </c>
      <c r="D3127" t="s">
        <v>5225</v>
      </c>
      <c r="E3127" t="str">
        <f>HYPERLINK("https://patents.google.com/patent/US2768359A/en")</f>
        <v>https://patents.google.com/patent/US2768359A/en</v>
      </c>
    </row>
    <row r="3128" spans="3:5" x14ac:dyDescent="0.25">
      <c r="C3128" t="s">
        <v>5226</v>
      </c>
      <c r="D3128" t="s">
        <v>5227</v>
      </c>
      <c r="E3128" t="str">
        <f>HYPERLINK("https://patents.google.com/patent/US2381823A/en")</f>
        <v>https://patents.google.com/patent/US2381823A/en</v>
      </c>
    </row>
    <row r="3129" spans="3:5" x14ac:dyDescent="0.25">
      <c r="C3129" t="s">
        <v>5228</v>
      </c>
      <c r="D3129" t="s">
        <v>5229</v>
      </c>
      <c r="E3129" t="str">
        <f>HYPERLINK("https://patents.google.com/patent/US7306741B2/en")</f>
        <v>https://patents.google.com/patent/US7306741B2/en</v>
      </c>
    </row>
    <row r="3130" spans="3:5" x14ac:dyDescent="0.25">
      <c r="C3130" t="s">
        <v>5230</v>
      </c>
      <c r="D3130" t="s">
        <v>5231</v>
      </c>
      <c r="E3130" t="str">
        <f>HYPERLINK("https://patents.google.com/patent/US3093382A/en")</f>
        <v>https://patents.google.com/patent/US3093382A/en</v>
      </c>
    </row>
    <row r="3131" spans="3:5" x14ac:dyDescent="0.25">
      <c r="C3131" t="s">
        <v>5232</v>
      </c>
      <c r="D3131" t="s">
        <v>5233</v>
      </c>
      <c r="E3131" t="str">
        <f>HYPERLINK("https://patents.google.com/patent/US3588496A/en")</f>
        <v>https://patents.google.com/patent/US3588496A/en</v>
      </c>
    </row>
    <row r="3132" spans="3:5" x14ac:dyDescent="0.25">
      <c r="C3132" t="s">
        <v>5234</v>
      </c>
      <c r="D3132" t="s">
        <v>5235</v>
      </c>
      <c r="E3132" t="str">
        <f>HYPERLINK("https://patents.google.com/patent/US2498420A/en")</f>
        <v>https://patents.google.com/patent/US2498420A/en</v>
      </c>
    </row>
    <row r="3133" spans="3:5" x14ac:dyDescent="0.25">
      <c r="C3133" t="s">
        <v>5236</v>
      </c>
      <c r="D3133" t="s">
        <v>5237</v>
      </c>
      <c r="E3133" t="str">
        <f>HYPERLINK("https://patents.google.com/patent/US6829834B1/en")</f>
        <v>https://patents.google.com/patent/US6829834B1/en</v>
      </c>
    </row>
    <row r="3134" spans="3:5" x14ac:dyDescent="0.25">
      <c r="C3134" t="s">
        <v>5238</v>
      </c>
      <c r="D3134" t="s">
        <v>5239</v>
      </c>
      <c r="E3134" t="str">
        <f>HYPERLINK("https://patents.google.com/patent/US4491772A/en")</f>
        <v>https://patents.google.com/patent/US4491772A/en</v>
      </c>
    </row>
    <row r="3135" spans="3:5" x14ac:dyDescent="0.25">
      <c r="C3135" t="s">
        <v>5240</v>
      </c>
      <c r="D3135" t="s">
        <v>5241</v>
      </c>
      <c r="E3135" t="str">
        <f>HYPERLINK("https://patents.google.com/patent/US20070253842A1/en")</f>
        <v>https://patents.google.com/patent/US20070253842A1/en</v>
      </c>
    </row>
    <row r="3136" spans="3:5" x14ac:dyDescent="0.25">
      <c r="C3136" t="s">
        <v>5242</v>
      </c>
      <c r="D3136" t="s">
        <v>5243</v>
      </c>
      <c r="E3136" t="str">
        <f>HYPERLINK("https://patents.google.com/patent/US20090144568A1/en")</f>
        <v>https://patents.google.com/patent/US20090144568A1/en</v>
      </c>
    </row>
    <row r="3137" spans="3:5" x14ac:dyDescent="0.25">
      <c r="C3137" t="s">
        <v>5244</v>
      </c>
      <c r="D3137" t="s">
        <v>5245</v>
      </c>
      <c r="E3137" t="str">
        <f>HYPERLINK("https://patents.google.com/patent/US20050125793A1/en")</f>
        <v>https://patents.google.com/patent/US20050125793A1/en</v>
      </c>
    </row>
    <row r="3138" spans="3:5" x14ac:dyDescent="0.25">
      <c r="C3138" t="s">
        <v>5246</v>
      </c>
      <c r="D3138" t="s">
        <v>5247</v>
      </c>
      <c r="E3138" t="str">
        <f>HYPERLINK("https://patents.google.com/patent/US7775763B1/en")</f>
        <v>https://patents.google.com/patent/US7775763B1/en</v>
      </c>
    </row>
    <row r="3139" spans="3:5" x14ac:dyDescent="0.25">
      <c r="C3139" t="s">
        <v>5248</v>
      </c>
      <c r="D3139" t="s">
        <v>5249</v>
      </c>
      <c r="E3139" t="str">
        <f>HYPERLINK("https://patents.google.com/patent/US4158818A/en")</f>
        <v>https://patents.google.com/patent/US4158818A/en</v>
      </c>
    </row>
    <row r="3140" spans="3:5" x14ac:dyDescent="0.25">
      <c r="C3140" t="s">
        <v>5250</v>
      </c>
      <c r="D3140" t="s">
        <v>5251</v>
      </c>
      <c r="E3140" t="str">
        <f>HYPERLINK("https://patents.google.com/patent/US2905520A/en")</f>
        <v>https://patents.google.com/patent/US2905520A/en</v>
      </c>
    </row>
    <row r="3141" spans="3:5" x14ac:dyDescent="0.25">
      <c r="C3141" t="s">
        <v>5252</v>
      </c>
      <c r="D3141" t="s">
        <v>5253</v>
      </c>
      <c r="E3141" t="str">
        <f>HYPERLINK("https://patents.google.com/patent/CN104808680A/en")</f>
        <v>https://patents.google.com/patent/CN104808680A/en</v>
      </c>
    </row>
    <row r="3142" spans="3:5" x14ac:dyDescent="0.25">
      <c r="C3142" t="s">
        <v>5254</v>
      </c>
      <c r="D3142" t="s">
        <v>5255</v>
      </c>
      <c r="E3142" t="str">
        <f>HYPERLINK("https://patents.google.com/patent/US4062057A/en")</f>
        <v>https://patents.google.com/patent/US4062057A/en</v>
      </c>
    </row>
    <row r="3143" spans="3:5" x14ac:dyDescent="0.25">
      <c r="C3143" t="s">
        <v>5256</v>
      </c>
      <c r="D3143" t="s">
        <v>5257</v>
      </c>
      <c r="E3143" t="str">
        <f>HYPERLINK("https://patents.google.com/patent/US4344631A/en")</f>
        <v>https://patents.google.com/patent/US4344631A/en</v>
      </c>
    </row>
    <row r="3144" spans="3:5" x14ac:dyDescent="0.25">
      <c r="C3144" t="s">
        <v>5258</v>
      </c>
      <c r="D3144" t="s">
        <v>5259</v>
      </c>
      <c r="E3144" t="str">
        <f>HYPERLINK("https://patents.google.com/patent/US20120224293A1/en")</f>
        <v>https://patents.google.com/patent/US20120224293A1/en</v>
      </c>
    </row>
    <row r="3145" spans="3:5" x14ac:dyDescent="0.25">
      <c r="C3145" t="s">
        <v>4848</v>
      </c>
      <c r="D3145" t="s">
        <v>5260</v>
      </c>
      <c r="E3145" t="str">
        <f>HYPERLINK("https://patents.google.com/patent/EP0385286A2/en")</f>
        <v>https://patents.google.com/patent/EP0385286A2/en</v>
      </c>
    </row>
    <row r="3146" spans="3:5" x14ac:dyDescent="0.25">
      <c r="C3146" t="s">
        <v>5261</v>
      </c>
      <c r="D3146" t="s">
        <v>5262</v>
      </c>
      <c r="E3146" t="str">
        <f>HYPERLINK("https://patents.google.com/patent/US20120110055A1/en")</f>
        <v>https://patents.google.com/patent/US20120110055A1/en</v>
      </c>
    </row>
    <row r="3147" spans="3:5" x14ac:dyDescent="0.25">
      <c r="C3147" t="s">
        <v>5263</v>
      </c>
      <c r="D3147" t="s">
        <v>5264</v>
      </c>
      <c r="E3147" t="str">
        <f>HYPERLINK("https://patents.google.com/patent/US3905597A/en")</f>
        <v>https://patents.google.com/patent/US3905597A/en</v>
      </c>
    </row>
    <row r="3148" spans="3:5" x14ac:dyDescent="0.25">
      <c r="C3148" t="s">
        <v>5265</v>
      </c>
      <c r="D3148" t="s">
        <v>5266</v>
      </c>
      <c r="E3148" t="str">
        <f>HYPERLINK("https://patents.google.com/patent/US20060248360A1/en")</f>
        <v>https://patents.google.com/patent/US20060248360A1/en</v>
      </c>
    </row>
    <row r="3149" spans="3:5" x14ac:dyDescent="0.25">
      <c r="C3149" t="s">
        <v>5267</v>
      </c>
      <c r="D3149" t="s">
        <v>5268</v>
      </c>
      <c r="E3149" t="str">
        <f>HYPERLINK("https://patents.google.com/patent/US3360799A/en")</f>
        <v>https://patents.google.com/patent/US3360799A/en</v>
      </c>
    </row>
    <row r="3150" spans="3:5" x14ac:dyDescent="0.25">
      <c r="C3150" t="s">
        <v>5269</v>
      </c>
      <c r="D3150" t="s">
        <v>5270</v>
      </c>
      <c r="E3150" t="str">
        <f>HYPERLINK("https://patents.google.com/patent/US2637619A/en")</f>
        <v>https://patents.google.com/patent/US2637619A/en</v>
      </c>
    </row>
    <row r="3151" spans="3:5" x14ac:dyDescent="0.25">
      <c r="C3151" t="s">
        <v>5271</v>
      </c>
      <c r="D3151" t="s">
        <v>5272</v>
      </c>
      <c r="E3151" t="str">
        <f>HYPERLINK("https://patents.google.com/patent/US3138025A/en")</f>
        <v>https://patents.google.com/patent/US3138025A/en</v>
      </c>
    </row>
    <row r="3152" spans="3:5" x14ac:dyDescent="0.25">
      <c r="C3152" t="s">
        <v>5273</v>
      </c>
      <c r="D3152" t="s">
        <v>5274</v>
      </c>
      <c r="E3152" t="str">
        <f>HYPERLINK("https://patents.google.com/patent/US20120029369A1/en")</f>
        <v>https://patents.google.com/patent/US20120029369A1/en</v>
      </c>
    </row>
    <row r="3153" spans="3:5" x14ac:dyDescent="0.25">
      <c r="C3153" t="s">
        <v>5275</v>
      </c>
      <c r="D3153" t="s">
        <v>5276</v>
      </c>
      <c r="E3153" t="str">
        <f>HYPERLINK("https://patents.google.com/patent/CN101886831A/en")</f>
        <v>https://patents.google.com/patent/CN101886831A/en</v>
      </c>
    </row>
    <row r="3154" spans="3:5" x14ac:dyDescent="0.25">
      <c r="C3154" t="s">
        <v>5277</v>
      </c>
      <c r="D3154" t="s">
        <v>5278</v>
      </c>
      <c r="E3154" t="str">
        <f>HYPERLINK("https://patents.google.com/patent/WO1995034459A1/en")</f>
        <v>https://patents.google.com/patent/WO1995034459A1/en</v>
      </c>
    </row>
    <row r="3155" spans="3:5" x14ac:dyDescent="0.25">
      <c r="C3155" t="s">
        <v>5279</v>
      </c>
      <c r="D3155" t="s">
        <v>5280</v>
      </c>
      <c r="E3155" t="str">
        <f>HYPERLINK("https://patents.google.com/patent/US2272914A/en")</f>
        <v>https://patents.google.com/patent/US2272914A/en</v>
      </c>
    </row>
    <row r="3156" spans="3:5" x14ac:dyDescent="0.25">
      <c r="C3156" t="s">
        <v>5281</v>
      </c>
      <c r="D3156" t="s">
        <v>5282</v>
      </c>
      <c r="E3156" t="str">
        <f>HYPERLINK("https://patents.google.com/patent/US3926056A/en")</f>
        <v>https://patents.google.com/patent/US3926056A/en</v>
      </c>
    </row>
    <row r="3157" spans="3:5" x14ac:dyDescent="0.25">
      <c r="C3157" t="s">
        <v>5283</v>
      </c>
      <c r="D3157" t="s">
        <v>5284</v>
      </c>
      <c r="E3157" t="str">
        <f>HYPERLINK("https://patents.google.com/patent/US2416852A/en")</f>
        <v>https://patents.google.com/patent/US2416852A/en</v>
      </c>
    </row>
    <row r="3158" spans="3:5" x14ac:dyDescent="0.25">
      <c r="C3158" t="s">
        <v>5285</v>
      </c>
      <c r="D3158" t="s">
        <v>5286</v>
      </c>
      <c r="E3158" t="str">
        <f>HYPERLINK("https://patents.google.com/patent/US3572596A/en")</f>
        <v>https://patents.google.com/patent/US3572596A/en</v>
      </c>
    </row>
    <row r="3159" spans="3:5" x14ac:dyDescent="0.25">
      <c r="C3159" t="s">
        <v>5287</v>
      </c>
      <c r="D3159" t="s">
        <v>5288</v>
      </c>
      <c r="E3159" t="str">
        <f>HYPERLINK("https://patents.google.com/patent/US2954969A/en")</f>
        <v>https://patents.google.com/patent/US2954969A/en</v>
      </c>
    </row>
    <row r="3160" spans="3:5" x14ac:dyDescent="0.25">
      <c r="C3160" t="s">
        <v>5289</v>
      </c>
      <c r="D3160" t="s">
        <v>5290</v>
      </c>
      <c r="E3160" t="str">
        <f>HYPERLINK("https://patents.google.com/patent/CN101615853A/en")</f>
        <v>https://patents.google.com/patent/CN101615853A/en</v>
      </c>
    </row>
    <row r="3161" spans="3:5" x14ac:dyDescent="0.25">
      <c r="C3161" t="s">
        <v>5291</v>
      </c>
      <c r="D3161" t="s">
        <v>5292</v>
      </c>
      <c r="E3161" t="str">
        <f>HYPERLINK("https://patents.google.com/patent/US3154009A/en")</f>
        <v>https://patents.google.com/patent/US3154009A/en</v>
      </c>
    </row>
    <row r="3162" spans="3:5" x14ac:dyDescent="0.25">
      <c r="C3162" t="s">
        <v>5293</v>
      </c>
      <c r="D3162" t="s">
        <v>5294</v>
      </c>
      <c r="E3162" t="str">
        <f>HYPERLINK("https://patents.google.com/patent/US5953924A/en")</f>
        <v>https://patents.google.com/patent/US5953924A/en</v>
      </c>
    </row>
    <row r="3163" spans="3:5" x14ac:dyDescent="0.25">
      <c r="C3163" t="s">
        <v>5295</v>
      </c>
      <c r="D3163" t="s">
        <v>5296</v>
      </c>
      <c r="E3163" t="str">
        <f>HYPERLINK("https://patents.google.com/patent/GB2403372A/en")</f>
        <v>https://patents.google.com/patent/GB2403372A/en</v>
      </c>
    </row>
    <row r="3164" spans="3:5" x14ac:dyDescent="0.25">
      <c r="C3164" t="s">
        <v>5297</v>
      </c>
      <c r="D3164" t="s">
        <v>5298</v>
      </c>
      <c r="E3164" t="str">
        <f>HYPERLINK("https://patents.google.com/patent/US20090189083A1/en")</f>
        <v>https://patents.google.com/patent/US20090189083A1/en</v>
      </c>
    </row>
    <row r="3165" spans="3:5" x14ac:dyDescent="0.25">
      <c r="C3165" t="s">
        <v>5299</v>
      </c>
      <c r="D3165" t="s">
        <v>5300</v>
      </c>
      <c r="E3165" t="str">
        <f>HYPERLINK("https://patents.google.com/patent/US20110146601A1/en")</f>
        <v>https://patents.google.com/patent/US20110146601A1/en</v>
      </c>
    </row>
    <row r="3166" spans="3:5" x14ac:dyDescent="0.25">
      <c r="C3166" t="s">
        <v>5301</v>
      </c>
      <c r="D3166" t="s">
        <v>5302</v>
      </c>
      <c r="E3166" t="str">
        <f>HYPERLINK("https://patents.google.com/patent/US3379884A/en")</f>
        <v>https://patents.google.com/patent/US3379884A/en</v>
      </c>
    </row>
    <row r="3167" spans="3:5" x14ac:dyDescent="0.25">
      <c r="C3167" t="s">
        <v>5303</v>
      </c>
      <c r="D3167" t="s">
        <v>5304</v>
      </c>
      <c r="E3167" t="str">
        <f>HYPERLINK("https://patents.google.com/patent/US2368701A/en")</f>
        <v>https://patents.google.com/patent/US2368701A/en</v>
      </c>
    </row>
    <row r="3168" spans="3:5" x14ac:dyDescent="0.25">
      <c r="C3168" t="s">
        <v>5305</v>
      </c>
      <c r="D3168" t="s">
        <v>5306</v>
      </c>
      <c r="E3168" t="str">
        <f>HYPERLINK("https://patents.google.com/patent/CN103090396A/en")</f>
        <v>https://patents.google.com/patent/CN103090396A/en</v>
      </c>
    </row>
    <row r="3169" spans="3:5" x14ac:dyDescent="0.25">
      <c r="C3169" t="s">
        <v>5307</v>
      </c>
      <c r="D3169" t="s">
        <v>5308</v>
      </c>
      <c r="E3169" t="str">
        <f>HYPERLINK("https://patents.google.com/patent/US20040188060A1/en")</f>
        <v>https://patents.google.com/patent/US20040188060A1/en</v>
      </c>
    </row>
    <row r="3170" spans="3:5" x14ac:dyDescent="0.25">
      <c r="C3170" t="s">
        <v>5309</v>
      </c>
      <c r="D3170" t="s">
        <v>5310</v>
      </c>
      <c r="E3170" t="str">
        <f>HYPERLINK("https://patents.google.com/patent/EP0903835A1/en")</f>
        <v>https://patents.google.com/patent/EP0903835A1/en</v>
      </c>
    </row>
    <row r="3171" spans="3:5" x14ac:dyDescent="0.25">
      <c r="C3171" t="s">
        <v>5311</v>
      </c>
      <c r="D3171" t="s">
        <v>5312</v>
      </c>
      <c r="E3171" t="str">
        <f>HYPERLINK("https://patents.google.com/patent/US20110045958A1/en")</f>
        <v>https://patents.google.com/patent/US20110045958A1/en</v>
      </c>
    </row>
    <row r="3172" spans="3:5" x14ac:dyDescent="0.25">
      <c r="C3172" t="s">
        <v>5313</v>
      </c>
      <c r="D3172" t="s">
        <v>5314</v>
      </c>
      <c r="E3172" t="str">
        <f>HYPERLINK("https://patents.google.com/patent/US5953939A/en")</f>
        <v>https://patents.google.com/patent/US5953939A/en</v>
      </c>
    </row>
    <row r="3173" spans="3:5" x14ac:dyDescent="0.25">
      <c r="C3173" t="s">
        <v>5315</v>
      </c>
      <c r="D3173" t="s">
        <v>5316</v>
      </c>
      <c r="E3173" t="str">
        <f>HYPERLINK("https://patents.google.com/patent/US4732318A/en")</f>
        <v>https://patents.google.com/patent/US4732318A/en</v>
      </c>
    </row>
    <row r="3174" spans="3:5" x14ac:dyDescent="0.25">
      <c r="C3174" t="s">
        <v>5317</v>
      </c>
      <c r="D3174" t="s">
        <v>5318</v>
      </c>
      <c r="E3174" t="str">
        <f>HYPERLINK("https://patents.google.com/patent/US1993527A/en")</f>
        <v>https://patents.google.com/patent/US1993527A/en</v>
      </c>
    </row>
    <row r="3175" spans="3:5" x14ac:dyDescent="0.25">
      <c r="C3175" t="s">
        <v>5319</v>
      </c>
      <c r="D3175" t="s">
        <v>5320</v>
      </c>
      <c r="E3175" t="str">
        <f>HYPERLINK("https://patents.google.com/patent/CN101556038A/en")</f>
        <v>https://patents.google.com/patent/CN101556038A/en</v>
      </c>
    </row>
    <row r="3176" spans="3:5" x14ac:dyDescent="0.25">
      <c r="C3176" t="s">
        <v>5321</v>
      </c>
      <c r="D3176" t="s">
        <v>5322</v>
      </c>
      <c r="E3176" t="str">
        <f>HYPERLINK("https://patents.google.com/patent/US3002712A/en")</f>
        <v>https://patents.google.com/patent/US3002712A/en</v>
      </c>
    </row>
    <row r="3177" spans="3:5" x14ac:dyDescent="0.25">
      <c r="C3177" t="s">
        <v>5323</v>
      </c>
      <c r="D3177" t="s">
        <v>5324</v>
      </c>
      <c r="E3177" t="str">
        <f>HYPERLINK("https://patents.google.com/patent/US2426711A/en")</f>
        <v>https://patents.google.com/patent/US2426711A/en</v>
      </c>
    </row>
    <row r="3178" spans="3:5" x14ac:dyDescent="0.25">
      <c r="C3178" t="s">
        <v>5325</v>
      </c>
      <c r="D3178" t="s">
        <v>5326</v>
      </c>
      <c r="E3178" t="str">
        <f>HYPERLINK("https://patents.google.com/patent/US20080271938A1/en")</f>
        <v>https://patents.google.com/patent/US20080271938A1/en</v>
      </c>
    </row>
    <row r="3179" spans="3:5" x14ac:dyDescent="0.25">
      <c r="C3179" t="s">
        <v>5327</v>
      </c>
      <c r="D3179" t="s">
        <v>5328</v>
      </c>
      <c r="E3179" t="str">
        <f>HYPERLINK("https://patents.google.com/patent/US20100235409A1/en")</f>
        <v>https://patents.google.com/patent/US20100235409A1/en</v>
      </c>
    </row>
    <row r="3180" spans="3:5" x14ac:dyDescent="0.25">
      <c r="C3180" t="s">
        <v>5329</v>
      </c>
      <c r="D3180" t="s">
        <v>5330</v>
      </c>
      <c r="E3180" t="str">
        <f>HYPERLINK("https://patents.google.com/patent/US3493954A/en")</f>
        <v>https://patents.google.com/patent/US3493954A/en</v>
      </c>
    </row>
    <row r="3181" spans="3:5" x14ac:dyDescent="0.25">
      <c r="C3181" t="s">
        <v>5331</v>
      </c>
      <c r="D3181" t="s">
        <v>5332</v>
      </c>
      <c r="E3181" t="str">
        <f>HYPERLINK("https://patents.google.com/patent/US3401065A/en")</f>
        <v>https://patents.google.com/patent/US3401065A/en</v>
      </c>
    </row>
    <row r="3182" spans="3:5" x14ac:dyDescent="0.25">
      <c r="C3182" t="s">
        <v>5333</v>
      </c>
      <c r="D3182" t="s">
        <v>5334</v>
      </c>
      <c r="E3182" t="str">
        <f>HYPERLINK("https://patents.google.com/patent/US2582400A/en")</f>
        <v>https://patents.google.com/patent/US2582400A/en</v>
      </c>
    </row>
    <row r="3183" spans="3:5" x14ac:dyDescent="0.25">
      <c r="C3183" t="s">
        <v>5335</v>
      </c>
      <c r="D3183" t="s">
        <v>5336</v>
      </c>
      <c r="E3183" t="str">
        <f>HYPERLINK("https://patents.google.com/patent/US2908888A/en")</f>
        <v>https://patents.google.com/patent/US2908888A/en</v>
      </c>
    </row>
    <row r="3184" spans="3:5" x14ac:dyDescent="0.25">
      <c r="C3184" t="s">
        <v>5337</v>
      </c>
      <c r="D3184" t="s">
        <v>5338</v>
      </c>
      <c r="E3184" t="str">
        <f>HYPERLINK("https://patents.google.com/patent/US3184730A/en")</f>
        <v>https://patents.google.com/patent/US3184730A/en</v>
      </c>
    </row>
    <row r="3185" spans="3:5" x14ac:dyDescent="0.25">
      <c r="C3185" t="s">
        <v>5240</v>
      </c>
      <c r="D3185" t="s">
        <v>5339</v>
      </c>
      <c r="E3185" t="str">
        <f>HYPERLINK("https://patents.google.com/patent/US20100168848A1/en")</f>
        <v>https://patents.google.com/patent/US20100168848A1/en</v>
      </c>
    </row>
    <row r="3186" spans="3:5" x14ac:dyDescent="0.25">
      <c r="C3186" t="s">
        <v>5340</v>
      </c>
      <c r="D3186" t="s">
        <v>5341</v>
      </c>
      <c r="E3186" t="str">
        <f>HYPERLINK("https://patents.google.com/patent/US1981631A/en")</f>
        <v>https://patents.google.com/patent/US1981631A/en</v>
      </c>
    </row>
    <row r="3187" spans="3:5" x14ac:dyDescent="0.25">
      <c r="C3187" t="s">
        <v>5342</v>
      </c>
      <c r="D3187" t="s">
        <v>5343</v>
      </c>
      <c r="E3187" t="str">
        <f>HYPERLINK("https://patents.google.com/patent/CN102561213A/en")</f>
        <v>https://patents.google.com/patent/CN102561213A/en</v>
      </c>
    </row>
    <row r="3188" spans="3:5" x14ac:dyDescent="0.25">
      <c r="C3188" t="s">
        <v>5344</v>
      </c>
      <c r="D3188" t="s">
        <v>5345</v>
      </c>
      <c r="E3188" t="str">
        <f>HYPERLINK("https://patents.google.com/patent/US20110173913A1/en")</f>
        <v>https://patents.google.com/patent/US20110173913A1/en</v>
      </c>
    </row>
    <row r="3189" spans="3:5" x14ac:dyDescent="0.25">
      <c r="C3189" t="s">
        <v>4912</v>
      </c>
      <c r="D3189" t="s">
        <v>5346</v>
      </c>
      <c r="E3189" t="str">
        <f>HYPERLINK("https://patents.google.com/patent/US2385481A/en")</f>
        <v>https://patents.google.com/patent/US2385481A/en</v>
      </c>
    </row>
    <row r="3190" spans="3:5" x14ac:dyDescent="0.25">
      <c r="C3190" t="s">
        <v>5347</v>
      </c>
      <c r="D3190" t="s">
        <v>5348</v>
      </c>
      <c r="E3190" t="str">
        <f>HYPERLINK("https://patents.google.com/patent/US3021082A/en")</f>
        <v>https://patents.google.com/patent/US3021082A/en</v>
      </c>
    </row>
    <row r="3191" spans="3:5" x14ac:dyDescent="0.25">
      <c r="C3191" t="s">
        <v>5349</v>
      </c>
      <c r="D3191" t="s">
        <v>5350</v>
      </c>
      <c r="E3191" t="str">
        <f>HYPERLINK("https://patents.google.com/patent/US20050206090A1/en")</f>
        <v>https://patents.google.com/patent/US20050206090A1/en</v>
      </c>
    </row>
    <row r="3192" spans="3:5" x14ac:dyDescent="0.25">
      <c r="C3192" t="s">
        <v>5351</v>
      </c>
      <c r="D3192" t="s">
        <v>5352</v>
      </c>
      <c r="E3192" t="str">
        <f>HYPERLINK("https://patents.google.com/patent/US3815009A/en")</f>
        <v>https://patents.google.com/patent/US3815009A/en</v>
      </c>
    </row>
    <row r="3193" spans="3:5" x14ac:dyDescent="0.25">
      <c r="C3193" t="s">
        <v>5353</v>
      </c>
      <c r="D3193" t="s">
        <v>5354</v>
      </c>
      <c r="E3193" t="str">
        <f>HYPERLINK("https://patents.google.com/patent/US1937491A/en")</f>
        <v>https://patents.google.com/patent/US1937491A/en</v>
      </c>
    </row>
    <row r="3194" spans="3:5" x14ac:dyDescent="0.25">
      <c r="C3194" t="s">
        <v>5355</v>
      </c>
      <c r="D3194" t="s">
        <v>5356</v>
      </c>
      <c r="E3194" t="str">
        <f>HYPERLINK("https://patents.google.com/patent/JP2007227342A/en")</f>
        <v>https://patents.google.com/patent/JP2007227342A/en</v>
      </c>
    </row>
    <row r="3195" spans="3:5" x14ac:dyDescent="0.25">
      <c r="C3195" t="s">
        <v>5357</v>
      </c>
      <c r="D3195" t="s">
        <v>5358</v>
      </c>
      <c r="E3195" t="str">
        <f>HYPERLINK("https://patents.google.com/patent/CN101117790A/en")</f>
        <v>https://patents.google.com/patent/CN101117790A/en</v>
      </c>
    </row>
    <row r="3196" spans="3:5" x14ac:dyDescent="0.25">
      <c r="C3196" t="s">
        <v>5359</v>
      </c>
      <c r="D3196" t="s">
        <v>5360</v>
      </c>
      <c r="E3196" t="str">
        <f>HYPERLINK("https://patents.google.com/patent/US20150012111A1/en")</f>
        <v>https://patents.google.com/patent/US20150012111A1/en</v>
      </c>
    </row>
    <row r="3197" spans="3:5" x14ac:dyDescent="0.25">
      <c r="C3197" t="s">
        <v>5361</v>
      </c>
      <c r="D3197" t="s">
        <v>5362</v>
      </c>
      <c r="E3197" t="str">
        <f>HYPERLINK("https://patents.google.com/patent/US4385770A/en")</f>
        <v>https://patents.google.com/patent/US4385770A/en</v>
      </c>
    </row>
    <row r="3198" spans="3:5" x14ac:dyDescent="0.25">
      <c r="C3198" t="s">
        <v>5363</v>
      </c>
      <c r="D3198" t="s">
        <v>5364</v>
      </c>
      <c r="E3198" t="str">
        <f>HYPERLINK("https://patents.google.com/patent/US20140029196A1/en")</f>
        <v>https://patents.google.com/patent/US20140029196A1/en</v>
      </c>
    </row>
    <row r="3199" spans="3:5" x14ac:dyDescent="0.25">
      <c r="C3199" t="s">
        <v>5365</v>
      </c>
      <c r="D3199" t="s">
        <v>5366</v>
      </c>
      <c r="E3199" t="str">
        <f>HYPERLINK("https://patents.google.com/patent/CN101920728A/en")</f>
        <v>https://patents.google.com/patent/CN101920728A/en</v>
      </c>
    </row>
    <row r="3200" spans="3:5" x14ac:dyDescent="0.25">
      <c r="C3200" t="s">
        <v>5367</v>
      </c>
      <c r="D3200" t="s">
        <v>5368</v>
      </c>
      <c r="E3200" t="str">
        <f>HYPERLINK("https://patents.google.com/patent/US3062963A/en")</f>
        <v>https://patents.google.com/patent/US3062963A/en</v>
      </c>
    </row>
    <row r="3201" spans="3:5" x14ac:dyDescent="0.25">
      <c r="C3201" t="s">
        <v>5369</v>
      </c>
      <c r="D3201" t="s">
        <v>5370</v>
      </c>
      <c r="E3201" t="str">
        <f>HYPERLINK("https://patents.google.com/patent/US4964246A/en")</f>
        <v>https://patents.google.com/patent/US4964246A/en</v>
      </c>
    </row>
    <row r="3202" spans="3:5" x14ac:dyDescent="0.25">
      <c r="C3202" t="s">
        <v>5371</v>
      </c>
      <c r="D3202" t="s">
        <v>5372</v>
      </c>
      <c r="E3202" t="str">
        <f>HYPERLINK("https://patents.google.com/patent/CN102128741A/en")</f>
        <v>https://patents.google.com/patent/CN102128741A/en</v>
      </c>
    </row>
    <row r="3203" spans="3:5" x14ac:dyDescent="0.25">
      <c r="C3203" t="s">
        <v>5373</v>
      </c>
      <c r="D3203" t="s">
        <v>5374</v>
      </c>
      <c r="E3203" t="str">
        <f>HYPERLINK("https://patents.google.com/patent/US4590611A/en")</f>
        <v>https://patents.google.com/patent/US4590611A/en</v>
      </c>
    </row>
    <row r="3204" spans="3:5" x14ac:dyDescent="0.25">
      <c r="C3204" t="s">
        <v>5293</v>
      </c>
      <c r="D3204" t="s">
        <v>5375</v>
      </c>
      <c r="E3204" t="str">
        <f>HYPERLINK("https://patents.google.com/patent/US5768894A/en")</f>
        <v>https://patents.google.com/patent/US5768894A/en</v>
      </c>
    </row>
    <row r="3205" spans="3:5" x14ac:dyDescent="0.25">
      <c r="C3205" t="s">
        <v>5376</v>
      </c>
      <c r="D3205" t="s">
        <v>5377</v>
      </c>
      <c r="E3205" t="str">
        <f>HYPERLINK("https://patents.google.com/patent/CN1553162A/en")</f>
        <v>https://patents.google.com/patent/CN1553162A/en</v>
      </c>
    </row>
    <row r="3206" spans="3:5" x14ac:dyDescent="0.25">
      <c r="C3206" t="s">
        <v>5378</v>
      </c>
      <c r="D3206" t="s">
        <v>5379</v>
      </c>
      <c r="E3206" t="str">
        <f>HYPERLINK("https://patents.google.com/patent/US2787907A/en")</f>
        <v>https://patents.google.com/patent/US2787907A/en</v>
      </c>
    </row>
    <row r="3207" spans="3:5" x14ac:dyDescent="0.25">
      <c r="C3207" t="s">
        <v>5380</v>
      </c>
      <c r="D3207" t="s">
        <v>5381</v>
      </c>
      <c r="E3207" t="str">
        <f>HYPERLINK("https://patents.google.com/patent/CN202651785U/en")</f>
        <v>https://patents.google.com/patent/CN202651785U/en</v>
      </c>
    </row>
    <row r="3208" spans="3:5" x14ac:dyDescent="0.25">
      <c r="C3208" t="s">
        <v>5382</v>
      </c>
      <c r="D3208" t="s">
        <v>5383</v>
      </c>
      <c r="E3208" t="str">
        <f>HYPERLINK("https://patents.google.com/patent/US7682127B2/en")</f>
        <v>https://patents.google.com/patent/US7682127B2/en</v>
      </c>
    </row>
    <row r="3209" spans="3:5" x14ac:dyDescent="0.25">
      <c r="C3209" t="s">
        <v>5384</v>
      </c>
      <c r="D3209" t="s">
        <v>5385</v>
      </c>
      <c r="E3209" t="str">
        <f>HYPERLINK("https://patents.google.com/patent/US2285404A/en")</f>
        <v>https://patents.google.com/patent/US2285404A/en</v>
      </c>
    </row>
    <row r="3210" spans="3:5" x14ac:dyDescent="0.25">
      <c r="C3210" t="s">
        <v>5386</v>
      </c>
      <c r="D3210" t="s">
        <v>5387</v>
      </c>
      <c r="E3210" t="str">
        <f>HYPERLINK("https://patents.google.com/patent/CN103923676A/en")</f>
        <v>https://patents.google.com/patent/CN103923676A/en</v>
      </c>
    </row>
    <row r="3211" spans="3:5" x14ac:dyDescent="0.25">
      <c r="C3211" t="s">
        <v>5388</v>
      </c>
      <c r="D3211" t="s">
        <v>5389</v>
      </c>
      <c r="E3211" t="str">
        <f>HYPERLINK("https://patents.google.com/patent/US4002359A/en")</f>
        <v>https://patents.google.com/patent/US4002359A/en</v>
      </c>
    </row>
    <row r="3212" spans="3:5" x14ac:dyDescent="0.25">
      <c r="C3212" t="s">
        <v>5390</v>
      </c>
      <c r="D3212" t="s">
        <v>5391</v>
      </c>
      <c r="E3212" t="str">
        <f>HYPERLINK("https://patents.google.com/patent/US8387315B2/en")</f>
        <v>https://patents.google.com/patent/US8387315B2/en</v>
      </c>
    </row>
    <row r="3213" spans="3:5" x14ac:dyDescent="0.25">
      <c r="C3213" t="s">
        <v>5392</v>
      </c>
      <c r="D3213" t="s">
        <v>5393</v>
      </c>
      <c r="E3213" t="str">
        <f>HYPERLINK("https://patents.google.com/patent/CN202435048U/en")</f>
        <v>https://patents.google.com/patent/CN202435048U/en</v>
      </c>
    </row>
    <row r="3214" spans="3:5" x14ac:dyDescent="0.25">
      <c r="C3214" t="s">
        <v>5394</v>
      </c>
      <c r="D3214" t="s">
        <v>5395</v>
      </c>
      <c r="E3214" t="str">
        <f>HYPERLINK("https://patents.google.com/patent/US20070082513A1/en")</f>
        <v>https://patents.google.com/patent/US20070082513A1/en</v>
      </c>
    </row>
    <row r="3215" spans="3:5" x14ac:dyDescent="0.25">
      <c r="C3215" t="s">
        <v>5396</v>
      </c>
      <c r="D3215" t="s">
        <v>5397</v>
      </c>
      <c r="E3215" t="str">
        <f>HYPERLINK("https://patents.google.com/patent/US20130290598A1/en")</f>
        <v>https://patents.google.com/patent/US20130290598A1/en</v>
      </c>
    </row>
    <row r="3216" spans="3:5" x14ac:dyDescent="0.25">
      <c r="C3216" t="s">
        <v>5398</v>
      </c>
      <c r="D3216" t="s">
        <v>5399</v>
      </c>
      <c r="E3216" t="str">
        <f>HYPERLINK("https://patents.google.com/patent/CN1930097A/en")</f>
        <v>https://patents.google.com/patent/CN1930097A/en</v>
      </c>
    </row>
    <row r="3217" spans="3:5" x14ac:dyDescent="0.25">
      <c r="C3217" t="s">
        <v>5400</v>
      </c>
      <c r="D3217" t="s">
        <v>5401</v>
      </c>
      <c r="E3217" t="str">
        <f>HYPERLINK("https://patents.google.com/patent/US3271669A/en")</f>
        <v>https://patents.google.com/patent/US3271669A/en</v>
      </c>
    </row>
    <row r="3218" spans="3:5" x14ac:dyDescent="0.25">
      <c r="C3218" t="s">
        <v>5402</v>
      </c>
      <c r="D3218" t="s">
        <v>5403</v>
      </c>
      <c r="E3218" t="str">
        <f>HYPERLINK("https://patents.google.com/patent/US3922118A/en")</f>
        <v>https://patents.google.com/patent/US3922118A/en</v>
      </c>
    </row>
    <row r="3219" spans="3:5" x14ac:dyDescent="0.25">
      <c r="C3219" t="s">
        <v>5404</v>
      </c>
      <c r="D3219" t="s">
        <v>5405</v>
      </c>
      <c r="E3219" t="str">
        <f>HYPERLINK("https://patents.google.com/patent/US2631855A/en")</f>
        <v>https://patents.google.com/patent/US2631855A/en</v>
      </c>
    </row>
    <row r="3220" spans="3:5" x14ac:dyDescent="0.25">
      <c r="C3220" t="s">
        <v>5406</v>
      </c>
      <c r="D3220" t="s">
        <v>5407</v>
      </c>
      <c r="E3220" t="str">
        <f>HYPERLINK("https://patents.google.com/patent/US5067288A/en")</f>
        <v>https://patents.google.com/patent/US5067288A/en</v>
      </c>
    </row>
    <row r="3221" spans="3:5" x14ac:dyDescent="0.25">
      <c r="C3221" t="s">
        <v>5408</v>
      </c>
      <c r="D3221" t="s">
        <v>5409</v>
      </c>
      <c r="E3221" t="str">
        <f>HYPERLINK("https://patents.google.com/patent/CN102464559A/en")</f>
        <v>https://patents.google.com/patent/CN102464559A/en</v>
      </c>
    </row>
    <row r="3222" spans="3:5" x14ac:dyDescent="0.25">
      <c r="C3222" t="s">
        <v>5410</v>
      </c>
      <c r="D3222" t="s">
        <v>5411</v>
      </c>
      <c r="E3222" t="str">
        <f>HYPERLINK("https://patents.google.com/patent/US4723411A/en")</f>
        <v>https://patents.google.com/patent/US4723411A/en</v>
      </c>
    </row>
    <row r="3223" spans="3:5" x14ac:dyDescent="0.25">
      <c r="C3223" t="s">
        <v>5412</v>
      </c>
      <c r="D3223" t="s">
        <v>5413</v>
      </c>
      <c r="E3223" t="str">
        <f>HYPERLINK("https://patents.google.com/patent/US3445763A/en")</f>
        <v>https://patents.google.com/patent/US3445763A/en</v>
      </c>
    </row>
    <row r="3224" spans="3:5" x14ac:dyDescent="0.25">
      <c r="C3224" t="s">
        <v>5414</v>
      </c>
      <c r="D3224" t="s">
        <v>5415</v>
      </c>
      <c r="E3224" t="str">
        <f>HYPERLINK("https://patents.google.com/patent/US5491508A/en")</f>
        <v>https://patents.google.com/patent/US5491508A/en</v>
      </c>
    </row>
    <row r="3225" spans="3:5" x14ac:dyDescent="0.25">
      <c r="C3225" t="s">
        <v>5416</v>
      </c>
      <c r="D3225" t="s">
        <v>5417</v>
      </c>
      <c r="E3225" t="str">
        <f>HYPERLINK("https://patents.google.com/patent/US4998596A/en")</f>
        <v>https://patents.google.com/patent/US4998596A/en</v>
      </c>
    </row>
    <row r="3226" spans="3:5" x14ac:dyDescent="0.25">
      <c r="C3226" t="s">
        <v>5418</v>
      </c>
      <c r="D3226" t="s">
        <v>5419</v>
      </c>
      <c r="E3226" t="str">
        <f>HYPERLINK("https://patents.google.com/patent/US3204460A/en")</f>
        <v>https://patents.google.com/patent/US3204460A/en</v>
      </c>
    </row>
    <row r="3227" spans="3:5" x14ac:dyDescent="0.25">
      <c r="C3227" t="s">
        <v>5420</v>
      </c>
      <c r="D3227" t="s">
        <v>5421</v>
      </c>
      <c r="E3227" t="str">
        <f>HYPERLINK("https://patents.google.com/patent/US20140285010A1/en")</f>
        <v>https://patents.google.com/patent/US20140285010A1/en</v>
      </c>
    </row>
    <row r="3228" spans="3:5" x14ac:dyDescent="0.25">
      <c r="C3228" t="s">
        <v>5422</v>
      </c>
      <c r="D3228" t="s">
        <v>5423</v>
      </c>
      <c r="E3228" t="str">
        <f>HYPERLINK("https://patents.google.com/patent/US6297499B1/en")</f>
        <v>https://patents.google.com/patent/US6297499B1/en</v>
      </c>
    </row>
    <row r="3229" spans="3:5" x14ac:dyDescent="0.25">
      <c r="C3229" t="s">
        <v>5424</v>
      </c>
      <c r="D3229" t="s">
        <v>5425</v>
      </c>
      <c r="E3229" t="str">
        <f>HYPERLINK("https://patents.google.com/patent/US3179422A/en")</f>
        <v>https://patents.google.com/patent/US3179422A/en</v>
      </c>
    </row>
    <row r="3230" spans="3:5" x14ac:dyDescent="0.25">
      <c r="C3230" t="s">
        <v>5426</v>
      </c>
      <c r="D3230" t="s">
        <v>5427</v>
      </c>
      <c r="E3230" t="str">
        <f>HYPERLINK("https://patents.google.com/patent/US5590744A/en")</f>
        <v>https://patents.google.com/patent/US5590744A/en</v>
      </c>
    </row>
    <row r="3231" spans="3:5" x14ac:dyDescent="0.25">
      <c r="C3231" t="s">
        <v>5428</v>
      </c>
      <c r="D3231" t="s">
        <v>5429</v>
      </c>
      <c r="E3231" t="str">
        <f>HYPERLINK("https://patents.google.com/patent/US3396545A/en")</f>
        <v>https://patents.google.com/patent/US3396545A/en</v>
      </c>
    </row>
    <row r="3232" spans="3:5" x14ac:dyDescent="0.25">
      <c r="C3232" t="s">
        <v>5430</v>
      </c>
      <c r="D3232" t="s">
        <v>5431</v>
      </c>
      <c r="E3232" t="str">
        <f>HYPERLINK("https://patents.google.com/patent/US7431725B2/en")</f>
        <v>https://patents.google.com/patent/US7431725B2/en</v>
      </c>
    </row>
    <row r="3233" spans="3:5" x14ac:dyDescent="0.25">
      <c r="C3233" t="s">
        <v>5432</v>
      </c>
      <c r="D3233" t="s">
        <v>5433</v>
      </c>
      <c r="E3233" t="str">
        <f>HYPERLINK("https://patents.google.com/patent/US4640374A/en")</f>
        <v>https://patents.google.com/patent/US4640374A/en</v>
      </c>
    </row>
    <row r="3234" spans="3:5" x14ac:dyDescent="0.25">
      <c r="C3234" t="s">
        <v>5434</v>
      </c>
      <c r="D3234" t="s">
        <v>5435</v>
      </c>
      <c r="E3234" t="str">
        <f>HYPERLINK("https://patents.google.com/patent/US7729940B2/en")</f>
        <v>https://patents.google.com/patent/US7729940B2/en</v>
      </c>
    </row>
    <row r="3235" spans="3:5" x14ac:dyDescent="0.25">
      <c r="C3235" t="s">
        <v>5436</v>
      </c>
      <c r="D3235" t="s">
        <v>5437</v>
      </c>
      <c r="E3235" t="str">
        <f>HYPERLINK("https://patents.google.com/patent/US3197819A/en")</f>
        <v>https://patents.google.com/patent/US3197819A/en</v>
      </c>
    </row>
    <row r="3236" spans="3:5" x14ac:dyDescent="0.25">
      <c r="C3236" t="s">
        <v>5438</v>
      </c>
      <c r="D3236" t="s">
        <v>5439</v>
      </c>
      <c r="E3236" t="str">
        <f>HYPERLINK("https://patents.google.com/patent/US3270190A/en")</f>
        <v>https://patents.google.com/patent/US3270190A/en</v>
      </c>
    </row>
    <row r="3237" spans="3:5" x14ac:dyDescent="0.25">
      <c r="C3237" t="s">
        <v>5440</v>
      </c>
      <c r="D3237" t="s">
        <v>5441</v>
      </c>
      <c r="E3237" t="str">
        <f>HYPERLINK("https://patents.google.com/patent/US3333239A/en")</f>
        <v>https://patents.google.com/patent/US3333239A/en</v>
      </c>
    </row>
    <row r="3238" spans="3:5" x14ac:dyDescent="0.25">
      <c r="C3238" t="s">
        <v>4977</v>
      </c>
      <c r="D3238" t="s">
        <v>5442</v>
      </c>
      <c r="E3238" t="str">
        <f>HYPERLINK("https://patents.google.com/patent/US7721125B2/en")</f>
        <v>https://patents.google.com/patent/US7721125B2/en</v>
      </c>
    </row>
    <row r="3239" spans="3:5" x14ac:dyDescent="0.25">
      <c r="C3239" t="s">
        <v>5443</v>
      </c>
      <c r="D3239" t="s">
        <v>5444</v>
      </c>
      <c r="E3239" t="str">
        <f>HYPERLINK("https://patents.google.com/patent/US3611636A/en")</f>
        <v>https://patents.google.com/patent/US3611636A/en</v>
      </c>
    </row>
    <row r="3240" spans="3:5" x14ac:dyDescent="0.25">
      <c r="C3240" t="s">
        <v>5445</v>
      </c>
      <c r="D3240" t="s">
        <v>5446</v>
      </c>
      <c r="E3240" t="str">
        <f>HYPERLINK("https://patents.google.com/patent/US7851935B2/en")</f>
        <v>https://patents.google.com/patent/US7851935B2/en</v>
      </c>
    </row>
    <row r="3241" spans="3:5" x14ac:dyDescent="0.25">
      <c r="C3241" t="s">
        <v>5447</v>
      </c>
      <c r="D3241" t="s">
        <v>5448</v>
      </c>
      <c r="E3241" t="str">
        <f>HYPERLINK("https://patents.google.com/patent/US8898204B1/en")</f>
        <v>https://patents.google.com/patent/US8898204B1/en</v>
      </c>
    </row>
    <row r="3242" spans="3:5" x14ac:dyDescent="0.25">
      <c r="C3242" t="s">
        <v>5449</v>
      </c>
      <c r="D3242" t="s">
        <v>5450</v>
      </c>
      <c r="E3242" t="str">
        <f>HYPERLINK("https://patents.google.com/patent/US6657727B1/en")</f>
        <v>https://patents.google.com/patent/US6657727B1/en</v>
      </c>
    </row>
    <row r="3243" spans="3:5" x14ac:dyDescent="0.25">
      <c r="C3243" t="s">
        <v>5451</v>
      </c>
      <c r="D3243" t="s">
        <v>5452</v>
      </c>
      <c r="E3243" t="str">
        <f>HYPERLINK("https://patents.google.com/patent/US20160165478A1/en")</f>
        <v>https://patents.google.com/patent/US20160165478A1/en</v>
      </c>
    </row>
    <row r="3244" spans="3:5" x14ac:dyDescent="0.25">
      <c r="C3244" t="s">
        <v>5453</v>
      </c>
      <c r="D3244" t="s">
        <v>5454</v>
      </c>
      <c r="E3244" t="str">
        <f>HYPERLINK("https://patents.google.com/patent/US4887005A/en")</f>
        <v>https://patents.google.com/patent/US4887005A/en</v>
      </c>
    </row>
    <row r="3245" spans="3:5" x14ac:dyDescent="0.25">
      <c r="C3245" t="s">
        <v>5455</v>
      </c>
      <c r="D3245" t="s">
        <v>5456</v>
      </c>
      <c r="E3245" t="str">
        <f>HYPERLINK("https://patents.google.com/patent/US3577588A/en")</f>
        <v>https://patents.google.com/patent/US3577588A/en</v>
      </c>
    </row>
    <row r="3246" spans="3:5" x14ac:dyDescent="0.25">
      <c r="C3246" t="s">
        <v>5457</v>
      </c>
      <c r="D3246" t="s">
        <v>5458</v>
      </c>
      <c r="E3246" t="str">
        <f>HYPERLINK("https://patents.google.com/patent/US20120145703A1/en")</f>
        <v>https://patents.google.com/patent/US20120145703A1/en</v>
      </c>
    </row>
    <row r="3247" spans="3:5" x14ac:dyDescent="0.25">
      <c r="C3247" t="s">
        <v>5459</v>
      </c>
      <c r="D3247" t="s">
        <v>5460</v>
      </c>
      <c r="E3247" t="str">
        <f>HYPERLINK("https://patents.google.com/patent/US4683773A/en")</f>
        <v>https://patents.google.com/patent/US4683773A/en</v>
      </c>
    </row>
    <row r="3248" spans="3:5" x14ac:dyDescent="0.25">
      <c r="C3248" t="s">
        <v>5461</v>
      </c>
      <c r="D3248" t="s">
        <v>5462</v>
      </c>
      <c r="E3248" t="str">
        <f>HYPERLINK("https://patents.google.com/patent/US5423183A/en")</f>
        <v>https://patents.google.com/patent/US5423183A/en</v>
      </c>
    </row>
    <row r="3249" spans="3:5" x14ac:dyDescent="0.25">
      <c r="C3249" t="s">
        <v>5463</v>
      </c>
      <c r="D3249" t="s">
        <v>5464</v>
      </c>
      <c r="E3249" t="str">
        <f>HYPERLINK("https://patents.google.com/patent/US6267210B1/en")</f>
        <v>https://patents.google.com/patent/US6267210B1/en</v>
      </c>
    </row>
    <row r="3250" spans="3:5" x14ac:dyDescent="0.25">
      <c r="C3250" t="s">
        <v>5465</v>
      </c>
      <c r="D3250" t="s">
        <v>5466</v>
      </c>
      <c r="E3250" t="str">
        <f>HYPERLINK("https://patents.google.com/patent/US3113582A/en")</f>
        <v>https://patents.google.com/patent/US3113582A/en</v>
      </c>
    </row>
    <row r="3251" spans="3:5" x14ac:dyDescent="0.25">
      <c r="C3251" t="s">
        <v>5467</v>
      </c>
      <c r="D3251" t="s">
        <v>5468</v>
      </c>
      <c r="E3251" t="str">
        <f>HYPERLINK("https://patents.google.com/patent/US7083013B2/en")</f>
        <v>https://patents.google.com/patent/US7083013B2/en</v>
      </c>
    </row>
    <row r="3252" spans="3:5" x14ac:dyDescent="0.25">
      <c r="C3252" t="s">
        <v>5469</v>
      </c>
      <c r="D3252" t="s">
        <v>5470</v>
      </c>
      <c r="E3252" t="str">
        <f>HYPERLINK("https://patents.google.com/patent/US20120059934A1/en")</f>
        <v>https://patents.google.com/patent/US20120059934A1/en</v>
      </c>
    </row>
    <row r="3253" spans="3:5" x14ac:dyDescent="0.25">
      <c r="C3253" t="s">
        <v>5471</v>
      </c>
      <c r="D3253" t="s">
        <v>5472</v>
      </c>
      <c r="E3253" t="str">
        <f>HYPERLINK("https://patents.google.com/patent/US7993289B2/en")</f>
        <v>https://patents.google.com/patent/US7993289B2/en</v>
      </c>
    </row>
    <row r="3254" spans="3:5" x14ac:dyDescent="0.25">
      <c r="C3254" t="s">
        <v>5473</v>
      </c>
      <c r="D3254" t="s">
        <v>5474</v>
      </c>
      <c r="E3254" t="str">
        <f>HYPERLINK("https://patents.google.com/patent/US5524986A/en")</f>
        <v>https://patents.google.com/patent/US5524986A/en</v>
      </c>
    </row>
    <row r="3255" spans="3:5" x14ac:dyDescent="0.25">
      <c r="C3255" t="s">
        <v>5475</v>
      </c>
      <c r="D3255" t="s">
        <v>5476</v>
      </c>
      <c r="E3255" t="str">
        <f>HYPERLINK("https://patents.google.com/patent/US4464932A/en")</f>
        <v>https://patents.google.com/patent/US4464932A/en</v>
      </c>
    </row>
    <row r="3256" spans="3:5" x14ac:dyDescent="0.25">
      <c r="C3256" t="s">
        <v>5477</v>
      </c>
      <c r="D3256" t="s">
        <v>5478</v>
      </c>
      <c r="E3256" t="str">
        <f>HYPERLINK("https://patents.google.com/patent/US20070205241A1/en")</f>
        <v>https://patents.google.com/patent/US20070205241A1/en</v>
      </c>
    </row>
    <row r="3257" spans="3:5" x14ac:dyDescent="0.25">
      <c r="C3257" t="s">
        <v>5479</v>
      </c>
      <c r="D3257" t="s">
        <v>5480</v>
      </c>
      <c r="E3257" t="str">
        <f>HYPERLINK("https://patents.google.com/patent/US2443098A/en")</f>
        <v>https://patents.google.com/patent/US2443098A/en</v>
      </c>
    </row>
    <row r="3258" spans="3:5" x14ac:dyDescent="0.25">
      <c r="C3258" t="s">
        <v>5481</v>
      </c>
      <c r="D3258" t="s">
        <v>5482</v>
      </c>
      <c r="E3258" t="str">
        <f>HYPERLINK("https://patents.google.com/patent/US6966544B2/en")</f>
        <v>https://patents.google.com/patent/US6966544B2/en</v>
      </c>
    </row>
    <row r="3259" spans="3:5" x14ac:dyDescent="0.25">
      <c r="C3259" t="s">
        <v>5483</v>
      </c>
      <c r="D3259" t="s">
        <v>5484</v>
      </c>
      <c r="E3259" t="str">
        <f>HYPERLINK("https://patents.google.com/patent/CN105129005A/en")</f>
        <v>https://patents.google.com/patent/CN105129005A/en</v>
      </c>
    </row>
    <row r="3260" spans="3:5" x14ac:dyDescent="0.25">
      <c r="C3260" t="s">
        <v>5485</v>
      </c>
      <c r="D3260" t="s">
        <v>5486</v>
      </c>
      <c r="E3260" t="str">
        <f>HYPERLINK("https://patents.google.com/patent/US20030167295A1/en")</f>
        <v>https://patents.google.com/patent/US20030167295A1/en</v>
      </c>
    </row>
    <row r="3261" spans="3:5" x14ac:dyDescent="0.25">
      <c r="C3261" t="s">
        <v>5487</v>
      </c>
      <c r="D3261" t="s">
        <v>5488</v>
      </c>
      <c r="E3261" t="str">
        <f>HYPERLINK("https://patents.google.com/patent/US7538744B1/en")</f>
        <v>https://patents.google.com/patent/US7538744B1/en</v>
      </c>
    </row>
    <row r="3262" spans="3:5" x14ac:dyDescent="0.25">
      <c r="C3262" t="s">
        <v>5489</v>
      </c>
      <c r="D3262" t="s">
        <v>5490</v>
      </c>
      <c r="E3262" t="str">
        <f>HYPERLINK("https://patents.google.com/patent/US4730512A/en")</f>
        <v>https://patents.google.com/patent/US4730512A/en</v>
      </c>
    </row>
    <row r="3263" spans="3:5" x14ac:dyDescent="0.25">
      <c r="C3263" t="s">
        <v>5491</v>
      </c>
      <c r="D3263" t="s">
        <v>5492</v>
      </c>
      <c r="E3263" t="str">
        <f>HYPERLINK("https://patents.google.com/patent/US20100328968A1/en")</f>
        <v>https://patents.google.com/patent/US20100328968A1/en</v>
      </c>
    </row>
    <row r="3264" spans="3:5" x14ac:dyDescent="0.25">
      <c r="C3264" t="s">
        <v>5493</v>
      </c>
      <c r="D3264" t="s">
        <v>5494</v>
      </c>
      <c r="E3264" t="str">
        <f>HYPERLINK("https://patents.google.com/patent/US20090187274A1/en")</f>
        <v>https://patents.google.com/patent/US20090187274A1/en</v>
      </c>
    </row>
    <row r="3265" spans="3:5" x14ac:dyDescent="0.25">
      <c r="C3265" t="s">
        <v>5495</v>
      </c>
      <c r="D3265" t="s">
        <v>5496</v>
      </c>
      <c r="E3265" t="str">
        <f>HYPERLINK("https://patents.google.com/patent/US20080122367A1/en")</f>
        <v>https://patents.google.com/patent/US20080122367A1/en</v>
      </c>
    </row>
    <row r="3266" spans="3:5" x14ac:dyDescent="0.25">
      <c r="C3266" t="s">
        <v>5497</v>
      </c>
      <c r="D3266" t="s">
        <v>5498</v>
      </c>
      <c r="E3266" t="str">
        <f>HYPERLINK("https://patents.google.com/patent/US2310955A/en")</f>
        <v>https://patents.google.com/patent/US2310955A/en</v>
      </c>
    </row>
    <row r="3267" spans="3:5" x14ac:dyDescent="0.25">
      <c r="C3267" t="s">
        <v>5499</v>
      </c>
      <c r="D3267" t="s">
        <v>5500</v>
      </c>
      <c r="E3267" t="str">
        <f>HYPERLINK("https://patents.google.com/patent/US3463551A/en")</f>
        <v>https://patents.google.com/patent/US3463551A/en</v>
      </c>
    </row>
    <row r="3268" spans="3:5" x14ac:dyDescent="0.25">
      <c r="C3268" t="s">
        <v>5501</v>
      </c>
      <c r="D3268" t="s">
        <v>5502</v>
      </c>
      <c r="E3268" t="str">
        <f>HYPERLINK("https://patents.google.com/patent/US7231034B1/en")</f>
        <v>https://patents.google.com/patent/US7231034B1/en</v>
      </c>
    </row>
    <row r="3269" spans="3:5" x14ac:dyDescent="0.25">
      <c r="C3269" t="s">
        <v>5503</v>
      </c>
      <c r="D3269" t="s">
        <v>5504</v>
      </c>
      <c r="E3269" t="str">
        <f>HYPERLINK("https://patents.google.com/patent/US3557831A/en")</f>
        <v>https://patents.google.com/patent/US3557831A/en</v>
      </c>
    </row>
    <row r="3270" spans="3:5" x14ac:dyDescent="0.25">
      <c r="C3270" t="s">
        <v>5505</v>
      </c>
      <c r="D3270" t="s">
        <v>5506</v>
      </c>
      <c r="E3270" t="str">
        <f>HYPERLINK("https://patents.google.com/patent/US20110010514A1/en")</f>
        <v>https://patents.google.com/patent/US20110010514A1/en</v>
      </c>
    </row>
    <row r="3271" spans="3:5" x14ac:dyDescent="0.25">
      <c r="C3271" t="s">
        <v>5507</v>
      </c>
      <c r="D3271" t="s">
        <v>5508</v>
      </c>
      <c r="E3271" t="str">
        <f>HYPERLINK("https://patents.google.com/patent/US20050193451A1/en")</f>
        <v>https://patents.google.com/patent/US20050193451A1/en</v>
      </c>
    </row>
    <row r="3272" spans="3:5" x14ac:dyDescent="0.25">
      <c r="C3272" t="s">
        <v>5509</v>
      </c>
      <c r="D3272" t="s">
        <v>5510</v>
      </c>
      <c r="E3272" t="str">
        <f>HYPERLINK("https://patents.google.com/patent/US20120166180A1/en")</f>
        <v>https://patents.google.com/patent/US20120166180A1/en</v>
      </c>
    </row>
    <row r="3273" spans="3:5" x14ac:dyDescent="0.25">
      <c r="C3273" t="s">
        <v>5511</v>
      </c>
      <c r="D3273" t="s">
        <v>5512</v>
      </c>
      <c r="E3273" t="str">
        <f>HYPERLINK("https://patents.google.com/patent/US4442954A/en")</f>
        <v>https://patents.google.com/patent/US4442954A/en</v>
      </c>
    </row>
    <row r="3274" spans="3:5" x14ac:dyDescent="0.25">
      <c r="C3274" t="s">
        <v>5513</v>
      </c>
      <c r="D3274" t="s">
        <v>5514</v>
      </c>
      <c r="E3274" t="str">
        <f>HYPERLINK("https://patents.google.com/patent/US4313828A/en")</f>
        <v>https://patents.google.com/patent/US4313828A/en</v>
      </c>
    </row>
    <row r="3275" spans="3:5" x14ac:dyDescent="0.25">
      <c r="C3275" t="s">
        <v>5515</v>
      </c>
      <c r="D3275" t="s">
        <v>5516</v>
      </c>
      <c r="E3275" t="str">
        <f>HYPERLINK("https://patents.google.com/patent/US3007097A/en")</f>
        <v>https://patents.google.com/patent/US3007097A/en</v>
      </c>
    </row>
    <row r="3276" spans="3:5" x14ac:dyDescent="0.25">
      <c r="C3276" t="s">
        <v>5517</v>
      </c>
      <c r="D3276" t="s">
        <v>5518</v>
      </c>
      <c r="E3276" t="str">
        <f>HYPERLINK("https://patents.google.com/patent/US7940731B2/en")</f>
        <v>https://patents.google.com/patent/US7940731B2/en</v>
      </c>
    </row>
    <row r="3277" spans="3:5" x14ac:dyDescent="0.25">
      <c r="C3277" t="s">
        <v>5519</v>
      </c>
      <c r="D3277" t="s">
        <v>5520</v>
      </c>
      <c r="E3277" t="str">
        <f>HYPERLINK("https://patents.google.com/patent/US20110288907A1/en")</f>
        <v>https://patents.google.com/patent/US20110288907A1/en</v>
      </c>
    </row>
    <row r="3278" spans="3:5" x14ac:dyDescent="0.25">
      <c r="C3278" t="s">
        <v>5521</v>
      </c>
      <c r="D3278" t="s">
        <v>5522</v>
      </c>
      <c r="E3278" t="str">
        <f>HYPERLINK("https://patents.google.com/patent/US3482354A/en")</f>
        <v>https://patents.google.com/patent/US3482354A/en</v>
      </c>
    </row>
    <row r="3279" spans="3:5" x14ac:dyDescent="0.25">
      <c r="C3279" t="s">
        <v>5523</v>
      </c>
      <c r="D3279" t="s">
        <v>5524</v>
      </c>
      <c r="E3279" t="str">
        <f>HYPERLINK("https://patents.google.com/patent/US20050102255A1/en")</f>
        <v>https://patents.google.com/patent/US20050102255A1/en</v>
      </c>
    </row>
    <row r="3280" spans="3:5" x14ac:dyDescent="0.25">
      <c r="C3280" t="s">
        <v>5525</v>
      </c>
      <c r="D3280" t="s">
        <v>5526</v>
      </c>
      <c r="E3280" t="str">
        <f>HYPERLINK("https://patents.google.com/patent/US4727723A/en")</f>
        <v>https://patents.google.com/patent/US4727723A/en</v>
      </c>
    </row>
    <row r="3281" spans="3:5" x14ac:dyDescent="0.25">
      <c r="C3281" t="s">
        <v>5527</v>
      </c>
      <c r="D3281" t="s">
        <v>5528</v>
      </c>
      <c r="E3281" t="str">
        <f>HYPERLINK("https://patents.google.com/patent/US8305757B2/en")</f>
        <v>https://patents.google.com/patent/US8305757B2/en</v>
      </c>
    </row>
    <row r="3282" spans="3:5" x14ac:dyDescent="0.25">
      <c r="C3282" t="s">
        <v>5529</v>
      </c>
      <c r="D3282" t="s">
        <v>5530</v>
      </c>
      <c r="E3282" t="str">
        <f>HYPERLINK("https://patents.google.com/patent/US20100106920A1/en")</f>
        <v>https://patents.google.com/patent/US20100106920A1/en</v>
      </c>
    </row>
    <row r="3283" spans="3:5" x14ac:dyDescent="0.25">
      <c r="C3283" t="s">
        <v>5531</v>
      </c>
      <c r="D3283" t="s">
        <v>5532</v>
      </c>
      <c r="E3283" t="str">
        <f>HYPERLINK("https://patents.google.com/patent/US7520430B1/en")</f>
        <v>https://patents.google.com/patent/US7520430B1/en</v>
      </c>
    </row>
    <row r="3284" spans="3:5" x14ac:dyDescent="0.25">
      <c r="C3284" t="s">
        <v>5533</v>
      </c>
      <c r="D3284" t="s">
        <v>5534</v>
      </c>
      <c r="E3284" t="str">
        <f>HYPERLINK("https://patents.google.com/patent/US6064178A/en")</f>
        <v>https://patents.google.com/patent/US6064178A/en</v>
      </c>
    </row>
    <row r="3285" spans="3:5" x14ac:dyDescent="0.25">
      <c r="C3285" t="s">
        <v>5535</v>
      </c>
      <c r="D3285" t="s">
        <v>5536</v>
      </c>
      <c r="E3285" t="str">
        <f>HYPERLINK("https://patents.google.com/patent/US3524282A/en")</f>
        <v>https://patents.google.com/patent/US3524282A/en</v>
      </c>
    </row>
    <row r="3286" spans="3:5" x14ac:dyDescent="0.25">
      <c r="C3286" t="s">
        <v>5537</v>
      </c>
      <c r="D3286" t="s">
        <v>5538</v>
      </c>
      <c r="E3286" t="str">
        <f>HYPERLINK("https://patents.google.com/patent/US7075828B2/en")</f>
        <v>https://patents.google.com/patent/US7075828B2/en</v>
      </c>
    </row>
    <row r="3287" spans="3:5" x14ac:dyDescent="0.25">
      <c r="C3287" t="s">
        <v>5539</v>
      </c>
      <c r="D3287" t="s">
        <v>5540</v>
      </c>
      <c r="E3287" t="str">
        <f>HYPERLINK("https://patents.google.com/patent/US7133313B2/en")</f>
        <v>https://patents.google.com/patent/US7133313B2/en</v>
      </c>
    </row>
    <row r="3288" spans="3:5" x14ac:dyDescent="0.25">
      <c r="C3288" t="s">
        <v>5541</v>
      </c>
      <c r="D3288" t="s">
        <v>5542</v>
      </c>
      <c r="E3288" t="str">
        <f>HYPERLINK("https://patents.google.com/patent/US6026425A/en")</f>
        <v>https://patents.google.com/patent/US6026425A/en</v>
      </c>
    </row>
    <row r="3289" spans="3:5" x14ac:dyDescent="0.25">
      <c r="C3289" t="s">
        <v>5543</v>
      </c>
      <c r="D3289" t="s">
        <v>5544</v>
      </c>
      <c r="E3289" t="str">
        <f>HYPERLINK("https://patents.google.com/patent/US6019323A/en")</f>
        <v>https://patents.google.com/patent/US6019323A/en</v>
      </c>
    </row>
    <row r="3290" spans="3:5" x14ac:dyDescent="0.25">
      <c r="C3290" t="s">
        <v>5545</v>
      </c>
      <c r="D3290" t="s">
        <v>5546</v>
      </c>
      <c r="E3290" t="str">
        <f>HYPERLINK("https://patents.google.com/patent/US20110252477A1/en")</f>
        <v>https://patents.google.com/patent/US20110252477A1/en</v>
      </c>
    </row>
    <row r="3291" spans="3:5" x14ac:dyDescent="0.25">
      <c r="C3291" t="s">
        <v>5547</v>
      </c>
      <c r="D3291" t="s">
        <v>5548</v>
      </c>
      <c r="E3291" t="str">
        <f>HYPERLINK("https://patents.google.com/patent/US3416732A/en")</f>
        <v>https://patents.google.com/patent/US3416732A/en</v>
      </c>
    </row>
    <row r="3292" spans="3:5" x14ac:dyDescent="0.25">
      <c r="C3292" t="s">
        <v>5549</v>
      </c>
      <c r="D3292" t="s">
        <v>5550</v>
      </c>
      <c r="E3292" t="str">
        <f>HYPERLINK("https://patents.google.com/patent/US20040010478A1/en")</f>
        <v>https://patents.google.com/patent/US20040010478A1/en</v>
      </c>
    </row>
    <row r="3293" spans="3:5" x14ac:dyDescent="0.25">
      <c r="C3293" t="s">
        <v>5551</v>
      </c>
      <c r="D3293" t="s">
        <v>5552</v>
      </c>
      <c r="E3293" t="str">
        <f>HYPERLINK("https://patents.google.com/patent/US6807202B1/en")</f>
        <v>https://patents.google.com/patent/US6807202B1/en</v>
      </c>
    </row>
    <row r="3294" spans="3:5" x14ac:dyDescent="0.25">
      <c r="C3294" t="s">
        <v>5553</v>
      </c>
      <c r="D3294" t="s">
        <v>5554</v>
      </c>
      <c r="E3294" t="str">
        <f>HYPERLINK("https://patents.google.com/patent/US3985110A/en")</f>
        <v>https://patents.google.com/patent/US3985110A/en</v>
      </c>
    </row>
    <row r="3295" spans="3:5" x14ac:dyDescent="0.25">
      <c r="C3295" t="s">
        <v>5555</v>
      </c>
      <c r="D3295" t="s">
        <v>5556</v>
      </c>
      <c r="E3295" t="str">
        <f>HYPERLINK("https://patents.google.com/patent/CN201367115Y/en")</f>
        <v>https://patents.google.com/patent/CN201367115Y/en</v>
      </c>
    </row>
    <row r="3296" spans="3:5" x14ac:dyDescent="0.25">
      <c r="C3296" t="s">
        <v>5557</v>
      </c>
      <c r="D3296" t="s">
        <v>5558</v>
      </c>
      <c r="E3296" t="str">
        <f>HYPERLINK("https://patents.google.com/patent/US2345933A/en")</f>
        <v>https://patents.google.com/patent/US2345933A/en</v>
      </c>
    </row>
    <row r="3297" spans="3:5" x14ac:dyDescent="0.25">
      <c r="C3297" t="s">
        <v>5559</v>
      </c>
      <c r="D3297" t="s">
        <v>5560</v>
      </c>
      <c r="E3297" t="str">
        <f>HYPERLINK("https://patents.google.com/patent/US20100161492A1/en")</f>
        <v>https://patents.google.com/patent/US20100161492A1/en</v>
      </c>
    </row>
    <row r="3298" spans="3:5" x14ac:dyDescent="0.25">
      <c r="C3298" t="s">
        <v>5561</v>
      </c>
      <c r="D3298" t="s">
        <v>5562</v>
      </c>
      <c r="E3298" t="str">
        <f>HYPERLINK("https://patents.google.com/patent/US7164603B2/en")</f>
        <v>https://patents.google.com/patent/US7164603B2/en</v>
      </c>
    </row>
    <row r="3299" spans="3:5" x14ac:dyDescent="0.25">
      <c r="C3299" t="s">
        <v>5543</v>
      </c>
      <c r="D3299" t="s">
        <v>5563</v>
      </c>
      <c r="E3299" t="str">
        <f>HYPERLINK("https://patents.google.com/patent/US6361000B1/en")</f>
        <v>https://patents.google.com/patent/US6361000B1/en</v>
      </c>
    </row>
    <row r="3300" spans="3:5" x14ac:dyDescent="0.25">
      <c r="C3300" t="s">
        <v>5564</v>
      </c>
      <c r="D3300" t="s">
        <v>5565</v>
      </c>
      <c r="E3300" t="str">
        <f>HYPERLINK("https://patents.google.com/patent/US20080127125A1/en")</f>
        <v>https://patents.google.com/patent/US20080127125A1/en</v>
      </c>
    </row>
    <row r="3301" spans="3:5" x14ac:dyDescent="0.25">
      <c r="C3301" t="s">
        <v>5566</v>
      </c>
      <c r="D3301" t="s">
        <v>5567</v>
      </c>
      <c r="E3301" t="str">
        <f>HYPERLINK("https://patents.google.com/patent/US3724226A/en")</f>
        <v>https://patents.google.com/patent/US3724226A/en</v>
      </c>
    </row>
    <row r="3302" spans="3:5" x14ac:dyDescent="0.25">
      <c r="C3302" t="s">
        <v>5568</v>
      </c>
      <c r="D3302" t="s">
        <v>5569</v>
      </c>
      <c r="E3302" t="str">
        <f>HYPERLINK("https://patents.google.com/patent/US20030209005A1/en")</f>
        <v>https://patents.google.com/patent/US20030209005A1/en</v>
      </c>
    </row>
    <row r="3303" spans="3:5" x14ac:dyDescent="0.25">
      <c r="C3303" t="s">
        <v>5570</v>
      </c>
      <c r="D3303" t="s">
        <v>5571</v>
      </c>
      <c r="E3303" t="str">
        <f>HYPERLINK("https://patents.google.com/patent/US5982318A/en")</f>
        <v>https://patents.google.com/patent/US5982318A/en</v>
      </c>
    </row>
    <row r="3304" spans="3:5" x14ac:dyDescent="0.25">
      <c r="C3304" t="s">
        <v>5572</v>
      </c>
      <c r="D3304" t="s">
        <v>5573</v>
      </c>
      <c r="E3304" t="str">
        <f>HYPERLINK("https://patents.google.com/patent/US2866337A/en")</f>
        <v>https://patents.google.com/patent/US2866337A/en</v>
      </c>
    </row>
    <row r="3305" spans="3:5" x14ac:dyDescent="0.25">
      <c r="C3305" t="s">
        <v>5574</v>
      </c>
      <c r="D3305" t="s">
        <v>5575</v>
      </c>
      <c r="E3305" t="str">
        <f>HYPERLINK("https://patents.google.com/patent/US5582040A/en")</f>
        <v>https://patents.google.com/patent/US5582040A/en</v>
      </c>
    </row>
    <row r="3306" spans="3:5" x14ac:dyDescent="0.25">
      <c r="C3306" t="s">
        <v>5576</v>
      </c>
      <c r="D3306" t="s">
        <v>5577</v>
      </c>
      <c r="E3306" t="str">
        <f>HYPERLINK("https://patents.google.com/patent/US7083178B2/en")</f>
        <v>https://patents.google.com/patent/US7083178B2/en</v>
      </c>
    </row>
    <row r="3307" spans="3:5" x14ac:dyDescent="0.25">
      <c r="C3307" t="s">
        <v>5578</v>
      </c>
      <c r="D3307" t="s">
        <v>5579</v>
      </c>
      <c r="E3307" t="str">
        <f>HYPERLINK("https://patents.google.com/patent/US6595052B2/en")</f>
        <v>https://patents.google.com/patent/US6595052B2/en</v>
      </c>
    </row>
    <row r="3308" spans="3:5" x14ac:dyDescent="0.25">
      <c r="C3308" t="s">
        <v>5580</v>
      </c>
      <c r="D3308" t="s">
        <v>5581</v>
      </c>
      <c r="E3308" t="str">
        <f>HYPERLINK("https://patents.google.com/patent/US2579220A/en")</f>
        <v>https://patents.google.com/patent/US2579220A/en</v>
      </c>
    </row>
    <row r="3309" spans="3:5" x14ac:dyDescent="0.25">
      <c r="C3309" t="s">
        <v>5582</v>
      </c>
      <c r="D3309" t="s">
        <v>5583</v>
      </c>
      <c r="E3309" t="str">
        <f>HYPERLINK("https://patents.google.com/patent/US6314447B1/en")</f>
        <v>https://patents.google.com/patent/US6314447B1/en</v>
      </c>
    </row>
    <row r="3310" spans="3:5" x14ac:dyDescent="0.25">
      <c r="C3310" t="s">
        <v>5584</v>
      </c>
      <c r="D3310" t="s">
        <v>5585</v>
      </c>
      <c r="E3310" t="str">
        <f>HYPERLINK("https://patents.google.com/patent/US4033683A/en")</f>
        <v>https://patents.google.com/patent/US4033683A/en</v>
      </c>
    </row>
    <row r="3311" spans="3:5" x14ac:dyDescent="0.25">
      <c r="C3311" t="s">
        <v>5586</v>
      </c>
      <c r="D3311" t="s">
        <v>5587</v>
      </c>
      <c r="E3311" t="str">
        <f>HYPERLINK("https://patents.google.com/patent/US20150011222A1/en")</f>
        <v>https://patents.google.com/patent/US20150011222A1/en</v>
      </c>
    </row>
    <row r="3312" spans="3:5" x14ac:dyDescent="0.25">
      <c r="C3312" t="s">
        <v>5588</v>
      </c>
      <c r="D3312" t="s">
        <v>5589</v>
      </c>
      <c r="E3312" t="str">
        <f>HYPERLINK("https://patents.google.com/patent/US7918808B2/en")</f>
        <v>https://patents.google.com/patent/US7918808B2/en</v>
      </c>
    </row>
    <row r="3313" spans="3:5" x14ac:dyDescent="0.25">
      <c r="C3313" t="s">
        <v>5590</v>
      </c>
      <c r="D3313" t="s">
        <v>5591</v>
      </c>
      <c r="E3313" t="str">
        <f>HYPERLINK("https://patents.google.com/patent/US3810182A/en")</f>
        <v>https://patents.google.com/patent/US3810182A/en</v>
      </c>
    </row>
    <row r="3314" spans="3:5" x14ac:dyDescent="0.25">
      <c r="C3314" t="s">
        <v>5592</v>
      </c>
      <c r="D3314" t="s">
        <v>5593</v>
      </c>
      <c r="E3314" t="str">
        <f>HYPERLINK("https://patents.google.com/patent/US7684876B2/en")</f>
        <v>https://patents.google.com/patent/US7684876B2/en</v>
      </c>
    </row>
    <row r="3315" spans="3:5" x14ac:dyDescent="0.25">
      <c r="C3315" t="s">
        <v>5594</v>
      </c>
      <c r="D3315" t="s">
        <v>5595</v>
      </c>
      <c r="E3315" t="str">
        <f>HYPERLINK("https://patents.google.com/patent/US3283560A/en")</f>
        <v>https://patents.google.com/patent/US3283560A/en</v>
      </c>
    </row>
    <row r="3316" spans="3:5" x14ac:dyDescent="0.25">
      <c r="C3316" t="s">
        <v>5596</v>
      </c>
      <c r="D3316" t="s">
        <v>5597</v>
      </c>
      <c r="E3316" t="str">
        <f>HYPERLINK("https://patents.google.com/patent/WO1997013997A1/en")</f>
        <v>https://patents.google.com/patent/WO1997013997A1/en</v>
      </c>
    </row>
    <row r="3317" spans="3:5" x14ac:dyDescent="0.25">
      <c r="C3317" t="s">
        <v>5598</v>
      </c>
      <c r="D3317" t="s">
        <v>5599</v>
      </c>
      <c r="E3317" t="str">
        <f>HYPERLINK("https://patents.google.com/patent/US20120139553A1/en")</f>
        <v>https://patents.google.com/patent/US20120139553A1/en</v>
      </c>
    </row>
    <row r="3318" spans="3:5" x14ac:dyDescent="0.25">
      <c r="C3318" t="s">
        <v>5600</v>
      </c>
      <c r="D3318" t="s">
        <v>5601</v>
      </c>
      <c r="E3318" t="str">
        <f>HYPERLINK("https://patents.google.com/patent/CN101695050A/en")</f>
        <v>https://patents.google.com/patent/CN101695050A/en</v>
      </c>
    </row>
    <row r="3319" spans="3:5" x14ac:dyDescent="0.25">
      <c r="C3319" t="s">
        <v>5602</v>
      </c>
      <c r="D3319" t="s">
        <v>5603</v>
      </c>
      <c r="E3319" t="str">
        <f>HYPERLINK("https://patents.google.com/patent/US4188828A/en")</f>
        <v>https://patents.google.com/patent/US4188828A/en</v>
      </c>
    </row>
    <row r="3320" spans="3:5" x14ac:dyDescent="0.25">
      <c r="C3320" t="s">
        <v>5604</v>
      </c>
      <c r="D3320" t="s">
        <v>5605</v>
      </c>
      <c r="E3320" t="str">
        <f>HYPERLINK("https://patents.google.com/patent/US3954083A/en")</f>
        <v>https://patents.google.com/patent/US3954083A/en</v>
      </c>
    </row>
    <row r="3321" spans="3:5" x14ac:dyDescent="0.25">
      <c r="C3321" t="s">
        <v>5606</v>
      </c>
      <c r="D3321" t="s">
        <v>5607</v>
      </c>
      <c r="E3321" t="str">
        <f>HYPERLINK("https://patents.google.com/patent/US2125345A/en")</f>
        <v>https://patents.google.com/patent/US2125345A/en</v>
      </c>
    </row>
    <row r="3322" spans="3:5" x14ac:dyDescent="0.25">
      <c r="C3322" t="s">
        <v>5608</v>
      </c>
      <c r="D3322" t="s">
        <v>5609</v>
      </c>
      <c r="E3322" t="str">
        <f>HYPERLINK("https://patents.google.com/patent/CN203268232U/en")</f>
        <v>https://patents.google.com/patent/CN203268232U/en</v>
      </c>
    </row>
    <row r="3323" spans="3:5" x14ac:dyDescent="0.25">
      <c r="C3323" t="s">
        <v>5610</v>
      </c>
      <c r="D3323" t="s">
        <v>5611</v>
      </c>
      <c r="E3323" t="str">
        <f>HYPERLINK("https://patents.google.com/patent/US5064213A/en")</f>
        <v>https://patents.google.com/patent/US5064213A/en</v>
      </c>
    </row>
    <row r="3324" spans="3:5" x14ac:dyDescent="0.25">
      <c r="C3324" t="s">
        <v>5612</v>
      </c>
      <c r="D3324" t="s">
        <v>5613</v>
      </c>
      <c r="E3324" t="str">
        <f>HYPERLINK("https://patents.google.com/patent/US3074644A/en")</f>
        <v>https://patents.google.com/patent/US3074644A/en</v>
      </c>
    </row>
    <row r="3325" spans="3:5" x14ac:dyDescent="0.25">
      <c r="C3325" t="s">
        <v>5614</v>
      </c>
      <c r="D3325" t="s">
        <v>5615</v>
      </c>
      <c r="E3325" t="str">
        <f>HYPERLINK("https://patents.google.com/patent/US2692358A/en")</f>
        <v>https://patents.google.com/patent/US2692358A/en</v>
      </c>
    </row>
    <row r="3326" spans="3:5" x14ac:dyDescent="0.25">
      <c r="C3326" t="s">
        <v>5616</v>
      </c>
      <c r="D3326" t="s">
        <v>5617</v>
      </c>
      <c r="E3326" t="str">
        <f>HYPERLINK("https://patents.google.com/patent/US3211936A/en")</f>
        <v>https://patents.google.com/patent/US3211936A/en</v>
      </c>
    </row>
    <row r="3327" spans="3:5" x14ac:dyDescent="0.25">
      <c r="C3327" t="s">
        <v>5618</v>
      </c>
      <c r="D3327" t="s">
        <v>5619</v>
      </c>
      <c r="E3327" t="str">
        <f>HYPERLINK("https://patents.google.com/patent/US7177133B2/en")</f>
        <v>https://patents.google.com/patent/US7177133B2/en</v>
      </c>
    </row>
    <row r="3328" spans="3:5" x14ac:dyDescent="0.25">
      <c r="C3328" t="s">
        <v>5620</v>
      </c>
      <c r="D3328" t="s">
        <v>5621</v>
      </c>
      <c r="E3328" t="str">
        <f>HYPERLINK("https://patents.google.com/patent/US20060117132A1/en")</f>
        <v>https://patents.google.com/patent/US20060117132A1/en</v>
      </c>
    </row>
    <row r="3329" spans="3:5" x14ac:dyDescent="0.25">
      <c r="C3329" t="s">
        <v>5622</v>
      </c>
      <c r="D3329" t="s">
        <v>5623</v>
      </c>
      <c r="E3329" t="str">
        <f>HYPERLINK("https://patents.google.com/patent/US5289921A/en")</f>
        <v>https://patents.google.com/patent/US5289921A/en</v>
      </c>
    </row>
    <row r="3330" spans="3:5" x14ac:dyDescent="0.25">
      <c r="C3330" t="s">
        <v>5624</v>
      </c>
      <c r="D3330" t="s">
        <v>5625</v>
      </c>
      <c r="E3330" t="str">
        <f>HYPERLINK("https://patents.google.com/patent/US4250555A/en")</f>
        <v>https://patents.google.com/patent/US4250555A/en</v>
      </c>
    </row>
    <row r="3331" spans="3:5" x14ac:dyDescent="0.25">
      <c r="C3331" t="s">
        <v>5626</v>
      </c>
      <c r="D3331" t="s">
        <v>5627</v>
      </c>
      <c r="E3331" t="str">
        <f>HYPERLINK("https://patents.google.com/patent/US3015984A/en")</f>
        <v>https://patents.google.com/patent/US3015984A/en</v>
      </c>
    </row>
    <row r="3332" spans="3:5" x14ac:dyDescent="0.25">
      <c r="C3332" t="s">
        <v>5628</v>
      </c>
      <c r="D3332" t="s">
        <v>5629</v>
      </c>
      <c r="E3332" t="str">
        <f>HYPERLINK("https://patents.google.com/patent/US2316253A/en")</f>
        <v>https://patents.google.com/patent/US2316253A/en</v>
      </c>
    </row>
    <row r="3333" spans="3:5" x14ac:dyDescent="0.25">
      <c r="C3333" t="s">
        <v>5630</v>
      </c>
      <c r="D3333" t="s">
        <v>5631</v>
      </c>
      <c r="E3333" t="str">
        <f>HYPERLINK("https://patents.google.com/patent/CN101407024A/en")</f>
        <v>https://patents.google.com/patent/CN101407024A/en</v>
      </c>
    </row>
    <row r="3334" spans="3:5" x14ac:dyDescent="0.25">
      <c r="C3334" t="s">
        <v>5632</v>
      </c>
      <c r="D3334" t="s">
        <v>5633</v>
      </c>
      <c r="E3334" t="str">
        <f>HYPERLINK("https://patents.google.com/patent/CN201129590Y/en")</f>
        <v>https://patents.google.com/patent/CN201129590Y/en</v>
      </c>
    </row>
    <row r="3335" spans="3:5" x14ac:dyDescent="0.25">
      <c r="C3335" t="s">
        <v>5634</v>
      </c>
      <c r="D3335" t="s">
        <v>5635</v>
      </c>
      <c r="E3335" t="str">
        <f>HYPERLINK("https://patents.google.com/patent/US2569127A/en")</f>
        <v>https://patents.google.com/patent/US2569127A/en</v>
      </c>
    </row>
    <row r="3336" spans="3:5" x14ac:dyDescent="0.25">
      <c r="C3336" t="s">
        <v>5636</v>
      </c>
      <c r="D3336" t="s">
        <v>5637</v>
      </c>
      <c r="E3336" t="str">
        <f>HYPERLINK("https://patents.google.com/patent/US1885754A/en")</f>
        <v>https://patents.google.com/patent/US1885754A/en</v>
      </c>
    </row>
    <row r="3337" spans="3:5" x14ac:dyDescent="0.25">
      <c r="C3337" t="s">
        <v>4793</v>
      </c>
      <c r="D3337" t="s">
        <v>5638</v>
      </c>
      <c r="E3337" t="str">
        <f>HYPERLINK("https://patents.google.com/patent/US2496860A/en")</f>
        <v>https://patents.google.com/patent/US2496860A/en</v>
      </c>
    </row>
    <row r="3338" spans="3:5" x14ac:dyDescent="0.25">
      <c r="C3338" t="s">
        <v>5639</v>
      </c>
      <c r="D3338" t="s">
        <v>5640</v>
      </c>
      <c r="E3338" t="str">
        <f>HYPERLINK("https://patents.google.com/patent/US2712976A/en")</f>
        <v>https://patents.google.com/patent/US2712976A/en</v>
      </c>
    </row>
    <row r="3339" spans="3:5" x14ac:dyDescent="0.25">
      <c r="C3339" t="s">
        <v>5641</v>
      </c>
      <c r="D3339" t="s">
        <v>5642</v>
      </c>
      <c r="E3339" t="str">
        <f>HYPERLINK("https://patents.google.com/patent/CN102655346A/en")</f>
        <v>https://patents.google.com/patent/CN102655346A/en</v>
      </c>
    </row>
    <row r="3340" spans="3:5" x14ac:dyDescent="0.25">
      <c r="C3340" t="s">
        <v>5643</v>
      </c>
      <c r="D3340" t="s">
        <v>5644</v>
      </c>
      <c r="E3340" t="str">
        <f>HYPERLINK("https://patents.google.com/patent/US3360747A/en")</f>
        <v>https://patents.google.com/patent/US3360747A/en</v>
      </c>
    </row>
    <row r="3341" spans="3:5" x14ac:dyDescent="0.25">
      <c r="C3341" t="s">
        <v>5645</v>
      </c>
      <c r="D3341" t="s">
        <v>5646</v>
      </c>
      <c r="E3341" t="str">
        <f>HYPERLINK("https://patents.google.com/patent/US20100283340A1/en")</f>
        <v>https://patents.google.com/patent/US20100283340A1/en</v>
      </c>
    </row>
    <row r="3342" spans="3:5" x14ac:dyDescent="0.25">
      <c r="C3342" t="s">
        <v>5647</v>
      </c>
      <c r="D3342" t="s">
        <v>5648</v>
      </c>
      <c r="E3342" t="str">
        <f>HYPERLINK("https://patents.google.com/patent/US20080062862A1/en")</f>
        <v>https://patents.google.com/patent/US20080062862A1/en</v>
      </c>
    </row>
    <row r="3343" spans="3:5" x14ac:dyDescent="0.25">
      <c r="C3343" t="s">
        <v>5649</v>
      </c>
      <c r="D3343" t="s">
        <v>5650</v>
      </c>
      <c r="E3343" t="str">
        <f>HYPERLINK("https://patents.google.com/patent/US2796630A/en")</f>
        <v>https://patents.google.com/patent/US2796630A/en</v>
      </c>
    </row>
    <row r="3344" spans="3:5" x14ac:dyDescent="0.25">
      <c r="C3344" t="s">
        <v>5651</v>
      </c>
      <c r="D3344" t="s">
        <v>5652</v>
      </c>
      <c r="E3344" t="str">
        <f>HYPERLINK("https://patents.google.com/patent/US2776378A/en")</f>
        <v>https://patents.google.com/patent/US2776378A/en</v>
      </c>
    </row>
    <row r="3345" spans="3:5" x14ac:dyDescent="0.25">
      <c r="C3345" t="s">
        <v>5653</v>
      </c>
      <c r="D3345" t="s">
        <v>5654</v>
      </c>
      <c r="E3345" t="str">
        <f>HYPERLINK("https://patents.google.com/patent/US4341202A/en")</f>
        <v>https://patents.google.com/patent/US4341202A/en</v>
      </c>
    </row>
    <row r="3346" spans="3:5" x14ac:dyDescent="0.25">
      <c r="C3346" t="s">
        <v>5655</v>
      </c>
      <c r="D3346" t="s">
        <v>5656</v>
      </c>
      <c r="E3346" t="str">
        <f>HYPERLINK("https://patents.google.com/patent/US20040023411A1/en")</f>
        <v>https://patents.google.com/patent/US20040023411A1/en</v>
      </c>
    </row>
    <row r="3347" spans="3:5" x14ac:dyDescent="0.25">
      <c r="C3347" t="s">
        <v>5657</v>
      </c>
      <c r="D3347" t="s">
        <v>5658</v>
      </c>
      <c r="E3347" t="str">
        <f>HYPERLINK("https://patents.google.com/patent/US6700804B1/en")</f>
        <v>https://patents.google.com/patent/US6700804B1/en</v>
      </c>
    </row>
    <row r="3348" spans="3:5" x14ac:dyDescent="0.25">
      <c r="C3348" t="s">
        <v>5659</v>
      </c>
      <c r="D3348" t="s">
        <v>5660</v>
      </c>
      <c r="E3348" t="str">
        <f>HYPERLINK("https://patents.google.com/patent/US3085808A/en")</f>
        <v>https://patents.google.com/patent/US3085808A/en</v>
      </c>
    </row>
    <row r="3349" spans="3:5" x14ac:dyDescent="0.25">
      <c r="C3349" t="s">
        <v>5661</v>
      </c>
      <c r="D3349" t="s">
        <v>5662</v>
      </c>
      <c r="E3349" t="str">
        <f>HYPERLINK("https://patents.google.com/patent/US6622740B1/en")</f>
        <v>https://patents.google.com/patent/US6622740B1/en</v>
      </c>
    </row>
    <row r="3350" spans="3:5" x14ac:dyDescent="0.25">
      <c r="C3350" t="s">
        <v>4801</v>
      </c>
      <c r="D3350" t="s">
        <v>5663</v>
      </c>
      <c r="E3350" t="str">
        <f>HYPERLINK("https://patents.google.com/patent/US2209369A/en")</f>
        <v>https://patents.google.com/patent/US2209369A/en</v>
      </c>
    </row>
    <row r="3351" spans="3:5" x14ac:dyDescent="0.25">
      <c r="C3351" t="s">
        <v>5664</v>
      </c>
      <c r="D3351" t="s">
        <v>5665</v>
      </c>
      <c r="E3351" t="str">
        <f>HYPERLINK("https://patents.google.com/patent/US4319722A/en")</f>
        <v>https://patents.google.com/patent/US4319722A/en</v>
      </c>
    </row>
    <row r="3352" spans="3:5" x14ac:dyDescent="0.25">
      <c r="C3352" t="s">
        <v>5666</v>
      </c>
      <c r="D3352" t="s">
        <v>5667</v>
      </c>
      <c r="E3352" t="str">
        <f>HYPERLINK("https://patents.google.com/patent/US20060226106A1/en")</f>
        <v>https://patents.google.com/patent/US20060226106A1/en</v>
      </c>
    </row>
    <row r="3353" spans="3:5" x14ac:dyDescent="0.25">
      <c r="C3353" t="s">
        <v>5668</v>
      </c>
      <c r="D3353" t="s">
        <v>5669</v>
      </c>
      <c r="E3353" t="str">
        <f>HYPERLINK("https://patents.google.com/patent/US1850130A/en")</f>
        <v>https://patents.google.com/patent/US1850130A/en</v>
      </c>
    </row>
    <row r="3354" spans="3:5" x14ac:dyDescent="0.25">
      <c r="C3354" t="s">
        <v>5670</v>
      </c>
      <c r="D3354" t="s">
        <v>5671</v>
      </c>
      <c r="E3354" t="str">
        <f>HYPERLINK("https://patents.google.com/patent/US3108929A/en")</f>
        <v>https://patents.google.com/patent/US3108929A/en</v>
      </c>
    </row>
    <row r="3355" spans="3:5" x14ac:dyDescent="0.25">
      <c r="C3355" t="s">
        <v>5672</v>
      </c>
      <c r="D3355" t="s">
        <v>5673</v>
      </c>
      <c r="E3355" t="str">
        <f>HYPERLINK("https://patents.google.com/patent/US5881026A/en")</f>
        <v>https://patents.google.com/patent/US5881026A/en</v>
      </c>
    </row>
    <row r="3356" spans="3:5" x14ac:dyDescent="0.25">
      <c r="C3356" t="s">
        <v>5674</v>
      </c>
      <c r="D3356" t="s">
        <v>5675</v>
      </c>
      <c r="E3356" t="str">
        <f>HYPERLINK("https://patents.google.com/patent/US20070258806A1/en")</f>
        <v>https://patents.google.com/patent/US20070258806A1/en</v>
      </c>
    </row>
    <row r="3357" spans="3:5" x14ac:dyDescent="0.25">
      <c r="C3357" t="s">
        <v>5676</v>
      </c>
      <c r="D3357" t="s">
        <v>5677</v>
      </c>
      <c r="E3357" t="str">
        <f>HYPERLINK("https://patents.google.com/patent/CN101600226A/en")</f>
        <v>https://patents.google.com/patent/CN101600226A/en</v>
      </c>
    </row>
    <row r="3358" spans="3:5" x14ac:dyDescent="0.25">
      <c r="C3358" t="s">
        <v>5678</v>
      </c>
      <c r="D3358" t="s">
        <v>5679</v>
      </c>
      <c r="E3358" t="str">
        <f>HYPERLINK("https://patents.google.com/patent/US20060206635A1/en")</f>
        <v>https://patents.google.com/patent/US20060206635A1/en</v>
      </c>
    </row>
    <row r="3359" spans="3:5" x14ac:dyDescent="0.25">
      <c r="C3359" t="s">
        <v>5680</v>
      </c>
      <c r="D3359" t="s">
        <v>5681</v>
      </c>
      <c r="E3359" t="str">
        <f>HYPERLINK("https://patents.google.com/patent/US5142936A/en")</f>
        <v>https://patents.google.com/patent/US5142936A/en</v>
      </c>
    </row>
    <row r="3360" spans="3:5" x14ac:dyDescent="0.25">
      <c r="C3360" t="s">
        <v>5682</v>
      </c>
      <c r="D3360" t="s">
        <v>5683</v>
      </c>
      <c r="E3360" t="str">
        <f>HYPERLINK("https://patents.google.com/patent/CN1553588A/en")</f>
        <v>https://patents.google.com/patent/CN1553588A/en</v>
      </c>
    </row>
    <row r="3361" spans="3:5" x14ac:dyDescent="0.25">
      <c r="C3361" t="s">
        <v>5684</v>
      </c>
      <c r="D3361" t="s">
        <v>5685</v>
      </c>
      <c r="E3361" t="str">
        <f>HYPERLINK("https://patents.google.com/patent/US20050201744A1/en")</f>
        <v>https://patents.google.com/patent/US20050201744A1/en</v>
      </c>
    </row>
    <row r="3362" spans="3:5" x14ac:dyDescent="0.25">
      <c r="C3362" t="s">
        <v>5686</v>
      </c>
      <c r="D3362" t="s">
        <v>5687</v>
      </c>
      <c r="E3362" t="str">
        <f>HYPERLINK("https://patents.google.com/patent/US8353199B1/en")</f>
        <v>https://patents.google.com/patent/US8353199B1/en</v>
      </c>
    </row>
    <row r="3363" spans="3:5" x14ac:dyDescent="0.25">
      <c r="C3363" t="s">
        <v>5688</v>
      </c>
      <c r="D3363" t="s">
        <v>5689</v>
      </c>
      <c r="E3363" t="str">
        <f>HYPERLINK("https://patents.google.com/patent/US3894476A/en")</f>
        <v>https://patents.google.com/patent/US3894476A/en</v>
      </c>
    </row>
    <row r="3364" spans="3:5" x14ac:dyDescent="0.25">
      <c r="C3364" t="s">
        <v>5690</v>
      </c>
      <c r="D3364" t="s">
        <v>5691</v>
      </c>
      <c r="E3364" t="str">
        <f>HYPERLINK("https://patents.google.com/patent/US2964037A/en")</f>
        <v>https://patents.google.com/patent/US2964037A/en</v>
      </c>
    </row>
    <row r="3365" spans="3:5" x14ac:dyDescent="0.25">
      <c r="C3365" t="s">
        <v>5692</v>
      </c>
      <c r="D3365" t="s">
        <v>5693</v>
      </c>
      <c r="E3365" t="str">
        <f>HYPERLINK("https://patents.google.com/patent/US2537498A/en")</f>
        <v>https://patents.google.com/patent/US2537498A/en</v>
      </c>
    </row>
    <row r="3366" spans="3:5" x14ac:dyDescent="0.25">
      <c r="C3366" t="s">
        <v>5694</v>
      </c>
      <c r="D3366" t="s">
        <v>5695</v>
      </c>
      <c r="E3366" t="str">
        <f>HYPERLINK("https://patents.google.com/patent/US6917130B2/en")</f>
        <v>https://patents.google.com/patent/US6917130B2/en</v>
      </c>
    </row>
    <row r="3367" spans="3:5" x14ac:dyDescent="0.25">
      <c r="C3367" t="s">
        <v>5696</v>
      </c>
      <c r="D3367" t="s">
        <v>5697</v>
      </c>
      <c r="E3367" t="str">
        <f>HYPERLINK("https://patents.google.com/patent/US4867163A/en")</f>
        <v>https://patents.google.com/patent/US4867163A/en</v>
      </c>
    </row>
    <row r="3368" spans="3:5" x14ac:dyDescent="0.25">
      <c r="C3368" t="s">
        <v>5698</v>
      </c>
      <c r="D3368" t="s">
        <v>5699</v>
      </c>
      <c r="E3368" t="str">
        <f>HYPERLINK("https://patents.google.com/patent/US20130307274A1/en")</f>
        <v>https://patents.google.com/patent/US20130307274A1/en</v>
      </c>
    </row>
    <row r="3369" spans="3:5" x14ac:dyDescent="0.25">
      <c r="C3369" t="s">
        <v>5700</v>
      </c>
      <c r="D3369" t="s">
        <v>5701</v>
      </c>
      <c r="E3369" t="str">
        <f>HYPERLINK("https://patents.google.com/patent/US414642A/en")</f>
        <v>https://patents.google.com/patent/US414642A/en</v>
      </c>
    </row>
    <row r="3370" spans="3:5" x14ac:dyDescent="0.25">
      <c r="C3370" t="s">
        <v>5702</v>
      </c>
      <c r="D3370" t="s">
        <v>5703</v>
      </c>
      <c r="E3370" t="str">
        <f>HYPERLINK("https://patents.google.com/patent/US5871211A/en")</f>
        <v>https://patents.google.com/patent/US5871211A/en</v>
      </c>
    </row>
    <row r="3371" spans="3:5" x14ac:dyDescent="0.25">
      <c r="C3371" t="s">
        <v>5704</v>
      </c>
      <c r="D3371" t="s">
        <v>5705</v>
      </c>
      <c r="E3371" t="str">
        <f>HYPERLINK("https://patents.google.com/patent/CN102629219A/en")</f>
        <v>https://patents.google.com/patent/CN102629219A/en</v>
      </c>
    </row>
    <row r="3372" spans="3:5" x14ac:dyDescent="0.25">
      <c r="C3372" t="s">
        <v>5706</v>
      </c>
      <c r="D3372" t="s">
        <v>5707</v>
      </c>
      <c r="E3372" t="str">
        <f>HYPERLINK("https://patents.google.com/patent/US6987485B2/en")</f>
        <v>https://patents.google.com/patent/US6987485B2/en</v>
      </c>
    </row>
    <row r="3373" spans="3:5" x14ac:dyDescent="0.25">
      <c r="C3373" t="s">
        <v>5708</v>
      </c>
      <c r="D3373" t="s">
        <v>5709</v>
      </c>
      <c r="E3373" t="str">
        <f>HYPERLINK("https://patents.google.com/patent/US7328682B2/en")</f>
        <v>https://patents.google.com/patent/US7328682B2/en</v>
      </c>
    </row>
    <row r="3374" spans="3:5" x14ac:dyDescent="0.25">
      <c r="C3374" t="s">
        <v>5710</v>
      </c>
      <c r="D3374" t="s">
        <v>5711</v>
      </c>
      <c r="E3374" t="str">
        <f>HYPERLINK("https://patents.google.com/patent/US5383427A/en")</f>
        <v>https://patents.google.com/patent/US5383427A/en</v>
      </c>
    </row>
    <row r="3375" spans="3:5" x14ac:dyDescent="0.25">
      <c r="C3375" t="s">
        <v>5712</v>
      </c>
      <c r="D3375" t="s">
        <v>5713</v>
      </c>
      <c r="E3375" t="str">
        <f>HYPERLINK("https://patents.google.com/patent/US20140306662A1/en")</f>
        <v>https://patents.google.com/patent/US20140306662A1/en</v>
      </c>
    </row>
    <row r="3376" spans="3:5" x14ac:dyDescent="0.25">
      <c r="C3376" t="s">
        <v>5714</v>
      </c>
      <c r="D3376" t="s">
        <v>5715</v>
      </c>
      <c r="E3376" t="str">
        <f>HYPERLINK("https://patents.google.com/patent/US7590984B2/en")</f>
        <v>https://patents.google.com/patent/US7590984B2/en</v>
      </c>
    </row>
    <row r="3377" spans="3:5" x14ac:dyDescent="0.25">
      <c r="C3377" t="s">
        <v>5716</v>
      </c>
      <c r="D3377" t="s">
        <v>5717</v>
      </c>
      <c r="E3377" t="str">
        <f>HYPERLINK("https://patents.google.com/patent/JP2006263241A/en")</f>
        <v>https://patents.google.com/patent/JP2006263241A/en</v>
      </c>
    </row>
    <row r="3378" spans="3:5" x14ac:dyDescent="0.25">
      <c r="C3378" t="s">
        <v>5718</v>
      </c>
      <c r="D3378" t="s">
        <v>5719</v>
      </c>
      <c r="E3378" t="str">
        <f>HYPERLINK("https://patents.google.com/patent/DE4105274A1/en")</f>
        <v>https://patents.google.com/patent/DE4105274A1/en</v>
      </c>
    </row>
    <row r="3379" spans="3:5" x14ac:dyDescent="0.25">
      <c r="C3379" t="s">
        <v>5720</v>
      </c>
      <c r="D3379" t="s">
        <v>5721</v>
      </c>
      <c r="E3379" t="str">
        <f>HYPERLINK("https://patents.google.com/patent/US7707987B2/en")</f>
        <v>https://patents.google.com/patent/US7707987B2/en</v>
      </c>
    </row>
    <row r="3380" spans="3:5" x14ac:dyDescent="0.25">
      <c r="C3380" t="s">
        <v>5722</v>
      </c>
      <c r="D3380" t="s">
        <v>5723</v>
      </c>
      <c r="E3380" t="str">
        <f>HYPERLINK("https://patents.google.com/patent/EP1154513A1/en")</f>
        <v>https://patents.google.com/patent/EP1154513A1/en</v>
      </c>
    </row>
    <row r="3381" spans="3:5" x14ac:dyDescent="0.25">
      <c r="C3381" t="s">
        <v>5724</v>
      </c>
      <c r="D3381" t="s">
        <v>5725</v>
      </c>
      <c r="E3381" t="str">
        <f>HYPERLINK("https://patents.google.com/patent/US2887532A/en")</f>
        <v>https://patents.google.com/patent/US2887532A/en</v>
      </c>
    </row>
    <row r="3382" spans="3:5" x14ac:dyDescent="0.25">
      <c r="C3382" t="s">
        <v>5726</v>
      </c>
      <c r="D3382" t="s">
        <v>5727</v>
      </c>
      <c r="E3382" t="str">
        <f>HYPERLINK("https://patents.google.com/patent/US4398705A/en")</f>
        <v>https://patents.google.com/patent/US4398705A/en</v>
      </c>
    </row>
    <row r="3383" spans="3:5" x14ac:dyDescent="0.25">
      <c r="C3383" t="s">
        <v>5728</v>
      </c>
      <c r="D3383" t="s">
        <v>5729</v>
      </c>
      <c r="E3383" t="str">
        <f>HYPERLINK("https://patents.google.com/patent/EP0584713A1/en")</f>
        <v>https://patents.google.com/patent/EP0584713A1/en</v>
      </c>
    </row>
    <row r="3384" spans="3:5" x14ac:dyDescent="0.25">
      <c r="C3384" t="s">
        <v>5730</v>
      </c>
      <c r="D3384" t="s">
        <v>5731</v>
      </c>
      <c r="E3384" t="str">
        <f>HYPERLINK("https://patents.google.com/patent/CN2385330Y/en")</f>
        <v>https://patents.google.com/patent/CN2385330Y/en</v>
      </c>
    </row>
    <row r="3385" spans="3:5" x14ac:dyDescent="0.25">
      <c r="C3385" t="s">
        <v>5732</v>
      </c>
      <c r="D3385" t="s">
        <v>5733</v>
      </c>
      <c r="E3385" t="str">
        <f>HYPERLINK("https://patents.google.com/patent/WO2003011090A1/en")</f>
        <v>https://patents.google.com/patent/WO2003011090A1/en</v>
      </c>
    </row>
    <row r="3386" spans="3:5" x14ac:dyDescent="0.25">
      <c r="C3386" t="s">
        <v>5734</v>
      </c>
      <c r="D3386" t="s">
        <v>5735</v>
      </c>
      <c r="E3386" t="str">
        <f>HYPERLINK("https://patents.google.com/patent/US20150016260A1/en")</f>
        <v>https://patents.google.com/patent/US20150016260A1/en</v>
      </c>
    </row>
    <row r="3387" spans="3:5" x14ac:dyDescent="0.25">
      <c r="C3387" t="s">
        <v>5736</v>
      </c>
      <c r="D3387" t="s">
        <v>5737</v>
      </c>
      <c r="E3387" t="str">
        <f>HYPERLINK("https://patents.google.com/patent/US20100132137A1/en")</f>
        <v>https://patents.google.com/patent/US20100132137A1/en</v>
      </c>
    </row>
    <row r="3388" spans="3:5" x14ac:dyDescent="0.25">
      <c r="C3388" t="s">
        <v>5738</v>
      </c>
      <c r="D3388" t="s">
        <v>5739</v>
      </c>
      <c r="E3388" t="str">
        <f>HYPERLINK("https://patents.google.com/patent/US20030172163A1/en")</f>
        <v>https://patents.google.com/patent/US20030172163A1/en</v>
      </c>
    </row>
    <row r="3389" spans="3:5" x14ac:dyDescent="0.25">
      <c r="C3389" t="s">
        <v>5740</v>
      </c>
      <c r="D3389" t="s">
        <v>5741</v>
      </c>
      <c r="E3389" t="str">
        <f>HYPERLINK("https://patents.google.com/patent/US4271631A/en")</f>
        <v>https://patents.google.com/patent/US4271631A/en</v>
      </c>
    </row>
    <row r="3390" spans="3:5" x14ac:dyDescent="0.25">
      <c r="C3390" t="s">
        <v>5742</v>
      </c>
      <c r="D3390" t="s">
        <v>5743</v>
      </c>
      <c r="E3390" t="str">
        <f>HYPERLINK("https://patents.google.com/patent/US3256740A/en")</f>
        <v>https://patents.google.com/patent/US3256740A/en</v>
      </c>
    </row>
    <row r="3391" spans="3:5" x14ac:dyDescent="0.25">
      <c r="C3391" t="s">
        <v>5744</v>
      </c>
      <c r="D3391" t="s">
        <v>5745</v>
      </c>
      <c r="E3391" t="str">
        <f>HYPERLINK("https://patents.google.com/patent/CN201623470U/en")</f>
        <v>https://patents.google.com/patent/CN201623470U/en</v>
      </c>
    </row>
    <row r="3392" spans="3:5" x14ac:dyDescent="0.25">
      <c r="C3392" t="s">
        <v>5746</v>
      </c>
      <c r="D3392" t="s">
        <v>5747</v>
      </c>
      <c r="E3392" t="str">
        <f>HYPERLINK("https://patents.google.com/patent/US4009888A/en")</f>
        <v>https://patents.google.com/patent/US4009888A/en</v>
      </c>
    </row>
    <row r="3393" spans="3:5" x14ac:dyDescent="0.25">
      <c r="C3393" t="s">
        <v>5748</v>
      </c>
      <c r="D3393" t="s">
        <v>5749</v>
      </c>
      <c r="E3393" t="str">
        <f>HYPERLINK("https://patents.google.com/patent/US8078357B1/en")</f>
        <v>https://patents.google.com/patent/US8078357B1/en</v>
      </c>
    </row>
    <row r="3394" spans="3:5" x14ac:dyDescent="0.25">
      <c r="C3394" t="s">
        <v>5750</v>
      </c>
      <c r="D3394" t="s">
        <v>5751</v>
      </c>
      <c r="E3394" t="str">
        <f>HYPERLINK("https://patents.google.com/patent/CN1831253A/en")</f>
        <v>https://patents.google.com/patent/CN1831253A/en</v>
      </c>
    </row>
    <row r="3395" spans="3:5" x14ac:dyDescent="0.25">
      <c r="C3395" t="s">
        <v>5649</v>
      </c>
      <c r="D3395" t="s">
        <v>5752</v>
      </c>
      <c r="E3395" t="str">
        <f>HYPERLINK("https://patents.google.com/patent/US2747219A/en")</f>
        <v>https://patents.google.com/patent/US2747219A/en</v>
      </c>
    </row>
    <row r="3396" spans="3:5" x14ac:dyDescent="0.25">
      <c r="C3396" t="s">
        <v>5753</v>
      </c>
      <c r="D3396" t="s">
        <v>5754</v>
      </c>
      <c r="E3396" t="str">
        <f>HYPERLINK("https://patents.google.com/patent/CN104029769A/en")</f>
        <v>https://patents.google.com/patent/CN104029769A/en</v>
      </c>
    </row>
    <row r="3397" spans="3:5" x14ac:dyDescent="0.25">
      <c r="C3397" t="s">
        <v>5755</v>
      </c>
      <c r="D3397" t="s">
        <v>5756</v>
      </c>
      <c r="E3397" t="str">
        <f>HYPERLINK("https://patents.google.com/patent/US20050055694A1/en")</f>
        <v>https://patents.google.com/patent/US20050055694A1/en</v>
      </c>
    </row>
    <row r="3398" spans="3:5" x14ac:dyDescent="0.25">
      <c r="C3398" t="s">
        <v>5757</v>
      </c>
      <c r="D3398" t="s">
        <v>5758</v>
      </c>
      <c r="E3398" t="str">
        <f>HYPERLINK("https://patents.google.com/patent/US9007302B1/en")</f>
        <v>https://patents.google.com/patent/US9007302B1/en</v>
      </c>
    </row>
    <row r="3399" spans="3:5" x14ac:dyDescent="0.25">
      <c r="C3399" t="s">
        <v>5759</v>
      </c>
      <c r="D3399" t="s">
        <v>5760</v>
      </c>
      <c r="E3399" t="str">
        <f>HYPERLINK("https://patents.google.com/patent/US20030193959A1/en")</f>
        <v>https://patents.google.com/patent/US20030193959A1/en</v>
      </c>
    </row>
    <row r="3400" spans="3:5" x14ac:dyDescent="0.25">
      <c r="C3400" t="s">
        <v>5761</v>
      </c>
      <c r="D3400" t="s">
        <v>5762</v>
      </c>
      <c r="E3400" t="str">
        <f>HYPERLINK("https://patents.google.com/patent/CN1677908A/en")</f>
        <v>https://patents.google.com/patent/CN1677908A/en</v>
      </c>
    </row>
    <row r="3401" spans="3:5" x14ac:dyDescent="0.25">
      <c r="C3401" t="s">
        <v>5649</v>
      </c>
      <c r="D3401" t="s">
        <v>5763</v>
      </c>
      <c r="E3401" t="str">
        <f>HYPERLINK("https://patents.google.com/patent/US2791795A/en")</f>
        <v>https://patents.google.com/patent/US2791795A/en</v>
      </c>
    </row>
    <row r="3402" spans="3:5" x14ac:dyDescent="0.25">
      <c r="C3402" t="s">
        <v>5764</v>
      </c>
      <c r="D3402" t="s">
        <v>5765</v>
      </c>
      <c r="E3402" t="str">
        <f>HYPERLINK("https://patents.google.com/patent/CN1569606A/en")</f>
        <v>https://patents.google.com/patent/CN1569606A/en</v>
      </c>
    </row>
    <row r="3403" spans="3:5" x14ac:dyDescent="0.25">
      <c r="C3403" t="s">
        <v>5766</v>
      </c>
      <c r="D3403" t="s">
        <v>5767</v>
      </c>
      <c r="E3403" t="str">
        <f>HYPERLINK("https://patents.google.com/patent/US4658440A/en")</f>
        <v>https://patents.google.com/patent/US4658440A/en</v>
      </c>
    </row>
    <row r="3404" spans="3:5" x14ac:dyDescent="0.25">
      <c r="C3404" t="s">
        <v>5768</v>
      </c>
      <c r="D3404" t="s">
        <v>5769</v>
      </c>
      <c r="E3404" t="str">
        <f>HYPERLINK("https://patents.google.com/patent/US3855555A/en")</f>
        <v>https://patents.google.com/patent/US3855555A/en</v>
      </c>
    </row>
    <row r="3405" spans="3:5" x14ac:dyDescent="0.25">
      <c r="C3405" t="s">
        <v>5770</v>
      </c>
      <c r="D3405" t="s">
        <v>5771</v>
      </c>
      <c r="E3405" t="str">
        <f>HYPERLINK("https://patents.google.com/patent/US20050114045A1/en")</f>
        <v>https://patents.google.com/patent/US20050114045A1/en</v>
      </c>
    </row>
    <row r="3406" spans="3:5" x14ac:dyDescent="0.25">
      <c r="C3406" t="s">
        <v>5772</v>
      </c>
      <c r="D3406" t="s">
        <v>5773</v>
      </c>
      <c r="E3406" t="str">
        <f>HYPERLINK("https://patents.google.com/patent/US6817266B1/en")</f>
        <v>https://patents.google.com/patent/US6817266B1/en</v>
      </c>
    </row>
    <row r="3407" spans="3:5" x14ac:dyDescent="0.25">
      <c r="C3407" t="s">
        <v>5774</v>
      </c>
      <c r="D3407" t="s">
        <v>5775</v>
      </c>
      <c r="E3407" t="str">
        <f>HYPERLINK("https://patents.google.com/patent/US5532591A/en")</f>
        <v>https://patents.google.com/patent/US5532591A/en</v>
      </c>
    </row>
    <row r="3408" spans="3:5" x14ac:dyDescent="0.25">
      <c r="C3408" t="s">
        <v>5776</v>
      </c>
      <c r="D3408" t="s">
        <v>5777</v>
      </c>
      <c r="E3408" t="str">
        <f>HYPERLINK("https://patents.google.com/patent/US4780093A/en")</f>
        <v>https://patents.google.com/patent/US4780093A/en</v>
      </c>
    </row>
    <row r="3409" spans="3:5" x14ac:dyDescent="0.25">
      <c r="C3409" t="s">
        <v>5778</v>
      </c>
      <c r="D3409" t="s">
        <v>5779</v>
      </c>
      <c r="E3409" t="str">
        <f>HYPERLINK("https://patents.google.com/patent/US2960870A/en")</f>
        <v>https://patents.google.com/patent/US2960870A/en</v>
      </c>
    </row>
    <row r="3410" spans="3:5" x14ac:dyDescent="0.25">
      <c r="C3410" t="s">
        <v>5780</v>
      </c>
      <c r="D3410" t="s">
        <v>5781</v>
      </c>
      <c r="E3410" t="str">
        <f>HYPERLINK("https://patents.google.com/patent/US3366202A/en")</f>
        <v>https://patents.google.com/patent/US3366202A/en</v>
      </c>
    </row>
    <row r="3411" spans="3:5" x14ac:dyDescent="0.25">
      <c r="C3411" t="s">
        <v>5782</v>
      </c>
      <c r="D3411" t="s">
        <v>5783</v>
      </c>
      <c r="E3411" t="str">
        <f>HYPERLINK("https://patents.google.com/patent/US20120324447A1/en")</f>
        <v>https://patents.google.com/patent/US20120324447A1/en</v>
      </c>
    </row>
    <row r="3412" spans="3:5" x14ac:dyDescent="0.25">
      <c r="C3412" t="s">
        <v>5784</v>
      </c>
      <c r="D3412" t="s">
        <v>5785</v>
      </c>
      <c r="E3412" t="str">
        <f>HYPERLINK("https://patents.google.com/patent/US3794447A/en")</f>
        <v>https://patents.google.com/patent/US3794447A/en</v>
      </c>
    </row>
    <row r="3413" spans="3:5" x14ac:dyDescent="0.25">
      <c r="C3413" t="s">
        <v>5786</v>
      </c>
      <c r="D3413" t="s">
        <v>5787</v>
      </c>
      <c r="E3413" t="str">
        <f>HYPERLINK("https://patents.google.com/patent/US5069066A/en")</f>
        <v>https://patents.google.com/patent/US5069066A/en</v>
      </c>
    </row>
    <row r="3414" spans="3:5" x14ac:dyDescent="0.25">
      <c r="C3414" t="s">
        <v>5788</v>
      </c>
      <c r="D3414" t="s">
        <v>5789</v>
      </c>
      <c r="E3414" t="str">
        <f>HYPERLINK("https://patents.google.com/patent/US4295386A/en")</f>
        <v>https://patents.google.com/patent/US4295386A/en</v>
      </c>
    </row>
    <row r="3415" spans="3:5" x14ac:dyDescent="0.25">
      <c r="C3415" t="s">
        <v>5790</v>
      </c>
      <c r="D3415" t="s">
        <v>5791</v>
      </c>
      <c r="E3415" t="str">
        <f>HYPERLINK("https://patents.google.com/patent/US20090172286A1/en")</f>
        <v>https://patents.google.com/patent/US20090172286A1/en</v>
      </c>
    </row>
    <row r="3416" spans="3:5" x14ac:dyDescent="0.25">
      <c r="C3416" t="s">
        <v>5792</v>
      </c>
      <c r="D3416" t="s">
        <v>5793</v>
      </c>
      <c r="E3416" t="str">
        <f>HYPERLINK("https://patents.google.com/patent/US5536190A/en")</f>
        <v>https://patents.google.com/patent/US5536190A/en</v>
      </c>
    </row>
    <row r="3417" spans="3:5" x14ac:dyDescent="0.25">
      <c r="C3417" t="s">
        <v>5794</v>
      </c>
      <c r="D3417" t="s">
        <v>5795</v>
      </c>
      <c r="E3417" t="str">
        <f>HYPERLINK("https://patents.google.com/patent/US3215161A/en")</f>
        <v>https://patents.google.com/patent/US3215161A/en</v>
      </c>
    </row>
    <row r="3418" spans="3:5" x14ac:dyDescent="0.25">
      <c r="C3418" t="s">
        <v>5796</v>
      </c>
      <c r="D3418" t="s">
        <v>5797</v>
      </c>
      <c r="E3418" t="str">
        <f>HYPERLINK("https://patents.google.com/patent/US3680653A/en")</f>
        <v>https://patents.google.com/patent/US3680653A/en</v>
      </c>
    </row>
    <row r="3419" spans="3:5" x14ac:dyDescent="0.25">
      <c r="C3419" t="s">
        <v>5798</v>
      </c>
      <c r="D3419" t="s">
        <v>5799</v>
      </c>
      <c r="E3419" t="str">
        <f>HYPERLINK("https://patents.google.com/patent/US7327137B1/en")</f>
        <v>https://patents.google.com/patent/US7327137B1/en</v>
      </c>
    </row>
    <row r="3420" spans="3:5" x14ac:dyDescent="0.25">
      <c r="C3420" t="s">
        <v>5800</v>
      </c>
      <c r="D3420" t="s">
        <v>5801</v>
      </c>
      <c r="E3420" t="str">
        <f>HYPERLINK("https://patents.google.com/patent/US5828847A/en")</f>
        <v>https://patents.google.com/patent/US5828847A/en</v>
      </c>
    </row>
    <row r="3421" spans="3:5" x14ac:dyDescent="0.25">
      <c r="C3421" t="s">
        <v>5802</v>
      </c>
      <c r="D3421" t="s">
        <v>5803</v>
      </c>
      <c r="E3421" t="str">
        <f>HYPERLINK("https://patents.google.com/patent/US4279147A/en")</f>
        <v>https://patents.google.com/patent/US4279147A/en</v>
      </c>
    </row>
    <row r="3422" spans="3:5" x14ac:dyDescent="0.25">
      <c r="C3422" t="s">
        <v>5804</v>
      </c>
      <c r="D3422" t="s">
        <v>5805</v>
      </c>
      <c r="E3422" t="str">
        <f>HYPERLINK("https://patents.google.com/patent/US20150037624A1/en")</f>
        <v>https://patents.google.com/patent/US20150037624A1/en</v>
      </c>
    </row>
    <row r="3423" spans="3:5" x14ac:dyDescent="0.25">
      <c r="C3423" t="s">
        <v>5806</v>
      </c>
      <c r="D3423" t="s">
        <v>5807</v>
      </c>
      <c r="E3423" t="str">
        <f>HYPERLINK("https://patents.google.com/patent/US7032037B2/en")</f>
        <v>https://patents.google.com/patent/US7032037B2/en</v>
      </c>
    </row>
    <row r="3424" spans="3:5" x14ac:dyDescent="0.25">
      <c r="C3424" t="s">
        <v>5808</v>
      </c>
      <c r="D3424" t="s">
        <v>5809</v>
      </c>
      <c r="E3424" t="str">
        <f>HYPERLINK("https://patents.google.com/patent/US6952401B1/en")</f>
        <v>https://patents.google.com/patent/US6952401B1/en</v>
      </c>
    </row>
    <row r="3425" spans="3:5" x14ac:dyDescent="0.25">
      <c r="C3425" t="s">
        <v>5810</v>
      </c>
      <c r="D3425" t="s">
        <v>5811</v>
      </c>
      <c r="E3425" t="str">
        <f>HYPERLINK("https://patents.google.com/patent/US7461130B1/en")</f>
        <v>https://patents.google.com/patent/US7461130B1/en</v>
      </c>
    </row>
    <row r="3426" spans="3:5" x14ac:dyDescent="0.25">
      <c r="C3426" t="s">
        <v>5812</v>
      </c>
      <c r="D3426" t="s">
        <v>5813</v>
      </c>
      <c r="E3426" t="str">
        <f>HYPERLINK("https://patents.google.com/patent/US3584503A/en")</f>
        <v>https://patents.google.com/patent/US3584503A/en</v>
      </c>
    </row>
    <row r="3427" spans="3:5" x14ac:dyDescent="0.25">
      <c r="C3427" t="s">
        <v>5814</v>
      </c>
      <c r="D3427" t="s">
        <v>5815</v>
      </c>
      <c r="E3427" t="str">
        <f>HYPERLINK("https://patents.google.com/patent/US5847479A/en")</f>
        <v>https://patents.google.com/patent/US5847479A/en</v>
      </c>
    </row>
    <row r="3428" spans="3:5" x14ac:dyDescent="0.25">
      <c r="C3428" t="s">
        <v>5816</v>
      </c>
      <c r="D3428" t="s">
        <v>5817</v>
      </c>
      <c r="E3428" t="str">
        <f>HYPERLINK("https://patents.google.com/patent/US20070193803A1/en")</f>
        <v>https://patents.google.com/patent/US20070193803A1/en</v>
      </c>
    </row>
    <row r="3429" spans="3:5" x14ac:dyDescent="0.25">
      <c r="C3429" t="s">
        <v>5818</v>
      </c>
      <c r="D3429" t="s">
        <v>5819</v>
      </c>
      <c r="E3429" t="str">
        <f>HYPERLINK("https://patents.google.com/patent/US7724103B2/en")</f>
        <v>https://patents.google.com/patent/US7724103B2/en</v>
      </c>
    </row>
    <row r="3430" spans="3:5" x14ac:dyDescent="0.25">
      <c r="C3430" t="s">
        <v>5820</v>
      </c>
      <c r="D3430" t="s">
        <v>5821</v>
      </c>
      <c r="E3430" t="str">
        <f>HYPERLINK("https://patents.google.com/patent/US7880434B2/en")</f>
        <v>https://patents.google.com/patent/US7880434B2/en</v>
      </c>
    </row>
    <row r="3431" spans="3:5" x14ac:dyDescent="0.25">
      <c r="C3431" t="s">
        <v>5822</v>
      </c>
      <c r="D3431" t="s">
        <v>5823</v>
      </c>
      <c r="E3431" t="str">
        <f>HYPERLINK("https://patents.google.com/patent/US20080309288A1/en")</f>
        <v>https://patents.google.com/patent/US20080309288A1/en</v>
      </c>
    </row>
    <row r="3432" spans="3:5" x14ac:dyDescent="0.25">
      <c r="C3432" t="s">
        <v>5824</v>
      </c>
      <c r="D3432" t="s">
        <v>5825</v>
      </c>
      <c r="E3432" t="str">
        <f>HYPERLINK("https://patents.google.com/patent/US20080161646A1/en")</f>
        <v>https://patents.google.com/patent/US20080161646A1/en</v>
      </c>
    </row>
    <row r="3433" spans="3:5" x14ac:dyDescent="0.25">
      <c r="C3433" t="s">
        <v>5826</v>
      </c>
      <c r="D3433" t="s">
        <v>5827</v>
      </c>
      <c r="E3433" t="str">
        <f>HYPERLINK("https://patents.google.com/patent/US3275226A/en")</f>
        <v>https://patents.google.com/patent/US3275226A/en</v>
      </c>
    </row>
    <row r="3434" spans="3:5" x14ac:dyDescent="0.25">
      <c r="C3434" t="s">
        <v>5828</v>
      </c>
      <c r="D3434" t="s">
        <v>5829</v>
      </c>
      <c r="E3434" t="str">
        <f>HYPERLINK("https://patents.google.com/patent/US3535473A/en")</f>
        <v>https://patents.google.com/patent/US3535473A/en</v>
      </c>
    </row>
    <row r="3435" spans="3:5" x14ac:dyDescent="0.25">
      <c r="C3435" t="s">
        <v>5830</v>
      </c>
      <c r="D3435" t="s">
        <v>5831</v>
      </c>
      <c r="E3435" t="str">
        <f>HYPERLINK("https://patents.google.com/patent/US3642233A/en")</f>
        <v>https://patents.google.com/patent/US3642233A/en</v>
      </c>
    </row>
    <row r="3436" spans="3:5" x14ac:dyDescent="0.25">
      <c r="C3436" t="s">
        <v>5832</v>
      </c>
      <c r="D3436" t="s">
        <v>5833</v>
      </c>
      <c r="E3436" t="str">
        <f>HYPERLINK("https://patents.google.com/patent/US6089464A/en")</f>
        <v>https://patents.google.com/patent/US6089464A/en</v>
      </c>
    </row>
    <row r="3437" spans="3:5" x14ac:dyDescent="0.25">
      <c r="C3437" t="s">
        <v>5834</v>
      </c>
      <c r="D3437" t="s">
        <v>5835</v>
      </c>
      <c r="E3437" t="str">
        <f>HYPERLINK("https://patents.google.com/patent/US20140317265A1/en")</f>
        <v>https://patents.google.com/patent/US20140317265A1/en</v>
      </c>
    </row>
    <row r="3438" spans="3:5" x14ac:dyDescent="0.25">
      <c r="C3438" t="s">
        <v>5836</v>
      </c>
      <c r="D3438" t="s">
        <v>5837</v>
      </c>
      <c r="E3438" t="str">
        <f>HYPERLINK("https://patents.google.com/patent/US2221225A/en")</f>
        <v>https://patents.google.com/patent/US2221225A/en</v>
      </c>
    </row>
    <row r="3439" spans="3:5" x14ac:dyDescent="0.25">
      <c r="C3439" t="s">
        <v>5838</v>
      </c>
      <c r="D3439" t="s">
        <v>5839</v>
      </c>
      <c r="E3439" t="str">
        <f>HYPERLINK("https://patents.google.com/patent/US5764471A/en")</f>
        <v>https://patents.google.com/patent/US5764471A/en</v>
      </c>
    </row>
    <row r="3440" spans="3:5" x14ac:dyDescent="0.25">
      <c r="C3440" t="s">
        <v>5840</v>
      </c>
      <c r="D3440" t="s">
        <v>5841</v>
      </c>
      <c r="E3440" t="str">
        <f>HYPERLINK("https://patents.google.com/patent/US5046361A/en")</f>
        <v>https://patents.google.com/patent/US5046361A/en</v>
      </c>
    </row>
    <row r="3441" spans="3:5" x14ac:dyDescent="0.25">
      <c r="C3441" t="s">
        <v>5842</v>
      </c>
      <c r="D3441" t="s">
        <v>5843</v>
      </c>
      <c r="E3441" t="str">
        <f>HYPERLINK("https://patents.google.com/patent/US20120042084A1/en")</f>
        <v>https://patents.google.com/patent/US20120042084A1/en</v>
      </c>
    </row>
    <row r="3442" spans="3:5" x14ac:dyDescent="0.25">
      <c r="C3442" t="s">
        <v>5844</v>
      </c>
      <c r="D3442" t="s">
        <v>5845</v>
      </c>
      <c r="E3442" t="str">
        <f>HYPERLINK("https://patents.google.com/patent/US20090007101A1/en")</f>
        <v>https://patents.google.com/patent/US20090007101A1/en</v>
      </c>
    </row>
    <row r="3443" spans="3:5" x14ac:dyDescent="0.25">
      <c r="C3443" t="s">
        <v>5846</v>
      </c>
      <c r="D3443" t="s">
        <v>5847</v>
      </c>
      <c r="E3443" t="str">
        <f>HYPERLINK("https://patents.google.com/patent/US20080029994A1/en")</f>
        <v>https://patents.google.com/patent/US20080029994A1/en</v>
      </c>
    </row>
    <row r="3444" spans="3:5" x14ac:dyDescent="0.25">
      <c r="C3444" t="s">
        <v>5848</v>
      </c>
      <c r="D3444" t="s">
        <v>5849</v>
      </c>
      <c r="E3444" t="str">
        <f>HYPERLINK("https://patents.google.com/patent/US5390986A/en")</f>
        <v>https://patents.google.com/patent/US5390986A/en</v>
      </c>
    </row>
    <row r="3445" spans="3:5" x14ac:dyDescent="0.25">
      <c r="C3445" t="s">
        <v>5850</v>
      </c>
      <c r="D3445" t="s">
        <v>5851</v>
      </c>
      <c r="E3445" t="str">
        <f>HYPERLINK("https://patents.google.com/patent/US6564377B1/en")</f>
        <v>https://patents.google.com/patent/US6564377B1/en</v>
      </c>
    </row>
    <row r="3446" spans="3:5" x14ac:dyDescent="0.25">
      <c r="C3446" t="s">
        <v>5852</v>
      </c>
      <c r="D3446" t="s">
        <v>5853</v>
      </c>
      <c r="E3446" t="str">
        <f>HYPERLINK("https://patents.google.com/patent/US20050225261A1/en")</f>
        <v>https://patents.google.com/patent/US20050225261A1/en</v>
      </c>
    </row>
    <row r="3447" spans="3:5" x14ac:dyDescent="0.25">
      <c r="C3447" t="s">
        <v>5854</v>
      </c>
      <c r="D3447" t="s">
        <v>5855</v>
      </c>
      <c r="E3447" t="str">
        <f>HYPERLINK("https://patents.google.com/patent/US20100095008A1/en")</f>
        <v>https://patents.google.com/patent/US20100095008A1/en</v>
      </c>
    </row>
    <row r="3448" spans="3:5" x14ac:dyDescent="0.25">
      <c r="C3448" t="s">
        <v>5856</v>
      </c>
      <c r="D3448" t="s">
        <v>5857</v>
      </c>
      <c r="E3448" t="str">
        <f>HYPERLINK("https://patents.google.com/patent/US2382947A/en")</f>
        <v>https://patents.google.com/patent/US2382947A/en</v>
      </c>
    </row>
    <row r="3449" spans="3:5" x14ac:dyDescent="0.25">
      <c r="C3449" t="s">
        <v>5858</v>
      </c>
      <c r="D3449" t="s">
        <v>5859</v>
      </c>
      <c r="E3449" t="str">
        <f>HYPERLINK("https://patents.google.com/patent/US3459146A/en")</f>
        <v>https://patents.google.com/patent/US3459146A/en</v>
      </c>
    </row>
    <row r="3450" spans="3:5" x14ac:dyDescent="0.25">
      <c r="C3450" t="s">
        <v>5860</v>
      </c>
      <c r="D3450" t="s">
        <v>5861</v>
      </c>
      <c r="E3450" t="str">
        <f>HYPERLINK("https://patents.google.com/patent/US4177508A/en")</f>
        <v>https://patents.google.com/patent/US4177508A/en</v>
      </c>
    </row>
    <row r="3451" spans="3:5" x14ac:dyDescent="0.25">
      <c r="C3451" t="s">
        <v>5862</v>
      </c>
      <c r="D3451" t="s">
        <v>5863</v>
      </c>
      <c r="E3451" t="str">
        <f>HYPERLINK("https://patents.google.com/patent/US20080252266A1/en")</f>
        <v>https://patents.google.com/patent/US20080252266A1/en</v>
      </c>
    </row>
    <row r="3452" spans="3:5" x14ac:dyDescent="0.25">
      <c r="C3452" t="s">
        <v>5864</v>
      </c>
      <c r="D3452" t="s">
        <v>5865</v>
      </c>
      <c r="E3452" t="str">
        <f>HYPERLINK("https://patents.google.com/patent/US4920793A/en")</f>
        <v>https://patents.google.com/patent/US4920793A/en</v>
      </c>
    </row>
    <row r="3453" spans="3:5" x14ac:dyDescent="0.25">
      <c r="C3453" t="s">
        <v>5864</v>
      </c>
      <c r="D3453" t="s">
        <v>5866</v>
      </c>
      <c r="E3453" t="str">
        <f>HYPERLINK("https://patents.google.com/patent/US4936144A/en")</f>
        <v>https://patents.google.com/patent/US4936144A/en</v>
      </c>
    </row>
    <row r="3454" spans="3:5" x14ac:dyDescent="0.25">
      <c r="C3454" t="s">
        <v>5867</v>
      </c>
      <c r="D3454" t="s">
        <v>5868</v>
      </c>
      <c r="E3454" t="str">
        <f>HYPERLINK("https://patents.google.com/patent/US5676025A/en")</f>
        <v>https://patents.google.com/patent/US5676025A/en</v>
      </c>
    </row>
    <row r="3455" spans="3:5" x14ac:dyDescent="0.25">
      <c r="C3455" t="s">
        <v>5869</v>
      </c>
      <c r="D3455" t="s">
        <v>5870</v>
      </c>
      <c r="E3455" t="str">
        <f>HYPERLINK("https://patents.google.com/patent/US20140278383A1/en")</f>
        <v>https://patents.google.com/patent/US20140278383A1/en</v>
      </c>
    </row>
    <row r="3456" spans="3:5" x14ac:dyDescent="0.25">
      <c r="C3456" t="s">
        <v>5871</v>
      </c>
      <c r="D3456" t="s">
        <v>5872</v>
      </c>
      <c r="E3456" t="str">
        <f>HYPERLINK("https://patents.google.com/patent/US7978725B2/en")</f>
        <v>https://patents.google.com/patent/US7978725B2/en</v>
      </c>
    </row>
    <row r="3457" spans="3:5" x14ac:dyDescent="0.25">
      <c r="C3457" t="s">
        <v>5873</v>
      </c>
      <c r="D3457" t="s">
        <v>5874</v>
      </c>
      <c r="E3457" t="str">
        <f>HYPERLINK("https://patents.google.com/patent/US20100299419A1/en")</f>
        <v>https://patents.google.com/patent/US20100299419A1/en</v>
      </c>
    </row>
    <row r="3458" spans="3:5" x14ac:dyDescent="0.25">
      <c r="C3458" t="s">
        <v>5875</v>
      </c>
      <c r="D3458" t="s">
        <v>5876</v>
      </c>
      <c r="E3458" t="str">
        <f>HYPERLINK("https://patents.google.com/patent/US4911440A/en")</f>
        <v>https://patents.google.com/patent/US4911440A/en</v>
      </c>
    </row>
    <row r="3459" spans="3:5" x14ac:dyDescent="0.25">
      <c r="C3459" t="s">
        <v>5877</v>
      </c>
      <c r="D3459" t="s">
        <v>5878</v>
      </c>
      <c r="E3459" t="str">
        <f>HYPERLINK("https://patents.google.com/patent/US2193734A/en")</f>
        <v>https://patents.google.com/patent/US2193734A/en</v>
      </c>
    </row>
    <row r="3460" spans="3:5" x14ac:dyDescent="0.25">
      <c r="C3460" t="s">
        <v>5879</v>
      </c>
      <c r="D3460" t="s">
        <v>5880</v>
      </c>
      <c r="E3460" t="str">
        <f>HYPERLINK("https://patents.google.com/patent/US20090278496A1/en")</f>
        <v>https://patents.google.com/patent/US20090278496A1/en</v>
      </c>
    </row>
    <row r="3461" spans="3:5" x14ac:dyDescent="0.25">
      <c r="C3461" t="s">
        <v>5881</v>
      </c>
      <c r="D3461" t="s">
        <v>5882</v>
      </c>
      <c r="E3461" t="str">
        <f>HYPERLINK("https://patents.google.com/patent/US6477001B1/en")</f>
        <v>https://patents.google.com/patent/US6477001B1/en</v>
      </c>
    </row>
    <row r="3462" spans="3:5" x14ac:dyDescent="0.25">
      <c r="C3462" t="s">
        <v>5883</v>
      </c>
      <c r="D3462" t="s">
        <v>5884</v>
      </c>
      <c r="E3462" t="str">
        <f>HYPERLINK("https://patents.google.com/patent/US20110105139A1/en")</f>
        <v>https://patents.google.com/patent/US20110105139A1/en</v>
      </c>
    </row>
    <row r="3463" spans="3:5" x14ac:dyDescent="0.25">
      <c r="C3463" t="s">
        <v>5885</v>
      </c>
      <c r="D3463" t="s">
        <v>5886</v>
      </c>
      <c r="E3463" t="str">
        <f>HYPERLINK("https://patents.google.com/patent/US6657601B2/en")</f>
        <v>https://patents.google.com/patent/US6657601B2/en</v>
      </c>
    </row>
    <row r="3464" spans="3:5" x14ac:dyDescent="0.25">
      <c r="C3464" t="s">
        <v>5887</v>
      </c>
      <c r="D3464" t="s">
        <v>5888</v>
      </c>
      <c r="E3464" t="str">
        <f>HYPERLINK("https://patents.google.com/patent/US20100163633A1/en")</f>
        <v>https://patents.google.com/patent/US20100163633A1/en</v>
      </c>
    </row>
    <row r="3465" spans="3:5" x14ac:dyDescent="0.25">
      <c r="C3465" t="s">
        <v>5889</v>
      </c>
      <c r="D3465" t="s">
        <v>5890</v>
      </c>
      <c r="E3465" t="str">
        <f>HYPERLINK("https://patents.google.com/patent/US20090043631A1/en")</f>
        <v>https://patents.google.com/patent/US20090043631A1/en</v>
      </c>
    </row>
    <row r="3466" spans="3:5" x14ac:dyDescent="0.25">
      <c r="C3466" t="s">
        <v>5891</v>
      </c>
      <c r="D3466" t="s">
        <v>5892</v>
      </c>
      <c r="E3466" t="str">
        <f>HYPERLINK("https://patents.google.com/patent/US20090253130A1/en")</f>
        <v>https://patents.google.com/patent/US20090253130A1/en</v>
      </c>
    </row>
    <row r="3467" spans="3:5" x14ac:dyDescent="0.25">
      <c r="C3467" t="s">
        <v>5893</v>
      </c>
      <c r="D3467" t="s">
        <v>5894</v>
      </c>
      <c r="E3467" t="str">
        <f>HYPERLINK("https://patents.google.com/patent/US20080034370A1/en")</f>
        <v>https://patents.google.com/patent/US20080034370A1/en</v>
      </c>
    </row>
    <row r="3468" spans="3:5" x14ac:dyDescent="0.25">
      <c r="C3468" t="s">
        <v>5895</v>
      </c>
      <c r="D3468" t="s">
        <v>5896</v>
      </c>
      <c r="E3468" t="str">
        <f>HYPERLINK("https://patents.google.com/patent/US20140312828A1/en")</f>
        <v>https://patents.google.com/patent/US20140312828A1/en</v>
      </c>
    </row>
    <row r="3469" spans="3:5" x14ac:dyDescent="0.25">
      <c r="C3469" t="s">
        <v>5897</v>
      </c>
      <c r="D3469" t="s">
        <v>5898</v>
      </c>
      <c r="E3469" t="str">
        <f>HYPERLINK("https://patents.google.com/patent/US20110161980A1/en")</f>
        <v>https://patents.google.com/patent/US20110161980A1/en</v>
      </c>
    </row>
    <row r="3470" spans="3:5" x14ac:dyDescent="0.25">
      <c r="C3470" t="s">
        <v>5899</v>
      </c>
      <c r="D3470" t="s">
        <v>5900</v>
      </c>
      <c r="E3470" t="str">
        <f>HYPERLINK("https://patents.google.com/patent/US20050004858A1/en")</f>
        <v>https://patents.google.com/patent/US20050004858A1/en</v>
      </c>
    </row>
    <row r="3471" spans="3:5" x14ac:dyDescent="0.25">
      <c r="C3471" t="s">
        <v>5901</v>
      </c>
      <c r="D3471" t="s">
        <v>5902</v>
      </c>
      <c r="E3471" t="str">
        <f>HYPERLINK("https://patents.google.com/patent/US20050205182A1/en")</f>
        <v>https://patents.google.com/patent/US20050205182A1/en</v>
      </c>
    </row>
    <row r="3472" spans="3:5" x14ac:dyDescent="0.25">
      <c r="C3472" t="s">
        <v>5903</v>
      </c>
      <c r="D3472" t="s">
        <v>5904</v>
      </c>
      <c r="E3472" t="str">
        <f>HYPERLINK("https://patents.google.com/patent/US20120213057A1/en")</f>
        <v>https://patents.google.com/patent/US20120213057A1/en</v>
      </c>
    </row>
    <row r="3473" spans="1:5" x14ac:dyDescent="0.25">
      <c r="C3473" t="s">
        <v>5905</v>
      </c>
      <c r="D3473" t="s">
        <v>5906</v>
      </c>
      <c r="E3473" t="str">
        <f>HYPERLINK("https://patents.google.com/patent/US8522241B1/en")</f>
        <v>https://patents.google.com/patent/US8522241B1/en</v>
      </c>
    </row>
    <row r="3474" spans="1:5" x14ac:dyDescent="0.25">
      <c r="C3474" t="s">
        <v>5907</v>
      </c>
      <c r="D3474" t="s">
        <v>5908</v>
      </c>
      <c r="E3474" t="str">
        <f>HYPERLINK("https://patents.google.com/patent/US20130128738A1/en")</f>
        <v>https://patents.google.com/patent/US20130128738A1/en</v>
      </c>
    </row>
    <row r="3475" spans="1:5" x14ac:dyDescent="0.25">
      <c r="C3475" t="s">
        <v>5909</v>
      </c>
      <c r="D3475" t="s">
        <v>5910</v>
      </c>
      <c r="E3475" t="str">
        <f>HYPERLINK("https://patents.google.com/patent/CN102244685A/en")</f>
        <v>https://patents.google.com/patent/CN102244685A/en</v>
      </c>
    </row>
    <row r="3476" spans="1:5" x14ac:dyDescent="0.25">
      <c r="C3476" t="s">
        <v>5911</v>
      </c>
      <c r="D3476" t="s">
        <v>5912</v>
      </c>
      <c r="E3476" t="str">
        <f>HYPERLINK("https://patents.google.com/patent/US8896315B1/en")</f>
        <v>https://patents.google.com/patent/US8896315B1/en</v>
      </c>
    </row>
    <row r="3477" spans="1:5" x14ac:dyDescent="0.25">
      <c r="C3477" t="s">
        <v>5913</v>
      </c>
      <c r="D3477" t="s">
        <v>5914</v>
      </c>
      <c r="E3477" t="str">
        <f>HYPERLINK("https://patents.google.com/patent/US4320498A/en")</f>
        <v>https://patents.google.com/patent/US4320498A/en</v>
      </c>
    </row>
    <row r="3478" spans="1:5" x14ac:dyDescent="0.25">
      <c r="C3478" t="s">
        <v>5915</v>
      </c>
      <c r="D3478" t="s">
        <v>5916</v>
      </c>
      <c r="E3478" t="str">
        <f>HYPERLINK("https://patents.google.com/patent/US9115708B2/en")</f>
        <v>https://patents.google.com/patent/US9115708B2/en</v>
      </c>
    </row>
    <row r="3479" spans="1:5" x14ac:dyDescent="0.25">
      <c r="C3479" t="s">
        <v>5917</v>
      </c>
      <c r="D3479" t="s">
        <v>5918</v>
      </c>
      <c r="E3479" t="str">
        <f>HYPERLINK("https://patents.google.com/patent/US8013600B1/en")</f>
        <v>https://patents.google.com/patent/US8013600B1/en</v>
      </c>
    </row>
    <row r="3480" spans="1:5" x14ac:dyDescent="0.25">
      <c r="A3480" t="s">
        <v>973</v>
      </c>
      <c r="B3480">
        <v>574</v>
      </c>
    </row>
    <row r="3481" spans="1:5" x14ac:dyDescent="0.25">
      <c r="C3481" t="s">
        <v>5919</v>
      </c>
      <c r="D3481" t="s">
        <v>5920</v>
      </c>
      <c r="E3481" t="str">
        <f>HYPERLINK("https://patents.google.com/patent/CN101554726A/en")</f>
        <v>https://patents.google.com/patent/CN101554726A/en</v>
      </c>
    </row>
    <row r="3482" spans="1:5" x14ac:dyDescent="0.25">
      <c r="C3482" t="s">
        <v>5921</v>
      </c>
      <c r="D3482" t="s">
        <v>5922</v>
      </c>
      <c r="E3482" t="str">
        <f>HYPERLINK("https://patents.google.com/patent/US7847504B2/en")</f>
        <v>https://patents.google.com/patent/US7847504B2/en</v>
      </c>
    </row>
    <row r="3483" spans="1:5" x14ac:dyDescent="0.25">
      <c r="C3483" t="s">
        <v>4644</v>
      </c>
      <c r="D3483" t="s">
        <v>5923</v>
      </c>
      <c r="E3483" t="str">
        <f>HYPERLINK("https://patents.google.com/patent/WO2009143377A2/en")</f>
        <v>https://patents.google.com/patent/WO2009143377A2/en</v>
      </c>
    </row>
    <row r="3484" spans="1:5" x14ac:dyDescent="0.25">
      <c r="C3484" t="s">
        <v>5924</v>
      </c>
      <c r="D3484" t="s">
        <v>5925</v>
      </c>
      <c r="E3484" t="str">
        <f>HYPERLINK("https://patents.google.com/patent/CN102445944A/en")</f>
        <v>https://patents.google.com/patent/CN102445944A/en</v>
      </c>
    </row>
    <row r="3485" spans="1:5" x14ac:dyDescent="0.25">
      <c r="C3485" t="s">
        <v>5926</v>
      </c>
      <c r="D3485" t="s">
        <v>5927</v>
      </c>
      <c r="E3485" t="str">
        <f>HYPERLINK("https://patents.google.com/patent/CN105116729A/en")</f>
        <v>https://patents.google.com/patent/CN105116729A/en</v>
      </c>
    </row>
    <row r="3486" spans="1:5" x14ac:dyDescent="0.25">
      <c r="C3486" t="s">
        <v>5928</v>
      </c>
      <c r="D3486" t="s">
        <v>5929</v>
      </c>
      <c r="E3486" t="str">
        <f>HYPERLINK("https://patents.google.com/patent/CN102520720A/en")</f>
        <v>https://patents.google.com/patent/CN102520720A/en</v>
      </c>
    </row>
    <row r="3487" spans="1:5" x14ac:dyDescent="0.25">
      <c r="C3487" t="s">
        <v>5924</v>
      </c>
      <c r="D3487" t="s">
        <v>5930</v>
      </c>
      <c r="E3487" t="str">
        <f>HYPERLINK("https://patents.google.com/patent/CN202351703U/en")</f>
        <v>https://patents.google.com/patent/CN202351703U/en</v>
      </c>
    </row>
    <row r="3488" spans="1:5" x14ac:dyDescent="0.25">
      <c r="C3488" t="s">
        <v>5931</v>
      </c>
      <c r="D3488" t="s">
        <v>5932</v>
      </c>
      <c r="E3488" t="str">
        <f>HYPERLINK("https://patents.google.com/patent/CN203838557U/en")</f>
        <v>https://patents.google.com/patent/CN203838557U/en</v>
      </c>
    </row>
    <row r="3489" spans="3:5" x14ac:dyDescent="0.25">
      <c r="C3489" t="s">
        <v>5933</v>
      </c>
      <c r="D3489" t="s">
        <v>5934</v>
      </c>
      <c r="E3489" t="str">
        <f>HYPERLINK("https://patents.google.com/patent/CN103112510A/en")</f>
        <v>https://patents.google.com/patent/CN103112510A/en</v>
      </c>
    </row>
    <row r="3490" spans="3:5" x14ac:dyDescent="0.25">
      <c r="C3490" t="s">
        <v>5935</v>
      </c>
      <c r="D3490" t="s">
        <v>5936</v>
      </c>
      <c r="E3490" t="str">
        <f>HYPERLINK("https://patents.google.com/patent/CN102815357A/en")</f>
        <v>https://patents.google.com/patent/CN102815357A/en</v>
      </c>
    </row>
    <row r="3491" spans="3:5" x14ac:dyDescent="0.25">
      <c r="C3491" t="s">
        <v>5937</v>
      </c>
      <c r="D3491" t="s">
        <v>5938</v>
      </c>
      <c r="E3491" t="str">
        <f>HYPERLINK("https://patents.google.com/patent/CN103170962A/en")</f>
        <v>https://patents.google.com/patent/CN103170962A/en</v>
      </c>
    </row>
    <row r="3492" spans="3:5" x14ac:dyDescent="0.25">
      <c r="C3492" t="s">
        <v>5939</v>
      </c>
      <c r="D3492" t="s">
        <v>5940</v>
      </c>
      <c r="E3492" t="str">
        <f>HYPERLINK("https://patents.google.com/patent/CN201525024U/en")</f>
        <v>https://patents.google.com/patent/CN201525024U/en</v>
      </c>
    </row>
    <row r="3493" spans="3:5" x14ac:dyDescent="0.25">
      <c r="C3493" t="s">
        <v>5941</v>
      </c>
      <c r="D3493" t="s">
        <v>5942</v>
      </c>
      <c r="E3493" t="str">
        <f>HYPERLINK("https://patents.google.com/patent/US7386364B2/en")</f>
        <v>https://patents.google.com/patent/US7386364B2/en</v>
      </c>
    </row>
    <row r="3494" spans="3:5" x14ac:dyDescent="0.25">
      <c r="C3494" t="s">
        <v>5943</v>
      </c>
      <c r="D3494" t="s">
        <v>5944</v>
      </c>
      <c r="E3494" t="str">
        <f>HYPERLINK("https://patents.google.com/patent/US20110040427A1/en")</f>
        <v>https://patents.google.com/patent/US20110040427A1/en</v>
      </c>
    </row>
    <row r="3495" spans="3:5" x14ac:dyDescent="0.25">
      <c r="C3495" t="s">
        <v>5945</v>
      </c>
      <c r="D3495" t="s">
        <v>5946</v>
      </c>
      <c r="E3495" t="str">
        <f>HYPERLINK("https://patents.google.com/patent/CN202847850U/en")</f>
        <v>https://patents.google.com/patent/CN202847850U/en</v>
      </c>
    </row>
    <row r="3496" spans="3:5" x14ac:dyDescent="0.25">
      <c r="C3496" t="s">
        <v>5947</v>
      </c>
      <c r="D3496" t="s">
        <v>5948</v>
      </c>
      <c r="E3496" t="str">
        <f>HYPERLINK("https://patents.google.com/patent/CN103192394A/en")</f>
        <v>https://patents.google.com/patent/CN103192394A/en</v>
      </c>
    </row>
    <row r="3497" spans="3:5" x14ac:dyDescent="0.25">
      <c r="C3497" t="s">
        <v>5949</v>
      </c>
      <c r="D3497" t="s">
        <v>5950</v>
      </c>
      <c r="E3497" t="str">
        <f>HYPERLINK("https://patents.google.com/patent/CN103744297A/en")</f>
        <v>https://patents.google.com/patent/CN103744297A/en</v>
      </c>
    </row>
    <row r="3498" spans="3:5" x14ac:dyDescent="0.25">
      <c r="C3498" t="s">
        <v>5951</v>
      </c>
      <c r="D3498" t="s">
        <v>5952</v>
      </c>
      <c r="E3498" t="str">
        <f>HYPERLINK("https://patents.google.com/patent/CN108415429A/en")</f>
        <v>https://patents.google.com/patent/CN108415429A/en</v>
      </c>
    </row>
    <row r="3499" spans="3:5" x14ac:dyDescent="0.25">
      <c r="C3499" t="s">
        <v>5953</v>
      </c>
      <c r="D3499" t="s">
        <v>5954</v>
      </c>
      <c r="E3499" t="str">
        <f>HYPERLINK("https://patents.google.com/patent/CN202362674U/en")</f>
        <v>https://patents.google.com/patent/CN202362674U/en</v>
      </c>
    </row>
    <row r="3500" spans="3:5" x14ac:dyDescent="0.25">
      <c r="C3500" t="s">
        <v>5955</v>
      </c>
      <c r="D3500" t="s">
        <v>5956</v>
      </c>
      <c r="E3500" t="str">
        <f>HYPERLINK("https://patents.google.com/patent/CN105300381B/en")</f>
        <v>https://patents.google.com/patent/CN105300381B/en</v>
      </c>
    </row>
    <row r="3501" spans="3:5" x14ac:dyDescent="0.25">
      <c r="C3501" t="s">
        <v>5957</v>
      </c>
      <c r="D3501" t="s">
        <v>5958</v>
      </c>
      <c r="E3501" t="str">
        <f>HYPERLINK("https://patents.google.com/patent/CN205113575U/en")</f>
        <v>https://patents.google.com/patent/CN205113575U/en</v>
      </c>
    </row>
    <row r="3502" spans="3:5" x14ac:dyDescent="0.25">
      <c r="C3502" t="s">
        <v>5959</v>
      </c>
      <c r="D3502" t="s">
        <v>5960</v>
      </c>
      <c r="E3502" t="str">
        <f>HYPERLINK("https://patents.google.com/patent/CN105611053A/en")</f>
        <v>https://patents.google.com/patent/CN105611053A/en</v>
      </c>
    </row>
    <row r="3503" spans="3:5" x14ac:dyDescent="0.25">
      <c r="C3503" t="s">
        <v>5961</v>
      </c>
      <c r="D3503" t="s">
        <v>5962</v>
      </c>
      <c r="E3503" t="str">
        <f>HYPERLINK("https://patents.google.com/patent/CN103645735A/en")</f>
        <v>https://patents.google.com/patent/CN103645735A/en</v>
      </c>
    </row>
    <row r="3504" spans="3:5" x14ac:dyDescent="0.25">
      <c r="C3504" t="s">
        <v>5963</v>
      </c>
      <c r="D3504" t="s">
        <v>5964</v>
      </c>
      <c r="E3504" t="str">
        <f>HYPERLINK("https://patents.google.com/patent/US8102134B1/en")</f>
        <v>https://patents.google.com/patent/US8102134B1/en</v>
      </c>
    </row>
    <row r="3505" spans="3:5" x14ac:dyDescent="0.25">
      <c r="C3505" t="s">
        <v>5965</v>
      </c>
      <c r="D3505" t="s">
        <v>5966</v>
      </c>
      <c r="E3505" t="str">
        <f>HYPERLINK("https://patents.google.com/patent/US20060106495A1/en")</f>
        <v>https://patents.google.com/patent/US20060106495A1/en</v>
      </c>
    </row>
    <row r="3506" spans="3:5" x14ac:dyDescent="0.25">
      <c r="C3506" t="s">
        <v>5967</v>
      </c>
      <c r="D3506" t="s">
        <v>5968</v>
      </c>
      <c r="E3506" t="str">
        <f>HYPERLINK("https://patents.google.com/patent/US7082350B2/en")</f>
        <v>https://patents.google.com/patent/US7082350B2/en</v>
      </c>
    </row>
    <row r="3507" spans="3:5" x14ac:dyDescent="0.25">
      <c r="C3507" t="s">
        <v>5969</v>
      </c>
      <c r="D3507" t="s">
        <v>5970</v>
      </c>
      <c r="E3507" t="str">
        <f>HYPERLINK("https://patents.google.com/patent/CN204273018U/en")</f>
        <v>https://patents.google.com/patent/CN204273018U/en</v>
      </c>
    </row>
    <row r="3508" spans="3:5" x14ac:dyDescent="0.25">
      <c r="C3508" t="s">
        <v>5971</v>
      </c>
      <c r="D3508" t="s">
        <v>5972</v>
      </c>
      <c r="E3508" t="str">
        <f>HYPERLINK("https://patents.google.com/patent/US8122982B2/en")</f>
        <v>https://patents.google.com/patent/US8122982B2/en</v>
      </c>
    </row>
    <row r="3509" spans="3:5" x14ac:dyDescent="0.25">
      <c r="C3509" t="s">
        <v>5973</v>
      </c>
      <c r="D3509" t="s">
        <v>5974</v>
      </c>
      <c r="E3509" t="str">
        <f>HYPERLINK("https://patents.google.com/patent/CN100421882C/en")</f>
        <v>https://patents.google.com/patent/CN100421882C/en</v>
      </c>
    </row>
    <row r="3510" spans="3:5" x14ac:dyDescent="0.25">
      <c r="C3510" t="s">
        <v>5975</v>
      </c>
      <c r="D3510" t="s">
        <v>5976</v>
      </c>
      <c r="E3510" t="str">
        <f>HYPERLINK("https://patents.google.com/patent/CN201907604U/en")</f>
        <v>https://patents.google.com/patent/CN201907604U/en</v>
      </c>
    </row>
    <row r="3511" spans="3:5" x14ac:dyDescent="0.25">
      <c r="C3511" t="s">
        <v>5977</v>
      </c>
      <c r="D3511" t="s">
        <v>5978</v>
      </c>
      <c r="E3511" t="str">
        <f>HYPERLINK("https://patents.google.com/patent/CN103753557A/en")</f>
        <v>https://patents.google.com/patent/CN103753557A/en</v>
      </c>
    </row>
    <row r="3512" spans="3:5" x14ac:dyDescent="0.25">
      <c r="C3512" t="s">
        <v>5979</v>
      </c>
      <c r="D3512" t="s">
        <v>5980</v>
      </c>
      <c r="E3512" t="str">
        <f>HYPERLINK("https://patents.google.com/patent/CN201736232U/en")</f>
        <v>https://patents.google.com/patent/CN201736232U/en</v>
      </c>
    </row>
    <row r="3513" spans="3:5" x14ac:dyDescent="0.25">
      <c r="C3513" t="s">
        <v>5981</v>
      </c>
      <c r="D3513" t="s">
        <v>5982</v>
      </c>
      <c r="E3513" t="str">
        <f>HYPERLINK("https://patents.google.com/patent/CN102478657A/en")</f>
        <v>https://patents.google.com/patent/CN102478657A/en</v>
      </c>
    </row>
    <row r="3514" spans="3:5" x14ac:dyDescent="0.25">
      <c r="C3514" t="s">
        <v>5983</v>
      </c>
      <c r="D3514" t="s">
        <v>5984</v>
      </c>
      <c r="E3514" t="str">
        <f>HYPERLINK("https://patents.google.com/patent/US7348747B1/en")</f>
        <v>https://patents.google.com/patent/US7348747B1/en</v>
      </c>
    </row>
    <row r="3515" spans="3:5" x14ac:dyDescent="0.25">
      <c r="C3515" t="s">
        <v>5985</v>
      </c>
      <c r="D3515" t="s">
        <v>5986</v>
      </c>
      <c r="E3515" t="str">
        <f>HYPERLINK("https://patents.google.com/patent/CN104749955B/en")</f>
        <v>https://patents.google.com/patent/CN104749955B/en</v>
      </c>
    </row>
    <row r="3516" spans="3:5" x14ac:dyDescent="0.25">
      <c r="C3516" t="s">
        <v>5987</v>
      </c>
      <c r="D3516" t="s">
        <v>5988</v>
      </c>
      <c r="E3516" t="str">
        <f>HYPERLINK("https://patents.google.com/patent/CN104699092A/en")</f>
        <v>https://patents.google.com/patent/CN104699092A/en</v>
      </c>
    </row>
    <row r="3517" spans="3:5" x14ac:dyDescent="0.25">
      <c r="C3517" t="s">
        <v>5989</v>
      </c>
      <c r="D3517" t="s">
        <v>5990</v>
      </c>
      <c r="E3517" t="str">
        <f>HYPERLINK("https://patents.google.com/patent/CN105159086B/en")</f>
        <v>https://patents.google.com/patent/CN105159086B/en</v>
      </c>
    </row>
    <row r="3518" spans="3:5" x14ac:dyDescent="0.25">
      <c r="C3518" t="s">
        <v>5991</v>
      </c>
      <c r="D3518" t="s">
        <v>5992</v>
      </c>
      <c r="E3518" t="str">
        <f>HYPERLINK("https://patents.google.com/patent/CN103273477A/en")</f>
        <v>https://patents.google.com/patent/CN103273477A/en</v>
      </c>
    </row>
    <row r="3519" spans="3:5" x14ac:dyDescent="0.25">
      <c r="C3519" t="s">
        <v>5993</v>
      </c>
      <c r="D3519" t="s">
        <v>5994</v>
      </c>
      <c r="E3519" t="str">
        <f>HYPERLINK("https://patents.google.com/patent/US7957837B2/en")</f>
        <v>https://patents.google.com/patent/US7957837B2/en</v>
      </c>
    </row>
    <row r="3520" spans="3:5" x14ac:dyDescent="0.25">
      <c r="C3520" t="s">
        <v>5995</v>
      </c>
      <c r="D3520" t="s">
        <v>5996</v>
      </c>
      <c r="E3520" t="str">
        <f>HYPERLINK("https://patents.google.com/patent/CN104992059A/en")</f>
        <v>https://patents.google.com/patent/CN104992059A/en</v>
      </c>
    </row>
    <row r="3521" spans="3:5" x14ac:dyDescent="0.25">
      <c r="C3521" t="s">
        <v>5997</v>
      </c>
      <c r="D3521" t="s">
        <v>5998</v>
      </c>
      <c r="E3521" t="str">
        <f>HYPERLINK("https://patents.google.com/patent/US20060247799A1/en")</f>
        <v>https://patents.google.com/patent/US20060247799A1/en</v>
      </c>
    </row>
    <row r="3522" spans="3:5" x14ac:dyDescent="0.25">
      <c r="C3522" t="s">
        <v>5999</v>
      </c>
      <c r="D3522" t="s">
        <v>6000</v>
      </c>
      <c r="E3522" t="str">
        <f>HYPERLINK("https://patents.google.com/patent/CN101980094A/en")</f>
        <v>https://patents.google.com/patent/CN101980094A/en</v>
      </c>
    </row>
    <row r="3523" spans="3:5" x14ac:dyDescent="0.25">
      <c r="C3523" t="s">
        <v>6001</v>
      </c>
      <c r="D3523" t="s">
        <v>6002</v>
      </c>
      <c r="E3523" t="str">
        <f>HYPERLINK("https://patents.google.com/patent/US5400244A/en")</f>
        <v>https://patents.google.com/patent/US5400244A/en</v>
      </c>
    </row>
    <row r="3524" spans="3:5" x14ac:dyDescent="0.25">
      <c r="C3524" t="s">
        <v>6003</v>
      </c>
      <c r="D3524" t="s">
        <v>6004</v>
      </c>
      <c r="E3524" t="str">
        <f>HYPERLINK("https://patents.google.com/patent/CN104612631A/en")</f>
        <v>https://patents.google.com/patent/CN104612631A/en</v>
      </c>
    </row>
    <row r="3525" spans="3:5" x14ac:dyDescent="0.25">
      <c r="C3525" t="s">
        <v>6005</v>
      </c>
      <c r="D3525" t="s">
        <v>6006</v>
      </c>
      <c r="E3525" t="str">
        <f>HYPERLINK("https://patents.google.com/patent/CN203732988U/en")</f>
        <v>https://patents.google.com/patent/CN203732988U/en</v>
      </c>
    </row>
    <row r="3526" spans="3:5" x14ac:dyDescent="0.25">
      <c r="C3526" t="s">
        <v>6007</v>
      </c>
      <c r="D3526" t="s">
        <v>6008</v>
      </c>
      <c r="E3526" t="str">
        <f>HYPERLINK("https://patents.google.com/patent/CN105947041B/en")</f>
        <v>https://patents.google.com/patent/CN105947041B/en</v>
      </c>
    </row>
    <row r="3527" spans="3:5" x14ac:dyDescent="0.25">
      <c r="C3527" t="s">
        <v>6009</v>
      </c>
      <c r="D3527" t="s">
        <v>6010</v>
      </c>
      <c r="E3527" t="str">
        <f>HYPERLINK("https://patents.google.com/patent/CN105059410A/en")</f>
        <v>https://patents.google.com/patent/CN105059410A/en</v>
      </c>
    </row>
    <row r="3528" spans="3:5" x14ac:dyDescent="0.25">
      <c r="C3528" t="s">
        <v>6011</v>
      </c>
      <c r="D3528" t="s">
        <v>6012</v>
      </c>
      <c r="E3528" t="str">
        <f>HYPERLINK("https://patents.google.com/patent/CN104298113A/en")</f>
        <v>https://patents.google.com/patent/CN104298113A/en</v>
      </c>
    </row>
    <row r="3529" spans="3:5" x14ac:dyDescent="0.25">
      <c r="C3529" t="s">
        <v>6013</v>
      </c>
      <c r="D3529" t="s">
        <v>6014</v>
      </c>
      <c r="E3529" t="str">
        <f>HYPERLINK("https://patents.google.com/patent/KR101210591B1/en")</f>
        <v>https://patents.google.com/patent/KR101210591B1/en</v>
      </c>
    </row>
    <row r="3530" spans="3:5" x14ac:dyDescent="0.25">
      <c r="C3530" t="s">
        <v>6015</v>
      </c>
      <c r="D3530" t="s">
        <v>6016</v>
      </c>
      <c r="E3530" t="str">
        <f>HYPERLINK("https://patents.google.com/patent/CN204462849U/en")</f>
        <v>https://patents.google.com/patent/CN204462849U/en</v>
      </c>
    </row>
    <row r="3531" spans="3:5" x14ac:dyDescent="0.25">
      <c r="C3531" t="s">
        <v>6017</v>
      </c>
      <c r="D3531" t="s">
        <v>6018</v>
      </c>
      <c r="E3531" t="str">
        <f>HYPERLINK("https://patents.google.com/patent/CN102696294A/en")</f>
        <v>https://patents.google.com/patent/CN102696294A/en</v>
      </c>
    </row>
    <row r="3532" spans="3:5" x14ac:dyDescent="0.25">
      <c r="C3532" t="s">
        <v>6019</v>
      </c>
      <c r="D3532" t="s">
        <v>6020</v>
      </c>
      <c r="E3532" t="str">
        <f>HYPERLINK("https://patents.google.com/patent/US6969965B2/en")</f>
        <v>https://patents.google.com/patent/US6969965B2/en</v>
      </c>
    </row>
    <row r="3533" spans="3:5" x14ac:dyDescent="0.25">
      <c r="C3533" t="s">
        <v>6021</v>
      </c>
      <c r="D3533" t="s">
        <v>6022</v>
      </c>
      <c r="E3533" t="str">
        <f>HYPERLINK("https://patents.google.com/patent/CN103792946B/en")</f>
        <v>https://patents.google.com/patent/CN103792946B/en</v>
      </c>
    </row>
    <row r="3534" spans="3:5" x14ac:dyDescent="0.25">
      <c r="C3534" t="s">
        <v>6023</v>
      </c>
      <c r="D3534" t="s">
        <v>6024</v>
      </c>
      <c r="E3534" t="str">
        <f>HYPERLINK("https://patents.google.com/patent/CN101549494A/en")</f>
        <v>https://patents.google.com/patent/CN101549494A/en</v>
      </c>
    </row>
    <row r="3535" spans="3:5" x14ac:dyDescent="0.25">
      <c r="C3535" t="s">
        <v>6025</v>
      </c>
      <c r="D3535" t="s">
        <v>6026</v>
      </c>
      <c r="E3535" t="str">
        <f>HYPERLINK("https://patents.google.com/patent/CN104682789A/en")</f>
        <v>https://patents.google.com/patent/CN104682789A/en</v>
      </c>
    </row>
    <row r="3536" spans="3:5" x14ac:dyDescent="0.25">
      <c r="C3536" t="s">
        <v>6027</v>
      </c>
      <c r="D3536" t="s">
        <v>6028</v>
      </c>
      <c r="E3536" t="str">
        <f>HYPERLINK("https://patents.google.com/patent/CN107049635A/en")</f>
        <v>https://patents.google.com/patent/CN107049635A/en</v>
      </c>
    </row>
    <row r="3537" spans="3:5" x14ac:dyDescent="0.25">
      <c r="C3537" t="s">
        <v>6029</v>
      </c>
      <c r="D3537" t="s">
        <v>6030</v>
      </c>
      <c r="E3537" t="str">
        <f>HYPERLINK("https://patents.google.com/patent/CN203528225U/en")</f>
        <v>https://patents.google.com/patent/CN203528225U/en</v>
      </c>
    </row>
    <row r="3538" spans="3:5" x14ac:dyDescent="0.25">
      <c r="C3538" t="s">
        <v>6031</v>
      </c>
      <c r="D3538" t="s">
        <v>6032</v>
      </c>
      <c r="E3538" t="str">
        <f>HYPERLINK("https://patents.google.com/patent/CN108572590A/en")</f>
        <v>https://patents.google.com/patent/CN108572590A/en</v>
      </c>
    </row>
    <row r="3539" spans="3:5" x14ac:dyDescent="0.25">
      <c r="C3539" t="s">
        <v>6033</v>
      </c>
      <c r="D3539" t="s">
        <v>6034</v>
      </c>
      <c r="E3539" t="str">
        <f>HYPERLINK("https://patents.google.com/patent/CN201399786Y/en")</f>
        <v>https://patents.google.com/patent/CN201399786Y/en</v>
      </c>
    </row>
    <row r="3540" spans="3:5" x14ac:dyDescent="0.25">
      <c r="C3540" t="s">
        <v>6035</v>
      </c>
      <c r="D3540" t="s">
        <v>6036</v>
      </c>
      <c r="E3540" t="str">
        <f>HYPERLINK("https://patents.google.com/patent/CN205809638U/en")</f>
        <v>https://patents.google.com/patent/CN205809638U/en</v>
      </c>
    </row>
    <row r="3541" spans="3:5" x14ac:dyDescent="0.25">
      <c r="C3541" t="s">
        <v>6037</v>
      </c>
      <c r="D3541" t="s">
        <v>6038</v>
      </c>
      <c r="E3541" t="str">
        <f>HYPERLINK("https://patents.google.com/patent/CN101537615B/en")</f>
        <v>https://patents.google.com/patent/CN101537615B/en</v>
      </c>
    </row>
    <row r="3542" spans="3:5" x14ac:dyDescent="0.25">
      <c r="C3542" t="s">
        <v>6039</v>
      </c>
      <c r="D3542" t="s">
        <v>6040</v>
      </c>
      <c r="E3542" t="str">
        <f>HYPERLINK("https://patents.google.com/patent/CN207774693U/en")</f>
        <v>https://patents.google.com/patent/CN207774693U/en</v>
      </c>
    </row>
    <row r="3543" spans="3:5" x14ac:dyDescent="0.25">
      <c r="C3543" t="s">
        <v>6041</v>
      </c>
      <c r="D3543" t="s">
        <v>6042</v>
      </c>
      <c r="E3543" t="str">
        <f>HYPERLINK("https://patents.google.com/patent/CN205521352U/en")</f>
        <v>https://patents.google.com/patent/CN205521352U/en</v>
      </c>
    </row>
    <row r="3544" spans="3:5" x14ac:dyDescent="0.25">
      <c r="C3544" t="s">
        <v>6043</v>
      </c>
      <c r="D3544" t="s">
        <v>6044</v>
      </c>
      <c r="E3544" t="str">
        <f>HYPERLINK("https://patents.google.com/patent/CN206170095U/en")</f>
        <v>https://patents.google.com/patent/CN206170095U/en</v>
      </c>
    </row>
    <row r="3545" spans="3:5" x14ac:dyDescent="0.25">
      <c r="C3545" t="s">
        <v>6045</v>
      </c>
      <c r="D3545" t="s">
        <v>6046</v>
      </c>
      <c r="E3545" t="str">
        <f>HYPERLINK("https://patents.google.com/patent/CN103984351B/en")</f>
        <v>https://patents.google.com/patent/CN103984351B/en</v>
      </c>
    </row>
    <row r="3546" spans="3:5" x14ac:dyDescent="0.25">
      <c r="C3546" t="s">
        <v>6047</v>
      </c>
      <c r="D3546" t="s">
        <v>6048</v>
      </c>
      <c r="E3546" t="str">
        <f>HYPERLINK("https://patents.google.com/patent/CN204832833U/en")</f>
        <v>https://patents.google.com/patent/CN204832833U/en</v>
      </c>
    </row>
    <row r="3547" spans="3:5" x14ac:dyDescent="0.25">
      <c r="C3547" t="s">
        <v>6049</v>
      </c>
      <c r="D3547" t="s">
        <v>6050</v>
      </c>
      <c r="E3547" t="str">
        <f>HYPERLINK("https://patents.google.com/patent/CN205721355U/en")</f>
        <v>https://patents.google.com/patent/CN205721355U/en</v>
      </c>
    </row>
    <row r="3548" spans="3:5" x14ac:dyDescent="0.25">
      <c r="C3548" t="s">
        <v>6051</v>
      </c>
      <c r="D3548" t="s">
        <v>6052</v>
      </c>
      <c r="E3548" t="str">
        <f>HYPERLINK("https://patents.google.com/patent/CN102991600A/en")</f>
        <v>https://patents.google.com/patent/CN102991600A/en</v>
      </c>
    </row>
    <row r="3549" spans="3:5" x14ac:dyDescent="0.25">
      <c r="C3549" t="s">
        <v>6053</v>
      </c>
      <c r="D3549" t="s">
        <v>6054</v>
      </c>
      <c r="E3549" t="str">
        <f>HYPERLINK("https://patents.google.com/patent/CN203472644U/en")</f>
        <v>https://patents.google.com/patent/CN203472644U/en</v>
      </c>
    </row>
    <row r="3550" spans="3:5" x14ac:dyDescent="0.25">
      <c r="C3550" t="s">
        <v>6055</v>
      </c>
      <c r="D3550" t="s">
        <v>6056</v>
      </c>
      <c r="E3550" t="str">
        <f>HYPERLINK("https://patents.google.com/patent/CN104953671A/en")</f>
        <v>https://patents.google.com/patent/CN104953671A/en</v>
      </c>
    </row>
    <row r="3551" spans="3:5" x14ac:dyDescent="0.25">
      <c r="C3551" t="s">
        <v>6057</v>
      </c>
      <c r="D3551" t="s">
        <v>6058</v>
      </c>
      <c r="E3551" t="str">
        <f>HYPERLINK("https://patents.google.com/patent/JP2006123854A/en")</f>
        <v>https://patents.google.com/patent/JP2006123854A/en</v>
      </c>
    </row>
    <row r="3552" spans="3:5" x14ac:dyDescent="0.25">
      <c r="C3552" t="s">
        <v>6059</v>
      </c>
      <c r="D3552" t="s">
        <v>6060</v>
      </c>
      <c r="E3552" t="str">
        <f>HYPERLINK("https://patents.google.com/patent/US20090171503A1/en")</f>
        <v>https://patents.google.com/patent/US20090171503A1/en</v>
      </c>
    </row>
    <row r="3553" spans="3:5" x14ac:dyDescent="0.25">
      <c r="C3553" t="s">
        <v>6061</v>
      </c>
      <c r="D3553" t="s">
        <v>6062</v>
      </c>
      <c r="E3553" t="str">
        <f>HYPERLINK("https://patents.google.com/patent/CN104440865B/en")</f>
        <v>https://patents.google.com/patent/CN104440865B/en</v>
      </c>
    </row>
    <row r="3554" spans="3:5" x14ac:dyDescent="0.25">
      <c r="C3554" t="s">
        <v>6053</v>
      </c>
      <c r="D3554" t="s">
        <v>6063</v>
      </c>
      <c r="E3554" t="str">
        <f>HYPERLINK("https://patents.google.com/patent/CN203473057U/en")</f>
        <v>https://patents.google.com/patent/CN203473057U/en</v>
      </c>
    </row>
    <row r="3555" spans="3:5" x14ac:dyDescent="0.25">
      <c r="C3555" t="s">
        <v>6064</v>
      </c>
      <c r="D3555" t="s">
        <v>6065</v>
      </c>
      <c r="E3555" t="str">
        <f>HYPERLINK("https://patents.google.com/patent/CN207564484U/en")</f>
        <v>https://patents.google.com/patent/CN207564484U/en</v>
      </c>
    </row>
    <row r="3556" spans="3:5" x14ac:dyDescent="0.25">
      <c r="C3556" t="s">
        <v>6066</v>
      </c>
      <c r="D3556" t="s">
        <v>6067</v>
      </c>
      <c r="E3556" t="str">
        <f>HYPERLINK("https://patents.google.com/patent/CN204819530U/en")</f>
        <v>https://patents.google.com/patent/CN204819530U/en</v>
      </c>
    </row>
    <row r="3557" spans="3:5" x14ac:dyDescent="0.25">
      <c r="C3557" t="s">
        <v>6068</v>
      </c>
      <c r="D3557" t="s">
        <v>6069</v>
      </c>
      <c r="E3557" t="str">
        <f>HYPERLINK("https://patents.google.com/patent/WO2016155365A1/en")</f>
        <v>https://patents.google.com/patent/WO2016155365A1/en</v>
      </c>
    </row>
    <row r="3558" spans="3:5" x14ac:dyDescent="0.25">
      <c r="C3558" t="s">
        <v>6070</v>
      </c>
      <c r="D3558" t="s">
        <v>6071</v>
      </c>
      <c r="E3558" t="str">
        <f>HYPERLINK("https://patents.google.com/patent/US20110264264A1/en")</f>
        <v>https://patents.google.com/patent/US20110264264A1/en</v>
      </c>
    </row>
    <row r="3559" spans="3:5" x14ac:dyDescent="0.25">
      <c r="C3559" t="s">
        <v>6072</v>
      </c>
      <c r="D3559" t="s">
        <v>6073</v>
      </c>
      <c r="E3559" t="str">
        <f>HYPERLINK("https://patents.google.com/patent/CN205968983U/en")</f>
        <v>https://patents.google.com/patent/CN205968983U/en</v>
      </c>
    </row>
    <row r="3560" spans="3:5" x14ac:dyDescent="0.25">
      <c r="C3560" t="s">
        <v>6074</v>
      </c>
      <c r="D3560" t="s">
        <v>6075</v>
      </c>
      <c r="E3560" t="str">
        <f>HYPERLINK("https://patents.google.com/patent/JPH05229480A/en")</f>
        <v>https://patents.google.com/patent/JPH05229480A/en</v>
      </c>
    </row>
    <row r="3561" spans="3:5" x14ac:dyDescent="0.25">
      <c r="C3561" t="s">
        <v>6076</v>
      </c>
      <c r="D3561" t="s">
        <v>6077</v>
      </c>
      <c r="E3561" t="str">
        <f>HYPERLINK("https://patents.google.com/patent/KR101319045B1/en")</f>
        <v>https://patents.google.com/patent/KR101319045B1/en</v>
      </c>
    </row>
    <row r="3562" spans="3:5" x14ac:dyDescent="0.25">
      <c r="C3562" t="s">
        <v>6078</v>
      </c>
      <c r="D3562" t="s">
        <v>6079</v>
      </c>
      <c r="E3562" t="str">
        <f>HYPERLINK("https://patents.google.com/patent/KR101323705B1/en")</f>
        <v>https://patents.google.com/patent/KR101323705B1/en</v>
      </c>
    </row>
    <row r="3563" spans="3:5" x14ac:dyDescent="0.25">
      <c r="C3563" t="s">
        <v>6080</v>
      </c>
      <c r="D3563" t="s">
        <v>6081</v>
      </c>
      <c r="E3563" t="str">
        <f>HYPERLINK("https://patents.google.com/patent/CN204846100U/en")</f>
        <v>https://patents.google.com/patent/CN204846100U/en</v>
      </c>
    </row>
    <row r="3564" spans="3:5" x14ac:dyDescent="0.25">
      <c r="C3564" t="s">
        <v>6082</v>
      </c>
      <c r="D3564" t="s">
        <v>6083</v>
      </c>
      <c r="E3564" t="str">
        <f>HYPERLINK("https://patents.google.com/patent/CN1513645A/en")</f>
        <v>https://patents.google.com/patent/CN1513645A/en</v>
      </c>
    </row>
    <row r="3565" spans="3:5" x14ac:dyDescent="0.25">
      <c r="C3565" t="s">
        <v>6084</v>
      </c>
      <c r="D3565" t="s">
        <v>6085</v>
      </c>
      <c r="E3565" t="str">
        <f>HYPERLINK("https://patents.google.com/patent/CN106002918A/en")</f>
        <v>https://patents.google.com/patent/CN106002918A/en</v>
      </c>
    </row>
    <row r="3566" spans="3:5" x14ac:dyDescent="0.25">
      <c r="C3566" t="s">
        <v>6086</v>
      </c>
      <c r="D3566" t="s">
        <v>6087</v>
      </c>
      <c r="E3566" t="str">
        <f>HYPERLINK("https://patents.google.com/patent/CN204322065U/en")</f>
        <v>https://patents.google.com/patent/CN204322065U/en</v>
      </c>
    </row>
    <row r="3567" spans="3:5" x14ac:dyDescent="0.25">
      <c r="C3567" t="s">
        <v>6088</v>
      </c>
      <c r="D3567" t="s">
        <v>6089</v>
      </c>
      <c r="E3567" t="str">
        <f>HYPERLINK("https://patents.google.com/patent/CN202857243U/en")</f>
        <v>https://patents.google.com/patent/CN202857243U/en</v>
      </c>
    </row>
    <row r="3568" spans="3:5" x14ac:dyDescent="0.25">
      <c r="C3568" t="s">
        <v>6090</v>
      </c>
      <c r="D3568" t="s">
        <v>6091</v>
      </c>
      <c r="E3568" t="str">
        <f>HYPERLINK("https://patents.google.com/patent/CN204402439U/en")</f>
        <v>https://patents.google.com/patent/CN204402439U/en</v>
      </c>
    </row>
    <row r="3569" spans="3:5" x14ac:dyDescent="0.25">
      <c r="C3569" t="s">
        <v>6092</v>
      </c>
      <c r="D3569" t="s">
        <v>6093</v>
      </c>
      <c r="E3569" t="str">
        <f>HYPERLINK("https://patents.google.com/patent/US20140254896A1/en")</f>
        <v>https://patents.google.com/patent/US20140254896A1/en</v>
      </c>
    </row>
    <row r="3570" spans="3:5" x14ac:dyDescent="0.25">
      <c r="C3570" t="s">
        <v>6094</v>
      </c>
      <c r="D3570" t="s">
        <v>6095</v>
      </c>
      <c r="E3570" t="str">
        <f>HYPERLINK("https://patents.google.com/patent/US20100243344A1/en")</f>
        <v>https://patents.google.com/patent/US20100243344A1/en</v>
      </c>
    </row>
    <row r="3571" spans="3:5" x14ac:dyDescent="0.25">
      <c r="C3571" t="s">
        <v>6096</v>
      </c>
      <c r="D3571" t="s">
        <v>6097</v>
      </c>
      <c r="E3571" t="str">
        <f>HYPERLINK("https://patents.google.com/patent/CN201565951U/en")</f>
        <v>https://patents.google.com/patent/CN201565951U/en</v>
      </c>
    </row>
    <row r="3572" spans="3:5" x14ac:dyDescent="0.25">
      <c r="C3572" t="s">
        <v>6098</v>
      </c>
      <c r="D3572" t="s">
        <v>6099</v>
      </c>
      <c r="E3572" t="str">
        <f>HYPERLINK("https://patents.google.com/patent/CN104807465A/en")</f>
        <v>https://patents.google.com/patent/CN104807465A/en</v>
      </c>
    </row>
    <row r="3573" spans="3:5" x14ac:dyDescent="0.25">
      <c r="C3573" t="s">
        <v>6100</v>
      </c>
      <c r="D3573" t="s">
        <v>6101</v>
      </c>
      <c r="E3573" t="str">
        <f>HYPERLINK("https://patents.google.com/patent/JP2005111654A/en")</f>
        <v>https://patents.google.com/patent/JP2005111654A/en</v>
      </c>
    </row>
    <row r="3574" spans="3:5" x14ac:dyDescent="0.25">
      <c r="C3574" t="s">
        <v>6102</v>
      </c>
      <c r="D3574" t="s">
        <v>6103</v>
      </c>
      <c r="E3574" t="str">
        <f>HYPERLINK("https://patents.google.com/patent/US20080208391A1/en")</f>
        <v>https://patents.google.com/patent/US20080208391A1/en</v>
      </c>
    </row>
    <row r="3575" spans="3:5" x14ac:dyDescent="0.25">
      <c r="C3575" t="s">
        <v>6104</v>
      </c>
      <c r="D3575" t="s">
        <v>6105</v>
      </c>
      <c r="E3575" t="str">
        <f>HYPERLINK("https://patents.google.com/patent/JP2007160428A/en")</f>
        <v>https://patents.google.com/patent/JP2007160428A/en</v>
      </c>
    </row>
    <row r="3576" spans="3:5" x14ac:dyDescent="0.25">
      <c r="C3576" t="s">
        <v>6106</v>
      </c>
      <c r="D3576" t="s">
        <v>6107</v>
      </c>
      <c r="E3576" t="str">
        <f>HYPERLINK("https://patents.google.com/patent/CN102141814A/en")</f>
        <v>https://patents.google.com/patent/CN102141814A/en</v>
      </c>
    </row>
    <row r="3577" spans="3:5" x14ac:dyDescent="0.25">
      <c r="C3577" t="s">
        <v>6108</v>
      </c>
      <c r="D3577" t="s">
        <v>6109</v>
      </c>
      <c r="E3577" t="str">
        <f>HYPERLINK("https://patents.google.com/patent/CN206105877U/en")</f>
        <v>https://patents.google.com/patent/CN206105877U/en</v>
      </c>
    </row>
    <row r="3578" spans="3:5" x14ac:dyDescent="0.25">
      <c r="C3578" t="s">
        <v>6110</v>
      </c>
      <c r="D3578" t="s">
        <v>6111</v>
      </c>
      <c r="E3578" t="str">
        <f>HYPERLINK("https://patents.google.com/patent/CN100583034C/en")</f>
        <v>https://patents.google.com/patent/CN100583034C/en</v>
      </c>
    </row>
    <row r="3579" spans="3:5" x14ac:dyDescent="0.25">
      <c r="C3579" t="s">
        <v>6112</v>
      </c>
      <c r="D3579" t="s">
        <v>6113</v>
      </c>
      <c r="E3579" t="str">
        <f>HYPERLINK("https://patents.google.com/patent/US8108092B2/en")</f>
        <v>https://patents.google.com/patent/US8108092B2/en</v>
      </c>
    </row>
    <row r="3580" spans="3:5" x14ac:dyDescent="0.25">
      <c r="C3580" t="s">
        <v>6112</v>
      </c>
      <c r="D3580" t="s">
        <v>6114</v>
      </c>
      <c r="E3580" t="str">
        <f>HYPERLINK("https://patents.google.com/patent/US8326469B2/en")</f>
        <v>https://patents.google.com/patent/US8326469B2/en</v>
      </c>
    </row>
    <row r="3581" spans="3:5" x14ac:dyDescent="0.25">
      <c r="C3581" t="s">
        <v>6115</v>
      </c>
      <c r="D3581" t="s">
        <v>6116</v>
      </c>
      <c r="E3581" t="str">
        <f>HYPERLINK("https://patents.google.com/patent/JP2010039839A/en")</f>
        <v>https://patents.google.com/patent/JP2010039839A/en</v>
      </c>
    </row>
    <row r="3582" spans="3:5" x14ac:dyDescent="0.25">
      <c r="C3582" t="s">
        <v>6117</v>
      </c>
      <c r="D3582" t="s">
        <v>6118</v>
      </c>
      <c r="E3582" t="str">
        <f>HYPERLINK("https://patents.google.com/patent/US20150165895A1/en")</f>
        <v>https://patents.google.com/patent/US20150165895A1/en</v>
      </c>
    </row>
    <row r="3583" spans="3:5" x14ac:dyDescent="0.25">
      <c r="C3583" t="s">
        <v>6119</v>
      </c>
      <c r="D3583" t="s">
        <v>6120</v>
      </c>
      <c r="E3583" t="str">
        <f>HYPERLINK("https://patents.google.com/patent/CN207657927U/en")</f>
        <v>https://patents.google.com/patent/CN207657927U/en</v>
      </c>
    </row>
    <row r="3584" spans="3:5" x14ac:dyDescent="0.25">
      <c r="C3584" t="s">
        <v>6121</v>
      </c>
      <c r="D3584" t="s">
        <v>6122</v>
      </c>
      <c r="E3584" t="str">
        <f>HYPERLINK("https://patents.google.com/patent/CN201484100U/en")</f>
        <v>https://patents.google.com/patent/CN201484100U/en</v>
      </c>
    </row>
    <row r="3585" spans="3:5" x14ac:dyDescent="0.25">
      <c r="C3585" t="s">
        <v>6123</v>
      </c>
      <c r="D3585" t="s">
        <v>6124</v>
      </c>
      <c r="E3585" t="str">
        <f>HYPERLINK("https://patents.google.com/patent/US9387895B1/en")</f>
        <v>https://patents.google.com/patent/US9387895B1/en</v>
      </c>
    </row>
    <row r="3586" spans="3:5" x14ac:dyDescent="0.25">
      <c r="C3586" t="s">
        <v>6125</v>
      </c>
      <c r="D3586" t="s">
        <v>6126</v>
      </c>
      <c r="E3586" t="str">
        <f>HYPERLINK("https://patents.google.com/patent/JP3679105B2/en")</f>
        <v>https://patents.google.com/patent/JP3679105B2/en</v>
      </c>
    </row>
    <row r="3587" spans="3:5" x14ac:dyDescent="0.25">
      <c r="C3587" t="s">
        <v>6127</v>
      </c>
      <c r="D3587" t="s">
        <v>6128</v>
      </c>
      <c r="E3587" t="str">
        <f>HYPERLINK("https://patents.google.com/patent/CN1295907A/en")</f>
        <v>https://patents.google.com/patent/CN1295907A/en</v>
      </c>
    </row>
    <row r="3588" spans="3:5" x14ac:dyDescent="0.25">
      <c r="C3588" t="s">
        <v>6129</v>
      </c>
      <c r="D3588" t="s">
        <v>6130</v>
      </c>
      <c r="E3588" t="str">
        <f>HYPERLINK("https://patents.google.com/patent/CN103879467A/en")</f>
        <v>https://patents.google.com/patent/CN103879467A/en</v>
      </c>
    </row>
    <row r="3589" spans="3:5" x14ac:dyDescent="0.25">
      <c r="C3589" t="s">
        <v>6131</v>
      </c>
      <c r="D3589" t="s">
        <v>6132</v>
      </c>
      <c r="E3589" t="str">
        <f>HYPERLINK("https://patents.google.com/patent/CN103696393A/en")</f>
        <v>https://patents.google.com/patent/CN103696393A/en</v>
      </c>
    </row>
    <row r="3590" spans="3:5" x14ac:dyDescent="0.25">
      <c r="C3590" t="s">
        <v>6133</v>
      </c>
      <c r="D3590" t="s">
        <v>6134</v>
      </c>
      <c r="E3590" t="str">
        <f>HYPERLINK("https://patents.google.com/patent/CN105150834B/en")</f>
        <v>https://patents.google.com/patent/CN105150834B/en</v>
      </c>
    </row>
    <row r="3591" spans="3:5" x14ac:dyDescent="0.25">
      <c r="C3591" t="s">
        <v>6135</v>
      </c>
      <c r="D3591" t="s">
        <v>6136</v>
      </c>
      <c r="E3591" t="str">
        <f>HYPERLINK("https://patents.google.com/patent/WO2014033788A1/en")</f>
        <v>https://patents.google.com/patent/WO2014033788A1/en</v>
      </c>
    </row>
    <row r="3592" spans="3:5" x14ac:dyDescent="0.25">
      <c r="C3592" t="s">
        <v>6137</v>
      </c>
      <c r="D3592" t="s">
        <v>6138</v>
      </c>
      <c r="E3592" t="str">
        <f>HYPERLINK("https://patents.google.com/patent/CN105216611B/en")</f>
        <v>https://patents.google.com/patent/CN105216611B/en</v>
      </c>
    </row>
    <row r="3593" spans="3:5" x14ac:dyDescent="0.25">
      <c r="C3593" t="s">
        <v>6125</v>
      </c>
      <c r="D3593" t="s">
        <v>6139</v>
      </c>
      <c r="E3593" t="str">
        <f>HYPERLINK("https://patents.google.com/patent/JP4808626B2/en")</f>
        <v>https://patents.google.com/patent/JP4808626B2/en</v>
      </c>
    </row>
    <row r="3594" spans="3:5" x14ac:dyDescent="0.25">
      <c r="C3594" t="s">
        <v>6140</v>
      </c>
      <c r="D3594" t="s">
        <v>6141</v>
      </c>
      <c r="E3594" t="str">
        <f>HYPERLINK("https://patents.google.com/patent/CN207807743U/en")</f>
        <v>https://patents.google.com/patent/CN207807743U/en</v>
      </c>
    </row>
    <row r="3595" spans="3:5" x14ac:dyDescent="0.25">
      <c r="C3595" t="s">
        <v>6142</v>
      </c>
      <c r="D3595" t="s">
        <v>6143</v>
      </c>
      <c r="E3595" t="str">
        <f>HYPERLINK("https://patents.google.com/patent/WO2017101882A1/en")</f>
        <v>https://patents.google.com/patent/WO2017101882A1/en</v>
      </c>
    </row>
    <row r="3596" spans="3:5" x14ac:dyDescent="0.25">
      <c r="C3596" t="s">
        <v>6144</v>
      </c>
      <c r="D3596" t="s">
        <v>6145</v>
      </c>
      <c r="E3596" t="str">
        <f>HYPERLINK("https://patents.google.com/patent/CN102794758A/en")</f>
        <v>https://patents.google.com/patent/CN102794758A/en</v>
      </c>
    </row>
    <row r="3597" spans="3:5" x14ac:dyDescent="0.25">
      <c r="C3597" t="s">
        <v>6146</v>
      </c>
      <c r="D3597" t="s">
        <v>6147</v>
      </c>
      <c r="E3597" t="str">
        <f>HYPERLINK("https://patents.google.com/patent/US20080086241A1/en")</f>
        <v>https://patents.google.com/patent/US20080086241A1/en</v>
      </c>
    </row>
    <row r="3598" spans="3:5" x14ac:dyDescent="0.25">
      <c r="C3598" t="s">
        <v>6148</v>
      </c>
      <c r="D3598" t="s">
        <v>6149</v>
      </c>
      <c r="E3598" t="str">
        <f>HYPERLINK("https://patents.google.com/patent/US20120328395A1/en")</f>
        <v>https://patents.google.com/patent/US20120328395A1/en</v>
      </c>
    </row>
    <row r="3599" spans="3:5" x14ac:dyDescent="0.25">
      <c r="C3599" t="s">
        <v>6150</v>
      </c>
      <c r="D3599" t="s">
        <v>6151</v>
      </c>
      <c r="E3599" t="str">
        <f>HYPERLINK("https://patents.google.com/patent/CN205022365U/en")</f>
        <v>https://patents.google.com/patent/CN205022365U/en</v>
      </c>
    </row>
    <row r="3600" spans="3:5" x14ac:dyDescent="0.25">
      <c r="C3600" t="s">
        <v>6152</v>
      </c>
      <c r="D3600" t="s">
        <v>6153</v>
      </c>
      <c r="E3600" t="str">
        <f>HYPERLINK("https://patents.google.com/patent/US20180035606A1/en")</f>
        <v>https://patents.google.com/patent/US20180035606A1/en</v>
      </c>
    </row>
    <row r="3601" spans="3:5" x14ac:dyDescent="0.25">
      <c r="C3601" t="s">
        <v>5997</v>
      </c>
      <c r="D3601" t="s">
        <v>6154</v>
      </c>
      <c r="E3601" t="str">
        <f>HYPERLINK("https://patents.google.com/patent/US20110098860A1/en")</f>
        <v>https://patents.google.com/patent/US20110098860A1/en</v>
      </c>
    </row>
    <row r="3602" spans="3:5" x14ac:dyDescent="0.25">
      <c r="C3602" t="s">
        <v>6155</v>
      </c>
      <c r="D3602" t="s">
        <v>6156</v>
      </c>
      <c r="E3602" t="str">
        <f>HYPERLINK("https://patents.google.com/patent/US20050228539A1/en")</f>
        <v>https://patents.google.com/patent/US20050228539A1/en</v>
      </c>
    </row>
    <row r="3603" spans="3:5" x14ac:dyDescent="0.25">
      <c r="C3603" t="s">
        <v>6157</v>
      </c>
      <c r="D3603" t="s">
        <v>6158</v>
      </c>
      <c r="E3603" t="str">
        <f>HYPERLINK("https://patents.google.com/patent/CN202758239U/en")</f>
        <v>https://patents.google.com/patent/CN202758239U/en</v>
      </c>
    </row>
    <row r="3604" spans="3:5" x14ac:dyDescent="0.25">
      <c r="C3604" t="s">
        <v>5997</v>
      </c>
      <c r="D3604" t="s">
        <v>6159</v>
      </c>
      <c r="E3604" t="str">
        <f>HYPERLINK("https://patents.google.com/patent/US8306657B2/en")</f>
        <v>https://patents.google.com/patent/US8306657B2/en</v>
      </c>
    </row>
    <row r="3605" spans="3:5" x14ac:dyDescent="0.25">
      <c r="C3605" t="s">
        <v>6160</v>
      </c>
      <c r="D3605" t="s">
        <v>6161</v>
      </c>
      <c r="E3605" t="str">
        <f>HYPERLINK("https://patents.google.com/patent/CN206154282U/en")</f>
        <v>https://patents.google.com/patent/CN206154282U/en</v>
      </c>
    </row>
    <row r="3606" spans="3:5" x14ac:dyDescent="0.25">
      <c r="C3606" t="s">
        <v>6162</v>
      </c>
      <c r="D3606" t="s">
        <v>6163</v>
      </c>
      <c r="E3606" t="str">
        <f>HYPERLINK("https://patents.google.com/patent/CN202684911U/en")</f>
        <v>https://patents.google.com/patent/CN202684911U/en</v>
      </c>
    </row>
    <row r="3607" spans="3:5" x14ac:dyDescent="0.25">
      <c r="C3607" t="s">
        <v>6164</v>
      </c>
      <c r="D3607" t="s">
        <v>6165</v>
      </c>
      <c r="E3607" t="str">
        <f>HYPERLINK("https://patents.google.com/patent/JP2006175567A/en")</f>
        <v>https://patents.google.com/patent/JP2006175567A/en</v>
      </c>
    </row>
    <row r="3608" spans="3:5" x14ac:dyDescent="0.25">
      <c r="C3608" t="s">
        <v>6166</v>
      </c>
      <c r="D3608" t="s">
        <v>6167</v>
      </c>
      <c r="E3608" t="str">
        <f>HYPERLINK("https://patents.google.com/patent/JP2012056001A/en")</f>
        <v>https://patents.google.com/patent/JP2012056001A/en</v>
      </c>
    </row>
    <row r="3609" spans="3:5" x14ac:dyDescent="0.25">
      <c r="C3609" t="s">
        <v>6168</v>
      </c>
      <c r="D3609" t="s">
        <v>6169</v>
      </c>
      <c r="E3609" t="str">
        <f>HYPERLINK("https://patents.google.com/patent/US20060247800A1/en")</f>
        <v>https://patents.google.com/patent/US20060247800A1/en</v>
      </c>
    </row>
    <row r="3610" spans="3:5" x14ac:dyDescent="0.25">
      <c r="C3610" t="s">
        <v>6170</v>
      </c>
      <c r="D3610" t="s">
        <v>6171</v>
      </c>
      <c r="E3610" t="str">
        <f>HYPERLINK("https://patents.google.com/patent/US7761954B2/en")</f>
        <v>https://patents.google.com/patent/US7761954B2/en</v>
      </c>
    </row>
    <row r="3611" spans="3:5" x14ac:dyDescent="0.25">
      <c r="C3611" t="s">
        <v>6172</v>
      </c>
      <c r="D3611" t="s">
        <v>6173</v>
      </c>
      <c r="E3611" t="str">
        <f>HYPERLINK("https://patents.google.com/patent/US7843431B2/en")</f>
        <v>https://patents.google.com/patent/US7843431B2/en</v>
      </c>
    </row>
    <row r="3612" spans="3:5" x14ac:dyDescent="0.25">
      <c r="C3612" t="s">
        <v>6174</v>
      </c>
      <c r="D3612" t="s">
        <v>6175</v>
      </c>
      <c r="E3612" t="str">
        <f>HYPERLINK("https://patents.google.com/patent/US9172738B1/en")</f>
        <v>https://patents.google.com/patent/US9172738B1/en</v>
      </c>
    </row>
    <row r="3613" spans="3:5" x14ac:dyDescent="0.25">
      <c r="C3613" t="s">
        <v>6176</v>
      </c>
      <c r="D3613" t="s">
        <v>6177</v>
      </c>
      <c r="E3613" t="str">
        <f>HYPERLINK("https://patents.google.com/patent/JP4805818B2/en")</f>
        <v>https://patents.google.com/patent/JP4805818B2/en</v>
      </c>
    </row>
    <row r="3614" spans="3:5" x14ac:dyDescent="0.25">
      <c r="C3614" t="s">
        <v>6178</v>
      </c>
      <c r="D3614" t="s">
        <v>6179</v>
      </c>
      <c r="E3614" t="str">
        <f>HYPERLINK("https://patents.google.com/patent/JP2004129435A/en")</f>
        <v>https://patents.google.com/patent/JP2004129435A/en</v>
      </c>
    </row>
    <row r="3615" spans="3:5" x14ac:dyDescent="0.25">
      <c r="C3615" t="s">
        <v>6180</v>
      </c>
      <c r="D3615" t="s">
        <v>6181</v>
      </c>
      <c r="E3615" t="str">
        <f>HYPERLINK("https://patents.google.com/patent/US20140207282A1/en")</f>
        <v>https://patents.google.com/patent/US20140207282A1/en</v>
      </c>
    </row>
    <row r="3616" spans="3:5" x14ac:dyDescent="0.25">
      <c r="C3616" t="s">
        <v>6182</v>
      </c>
      <c r="D3616" t="s">
        <v>6183</v>
      </c>
      <c r="E3616" t="str">
        <f>HYPERLINK("https://patents.google.com/patent/CN103192987A/en")</f>
        <v>https://patents.google.com/patent/CN103192987A/en</v>
      </c>
    </row>
    <row r="3617" spans="3:5" x14ac:dyDescent="0.25">
      <c r="C3617" t="s">
        <v>6184</v>
      </c>
      <c r="D3617" t="s">
        <v>6185</v>
      </c>
      <c r="E3617" t="str">
        <f>HYPERLINK("https://patents.google.com/patent/CN101612730A/en")</f>
        <v>https://patents.google.com/patent/CN101612730A/en</v>
      </c>
    </row>
    <row r="3618" spans="3:5" x14ac:dyDescent="0.25">
      <c r="C3618" t="s">
        <v>6186</v>
      </c>
      <c r="D3618" t="s">
        <v>6187</v>
      </c>
      <c r="E3618" t="str">
        <f>HYPERLINK("https://patents.google.com/patent/US20070156283A1/en")</f>
        <v>https://patents.google.com/patent/US20070156283A1/en</v>
      </c>
    </row>
    <row r="3619" spans="3:5" x14ac:dyDescent="0.25">
      <c r="C3619" t="s">
        <v>6188</v>
      </c>
      <c r="D3619" t="s">
        <v>6189</v>
      </c>
      <c r="E3619" t="str">
        <f>HYPERLINK("https://patents.google.com/patent/US20110301943A1/en")</f>
        <v>https://patents.google.com/patent/US20110301943A1/en</v>
      </c>
    </row>
    <row r="3620" spans="3:5" x14ac:dyDescent="0.25">
      <c r="C3620" t="s">
        <v>6190</v>
      </c>
      <c r="D3620" t="s">
        <v>6191</v>
      </c>
      <c r="E3620" t="str">
        <f>HYPERLINK("https://patents.google.com/patent/CN201088794Y/en")</f>
        <v>https://patents.google.com/patent/CN201088794Y/en</v>
      </c>
    </row>
    <row r="3621" spans="3:5" x14ac:dyDescent="0.25">
      <c r="C3621" t="s">
        <v>6192</v>
      </c>
      <c r="D3621" t="s">
        <v>6193</v>
      </c>
      <c r="E3621" t="str">
        <f>HYPERLINK("https://patents.google.com/patent/CN101570216A/en")</f>
        <v>https://patents.google.com/patent/CN101570216A/en</v>
      </c>
    </row>
    <row r="3622" spans="3:5" x14ac:dyDescent="0.25">
      <c r="C3622" t="s">
        <v>6194</v>
      </c>
      <c r="D3622" t="s">
        <v>6195</v>
      </c>
      <c r="E3622" t="str">
        <f>HYPERLINK("https://patents.google.com/patent/US20110213495A1/en")</f>
        <v>https://patents.google.com/patent/US20110213495A1/en</v>
      </c>
    </row>
    <row r="3623" spans="3:5" x14ac:dyDescent="0.25">
      <c r="C3623" t="s">
        <v>6196</v>
      </c>
      <c r="D3623" t="s">
        <v>6197</v>
      </c>
      <c r="E3623" t="str">
        <f>HYPERLINK("https://patents.google.com/patent/WO2002078892A1/en")</f>
        <v>https://patents.google.com/patent/WO2002078892A1/en</v>
      </c>
    </row>
    <row r="3624" spans="3:5" x14ac:dyDescent="0.25">
      <c r="C3624" t="s">
        <v>6198</v>
      </c>
      <c r="D3624" t="s">
        <v>6199</v>
      </c>
      <c r="E3624" t="str">
        <f>HYPERLINK("https://patents.google.com/patent/US8396593B2/en")</f>
        <v>https://patents.google.com/patent/US8396593B2/en</v>
      </c>
    </row>
    <row r="3625" spans="3:5" x14ac:dyDescent="0.25">
      <c r="C3625" t="s">
        <v>6200</v>
      </c>
      <c r="D3625" t="s">
        <v>6201</v>
      </c>
      <c r="E3625" t="str">
        <f>HYPERLINK("https://patents.google.com/patent/CN203210377U/en")</f>
        <v>https://patents.google.com/patent/CN203210377U/en</v>
      </c>
    </row>
    <row r="3626" spans="3:5" x14ac:dyDescent="0.25">
      <c r="C3626" t="s">
        <v>6202</v>
      </c>
      <c r="D3626" t="s">
        <v>6203</v>
      </c>
      <c r="E3626" t="str">
        <f>HYPERLINK("https://patents.google.com/patent/US20110213496A1/en")</f>
        <v>https://patents.google.com/patent/US20110213496A1/en</v>
      </c>
    </row>
    <row r="3627" spans="3:5" x14ac:dyDescent="0.25">
      <c r="C3627" t="s">
        <v>6204</v>
      </c>
      <c r="D3627" t="s">
        <v>6205</v>
      </c>
      <c r="E3627" t="str">
        <f>HYPERLINK("https://patents.google.com/patent/CN101589984A/en")</f>
        <v>https://patents.google.com/patent/CN101589984A/en</v>
      </c>
    </row>
    <row r="3628" spans="3:5" x14ac:dyDescent="0.25">
      <c r="C3628" t="s">
        <v>6206</v>
      </c>
      <c r="D3628" t="s">
        <v>6207</v>
      </c>
      <c r="E3628" t="str">
        <f>HYPERLINK("https://patents.google.com/patent/US20070168080A1/en")</f>
        <v>https://patents.google.com/patent/US20070168080A1/en</v>
      </c>
    </row>
    <row r="3629" spans="3:5" x14ac:dyDescent="0.25">
      <c r="C3629" t="s">
        <v>6208</v>
      </c>
      <c r="D3629" t="s">
        <v>6209</v>
      </c>
      <c r="E3629" t="str">
        <f>HYPERLINK("https://patents.google.com/patent/US20080300721A1/en")</f>
        <v>https://patents.google.com/patent/US20080300721A1/en</v>
      </c>
    </row>
    <row r="3630" spans="3:5" x14ac:dyDescent="0.25">
      <c r="C3630" t="s">
        <v>6210</v>
      </c>
      <c r="D3630" t="s">
        <v>6211</v>
      </c>
      <c r="E3630" t="str">
        <f>HYPERLINK("https://patents.google.com/patent/KR20110088827A/en")</f>
        <v>https://patents.google.com/patent/KR20110088827A/en</v>
      </c>
    </row>
    <row r="3631" spans="3:5" x14ac:dyDescent="0.25">
      <c r="C3631" t="s">
        <v>6112</v>
      </c>
      <c r="D3631" t="s">
        <v>6212</v>
      </c>
      <c r="E3631" t="str">
        <f>HYPERLINK("https://patents.google.com/patent/WO2008060689A2/en")</f>
        <v>https://patents.google.com/patent/WO2008060689A2/en</v>
      </c>
    </row>
    <row r="3632" spans="3:5" x14ac:dyDescent="0.25">
      <c r="C3632" t="s">
        <v>6213</v>
      </c>
      <c r="D3632" t="s">
        <v>6214</v>
      </c>
      <c r="E3632" t="str">
        <f>HYPERLINK("https://patents.google.com/patent/US7168748B2/en")</f>
        <v>https://patents.google.com/patent/US7168748B2/en</v>
      </c>
    </row>
    <row r="3633" spans="3:5" x14ac:dyDescent="0.25">
      <c r="C3633" t="s">
        <v>6215</v>
      </c>
      <c r="D3633" t="s">
        <v>6216</v>
      </c>
      <c r="E3633" t="str">
        <f>HYPERLINK("https://patents.google.com/patent/US20140207280A1/en")</f>
        <v>https://patents.google.com/patent/US20140207280A1/en</v>
      </c>
    </row>
    <row r="3634" spans="3:5" x14ac:dyDescent="0.25">
      <c r="C3634" t="s">
        <v>6217</v>
      </c>
      <c r="D3634" t="s">
        <v>6218</v>
      </c>
      <c r="E3634" t="str">
        <f>HYPERLINK("https://patents.google.com/patent/US20130268118A1/en")</f>
        <v>https://patents.google.com/patent/US20130268118A1/en</v>
      </c>
    </row>
    <row r="3635" spans="3:5" x14ac:dyDescent="0.25">
      <c r="C3635" t="s">
        <v>6219</v>
      </c>
      <c r="D3635" t="s">
        <v>6220</v>
      </c>
      <c r="E3635" t="str">
        <f>HYPERLINK("https://patents.google.com/patent/CN203698534U/en")</f>
        <v>https://patents.google.com/patent/CN203698534U/en</v>
      </c>
    </row>
    <row r="3636" spans="3:5" x14ac:dyDescent="0.25">
      <c r="C3636" t="s">
        <v>6221</v>
      </c>
      <c r="D3636" t="s">
        <v>6222</v>
      </c>
      <c r="E3636" t="str">
        <f>HYPERLINK("https://patents.google.com/patent/US20110213498A1/en")</f>
        <v>https://patents.google.com/patent/US20110213498A1/en</v>
      </c>
    </row>
    <row r="3637" spans="3:5" x14ac:dyDescent="0.25">
      <c r="C3637" t="s">
        <v>5965</v>
      </c>
      <c r="D3637" t="s">
        <v>6223</v>
      </c>
      <c r="E3637" t="str">
        <f>HYPERLINK("https://patents.google.com/patent/JP2006110676A/en")</f>
        <v>https://patents.google.com/patent/JP2006110676A/en</v>
      </c>
    </row>
    <row r="3638" spans="3:5" x14ac:dyDescent="0.25">
      <c r="C3638" t="s">
        <v>6224</v>
      </c>
      <c r="D3638" t="s">
        <v>6225</v>
      </c>
      <c r="E3638" t="str">
        <f>HYPERLINK("https://patents.google.com/patent/JP2003071763A/en")</f>
        <v>https://patents.google.com/patent/JP2003071763A/en</v>
      </c>
    </row>
    <row r="3639" spans="3:5" x14ac:dyDescent="0.25">
      <c r="C3639" t="s">
        <v>6226</v>
      </c>
      <c r="D3639" t="s">
        <v>6227</v>
      </c>
      <c r="E3639" t="str">
        <f>HYPERLINK("https://patents.google.com/patent/US6108597A/en")</f>
        <v>https://patents.google.com/patent/US6108597A/en</v>
      </c>
    </row>
    <row r="3640" spans="3:5" x14ac:dyDescent="0.25">
      <c r="C3640" t="s">
        <v>6228</v>
      </c>
      <c r="D3640" t="s">
        <v>6229</v>
      </c>
      <c r="E3640" t="str">
        <f>HYPERLINK("https://patents.google.com/patent/US20160096272A1/en")</f>
        <v>https://patents.google.com/patent/US20160096272A1/en</v>
      </c>
    </row>
    <row r="3641" spans="3:5" x14ac:dyDescent="0.25">
      <c r="C3641" t="s">
        <v>6230</v>
      </c>
      <c r="D3641" t="s">
        <v>6231</v>
      </c>
      <c r="E3641" t="str">
        <f>HYPERLINK("https://patents.google.com/patent/US6308791B1/en")</f>
        <v>https://patents.google.com/patent/US6308791B1/en</v>
      </c>
    </row>
    <row r="3642" spans="3:5" x14ac:dyDescent="0.25">
      <c r="C3642" t="s">
        <v>5997</v>
      </c>
      <c r="D3642" t="s">
        <v>6232</v>
      </c>
      <c r="E3642" t="str">
        <f>HYPERLINK("https://patents.google.com/patent/US20110301756A1/en")</f>
        <v>https://patents.google.com/patent/US20110301756A1/en</v>
      </c>
    </row>
    <row r="3643" spans="3:5" x14ac:dyDescent="0.25">
      <c r="C3643" t="s">
        <v>6233</v>
      </c>
      <c r="D3643" t="s">
        <v>6234</v>
      </c>
      <c r="E3643" t="str">
        <f>HYPERLINK("https://patents.google.com/patent/JP2004276165A/en")</f>
        <v>https://patents.google.com/patent/JP2004276165A/en</v>
      </c>
    </row>
    <row r="3644" spans="3:5" x14ac:dyDescent="0.25">
      <c r="C3644" t="s">
        <v>6235</v>
      </c>
      <c r="D3644" t="s">
        <v>6236</v>
      </c>
      <c r="E3644" t="str">
        <f>HYPERLINK("https://patents.google.com/patent/CN1736668A/en")</f>
        <v>https://patents.google.com/patent/CN1736668A/en</v>
      </c>
    </row>
    <row r="3645" spans="3:5" x14ac:dyDescent="0.25">
      <c r="C3645" t="s">
        <v>6237</v>
      </c>
      <c r="D3645" t="s">
        <v>6238</v>
      </c>
      <c r="E3645" t="str">
        <f>HYPERLINK("https://patents.google.com/patent/CN101665068A/en")</f>
        <v>https://patents.google.com/patent/CN101665068A/en</v>
      </c>
    </row>
    <row r="3646" spans="3:5" x14ac:dyDescent="0.25">
      <c r="C3646" t="s">
        <v>6239</v>
      </c>
      <c r="D3646" t="s">
        <v>6240</v>
      </c>
      <c r="E3646" t="str">
        <f>HYPERLINK("https://patents.google.com/patent/US20140207281A1/en")</f>
        <v>https://patents.google.com/patent/US20140207281A1/en</v>
      </c>
    </row>
    <row r="3647" spans="3:5" x14ac:dyDescent="0.25">
      <c r="C3647" t="s">
        <v>6241</v>
      </c>
      <c r="D3647" t="s">
        <v>6242</v>
      </c>
      <c r="E3647" t="str">
        <f>HYPERLINK("https://patents.google.com/patent/WO2012039280A1/en")</f>
        <v>https://patents.google.com/patent/WO2012039280A1/en</v>
      </c>
    </row>
    <row r="3648" spans="3:5" x14ac:dyDescent="0.25">
      <c r="C3648" t="s">
        <v>6243</v>
      </c>
      <c r="D3648" t="s">
        <v>6244</v>
      </c>
      <c r="E3648" t="str">
        <f>HYPERLINK("https://patents.google.com/patent/US20050066397A1/en")</f>
        <v>https://patents.google.com/patent/US20050066397A1/en</v>
      </c>
    </row>
    <row r="3649" spans="3:5" x14ac:dyDescent="0.25">
      <c r="C3649" t="s">
        <v>6224</v>
      </c>
      <c r="D3649" t="s">
        <v>6245</v>
      </c>
      <c r="E3649" t="str">
        <f>HYPERLINK("https://patents.google.com/patent/US20080185985A1/en")</f>
        <v>https://patents.google.com/patent/US20080185985A1/en</v>
      </c>
    </row>
    <row r="3650" spans="3:5" x14ac:dyDescent="0.25">
      <c r="C3650" t="s">
        <v>6246</v>
      </c>
      <c r="D3650" t="s">
        <v>6247</v>
      </c>
      <c r="E3650" t="str">
        <f>HYPERLINK("https://patents.google.com/patent/US7590589B2/en")</f>
        <v>https://patents.google.com/patent/US7590589B2/en</v>
      </c>
    </row>
    <row r="3651" spans="3:5" x14ac:dyDescent="0.25">
      <c r="C3651" t="s">
        <v>6248</v>
      </c>
      <c r="D3651" t="s">
        <v>6249</v>
      </c>
      <c r="E3651" t="str">
        <f>HYPERLINK("https://patents.google.com/patent/CN103273977A/en")</f>
        <v>https://patents.google.com/patent/CN103273977A/en</v>
      </c>
    </row>
    <row r="3652" spans="3:5" x14ac:dyDescent="0.25">
      <c r="C3652" t="s">
        <v>6250</v>
      </c>
      <c r="D3652" t="s">
        <v>6251</v>
      </c>
      <c r="E3652" t="str">
        <f>HYPERLINK("https://patents.google.com/patent/US8676273B1/en")</f>
        <v>https://patents.google.com/patent/US8676273B1/en</v>
      </c>
    </row>
    <row r="3653" spans="3:5" x14ac:dyDescent="0.25">
      <c r="C3653" t="s">
        <v>6252</v>
      </c>
      <c r="D3653" t="s">
        <v>6253</v>
      </c>
      <c r="E3653" t="str">
        <f>HYPERLINK("https://patents.google.com/patent/US7877165B2/en")</f>
        <v>https://patents.google.com/patent/US7877165B2/en</v>
      </c>
    </row>
    <row r="3654" spans="3:5" x14ac:dyDescent="0.25">
      <c r="C3654" t="s">
        <v>6254</v>
      </c>
      <c r="D3654" t="s">
        <v>6255</v>
      </c>
      <c r="E3654" t="str">
        <f>HYPERLINK("https://patents.google.com/patent/CN1499324A/en")</f>
        <v>https://patents.google.com/patent/CN1499324A/en</v>
      </c>
    </row>
    <row r="3655" spans="3:5" x14ac:dyDescent="0.25">
      <c r="C3655" t="s">
        <v>6256</v>
      </c>
      <c r="D3655" t="s">
        <v>6257</v>
      </c>
      <c r="E3655" t="str">
        <f>HYPERLINK("https://patents.google.com/patent/US20100025383A1/en")</f>
        <v>https://patents.google.com/patent/US20100025383A1/en</v>
      </c>
    </row>
    <row r="3656" spans="3:5" x14ac:dyDescent="0.25">
      <c r="C3656" t="s">
        <v>6258</v>
      </c>
      <c r="D3656" t="s">
        <v>6259</v>
      </c>
      <c r="E3656" t="str">
        <f>HYPERLINK("https://patents.google.com/patent/US7549077B2/en")</f>
        <v>https://patents.google.com/patent/US7549077B2/en</v>
      </c>
    </row>
    <row r="3657" spans="3:5" x14ac:dyDescent="0.25">
      <c r="C3657" t="s">
        <v>6125</v>
      </c>
      <c r="D3657" t="s">
        <v>6260</v>
      </c>
      <c r="E3657" t="str">
        <f>HYPERLINK("https://patents.google.com/patent/JP3674788B2/en")</f>
        <v>https://patents.google.com/patent/JP3674788B2/en</v>
      </c>
    </row>
    <row r="3658" spans="3:5" x14ac:dyDescent="0.25">
      <c r="C3658" t="s">
        <v>6261</v>
      </c>
      <c r="D3658" t="s">
        <v>6262</v>
      </c>
      <c r="E3658" t="str">
        <f>HYPERLINK("https://patents.google.com/patent/CN101567572A/en")</f>
        <v>https://patents.google.com/patent/CN101567572A/en</v>
      </c>
    </row>
    <row r="3659" spans="3:5" x14ac:dyDescent="0.25">
      <c r="C3659" t="s">
        <v>6263</v>
      </c>
      <c r="D3659" t="s">
        <v>6264</v>
      </c>
      <c r="E3659" t="str">
        <f>HYPERLINK("https://patents.google.com/patent/CN202910861U/en")</f>
        <v>https://patents.google.com/patent/CN202910861U/en</v>
      </c>
    </row>
    <row r="3660" spans="3:5" x14ac:dyDescent="0.25">
      <c r="C3660" t="s">
        <v>6265</v>
      </c>
      <c r="D3660" t="s">
        <v>6266</v>
      </c>
      <c r="E3660" t="str">
        <f>HYPERLINK("https://patents.google.com/patent/JP2010271911A/en")</f>
        <v>https://patents.google.com/patent/JP2010271911A/en</v>
      </c>
    </row>
    <row r="3661" spans="3:5" x14ac:dyDescent="0.25">
      <c r="C3661" t="s">
        <v>6267</v>
      </c>
      <c r="D3661" t="s">
        <v>6268</v>
      </c>
      <c r="E3661" t="str">
        <f>HYPERLINK("https://patents.google.com/patent/US7313463B2/en")</f>
        <v>https://patents.google.com/patent/US7313463B2/en</v>
      </c>
    </row>
    <row r="3662" spans="3:5" x14ac:dyDescent="0.25">
      <c r="C3662" t="s">
        <v>6269</v>
      </c>
      <c r="D3662" t="s">
        <v>6270</v>
      </c>
      <c r="E3662" t="str">
        <f>HYPERLINK("https://patents.google.com/patent/US5974348A/en")</f>
        <v>https://patents.google.com/patent/US5974348A/en</v>
      </c>
    </row>
    <row r="3663" spans="3:5" x14ac:dyDescent="0.25">
      <c r="C3663" t="s">
        <v>6271</v>
      </c>
      <c r="D3663" t="s">
        <v>6272</v>
      </c>
      <c r="E3663" t="str">
        <f>HYPERLINK("https://patents.google.com/patent/US5347387A/en")</f>
        <v>https://patents.google.com/patent/US5347387A/en</v>
      </c>
    </row>
    <row r="3664" spans="3:5" x14ac:dyDescent="0.25">
      <c r="C3664" t="s">
        <v>6250</v>
      </c>
      <c r="D3664" t="s">
        <v>6273</v>
      </c>
      <c r="E3664" t="str">
        <f>HYPERLINK("https://patents.google.com/patent/US8639214B1/en")</f>
        <v>https://patents.google.com/patent/US8639214B1/en</v>
      </c>
    </row>
    <row r="3665" spans="3:5" x14ac:dyDescent="0.25">
      <c r="C3665" t="s">
        <v>6274</v>
      </c>
      <c r="D3665" t="s">
        <v>6275</v>
      </c>
      <c r="E3665" t="str">
        <f>HYPERLINK("https://patents.google.com/patent/US20070080000A1/en")</f>
        <v>https://patents.google.com/patent/US20070080000A1/en</v>
      </c>
    </row>
    <row r="3666" spans="3:5" x14ac:dyDescent="0.25">
      <c r="C3666" t="s">
        <v>6276</v>
      </c>
      <c r="D3666" t="s">
        <v>6277</v>
      </c>
      <c r="E3666" t="str">
        <f>HYPERLINK("https://patents.google.com/patent/US5551545A/en")</f>
        <v>https://patents.google.com/patent/US5551545A/en</v>
      </c>
    </row>
    <row r="3667" spans="3:5" x14ac:dyDescent="0.25">
      <c r="C3667" t="s">
        <v>6278</v>
      </c>
      <c r="D3667" t="s">
        <v>6279</v>
      </c>
      <c r="E3667" t="str">
        <f>HYPERLINK("https://patents.google.com/patent/US6895301B2/en")</f>
        <v>https://patents.google.com/patent/US6895301B2/en</v>
      </c>
    </row>
    <row r="3668" spans="3:5" x14ac:dyDescent="0.25">
      <c r="C3668" t="s">
        <v>6280</v>
      </c>
      <c r="D3668" t="s">
        <v>6281</v>
      </c>
      <c r="E3668" t="str">
        <f>HYPERLINK("https://patents.google.com/patent/US6748292B2/en")</f>
        <v>https://patents.google.com/patent/US6748292B2/en</v>
      </c>
    </row>
    <row r="3669" spans="3:5" x14ac:dyDescent="0.25">
      <c r="C3669" t="s">
        <v>6282</v>
      </c>
      <c r="D3669" t="s">
        <v>6283</v>
      </c>
      <c r="E3669" t="str">
        <f>HYPERLINK("https://patents.google.com/patent/US20120311810A1/en")</f>
        <v>https://patents.google.com/patent/US20120311810A1/en</v>
      </c>
    </row>
    <row r="3670" spans="3:5" x14ac:dyDescent="0.25">
      <c r="C3670" t="s">
        <v>6284</v>
      </c>
      <c r="D3670" t="s">
        <v>6285</v>
      </c>
      <c r="E3670" t="str">
        <f>HYPERLINK("https://patents.google.com/patent/US6481515B1/en")</f>
        <v>https://patents.google.com/patent/US6481515B1/en</v>
      </c>
    </row>
    <row r="3671" spans="3:5" x14ac:dyDescent="0.25">
      <c r="C3671" t="s">
        <v>6286</v>
      </c>
      <c r="D3671" t="s">
        <v>6287</v>
      </c>
      <c r="E3671" t="str">
        <f>HYPERLINK("https://patents.google.com/patent/US8312660B1/en")</f>
        <v>https://patents.google.com/patent/US8312660B1/en</v>
      </c>
    </row>
    <row r="3672" spans="3:5" x14ac:dyDescent="0.25">
      <c r="C3672" t="s">
        <v>6288</v>
      </c>
      <c r="D3672" t="s">
        <v>6289</v>
      </c>
      <c r="E3672" t="str">
        <f>HYPERLINK("https://patents.google.com/patent/US6532400B1/en")</f>
        <v>https://patents.google.com/patent/US6532400B1/en</v>
      </c>
    </row>
    <row r="3673" spans="3:5" x14ac:dyDescent="0.25">
      <c r="C3673" t="s">
        <v>6290</v>
      </c>
      <c r="D3673" t="s">
        <v>6291</v>
      </c>
      <c r="E3673" t="str">
        <f>HYPERLINK("https://patents.google.com/patent/WO2017088695A1/en")</f>
        <v>https://patents.google.com/patent/WO2017088695A1/en</v>
      </c>
    </row>
    <row r="3674" spans="3:5" x14ac:dyDescent="0.25">
      <c r="C3674" t="s">
        <v>6292</v>
      </c>
      <c r="D3674" t="s">
        <v>6293</v>
      </c>
      <c r="E3674" t="str">
        <f>HYPERLINK("https://patents.google.com/patent/US8324759B2/en")</f>
        <v>https://patents.google.com/patent/US8324759B2/en</v>
      </c>
    </row>
    <row r="3675" spans="3:5" x14ac:dyDescent="0.25">
      <c r="C3675" t="s">
        <v>6294</v>
      </c>
      <c r="D3675" t="s">
        <v>6295</v>
      </c>
      <c r="E3675" t="str">
        <f>HYPERLINK("https://patents.google.com/patent/US6950722B2/en")</f>
        <v>https://patents.google.com/patent/US6950722B2/en</v>
      </c>
    </row>
    <row r="3676" spans="3:5" x14ac:dyDescent="0.25">
      <c r="C3676" t="s">
        <v>6296</v>
      </c>
      <c r="D3676" t="s">
        <v>6297</v>
      </c>
      <c r="E3676" t="str">
        <f>HYPERLINK("https://patents.google.com/patent/US8711732B2/en")</f>
        <v>https://patents.google.com/patent/US8711732B2/en</v>
      </c>
    </row>
    <row r="3677" spans="3:5" x14ac:dyDescent="0.25">
      <c r="C3677" t="s">
        <v>6298</v>
      </c>
      <c r="D3677" t="s">
        <v>6299</v>
      </c>
      <c r="E3677" t="str">
        <f>HYPERLINK("https://patents.google.com/patent/US7206805B1/en")</f>
        <v>https://patents.google.com/patent/US7206805B1/en</v>
      </c>
    </row>
    <row r="3678" spans="3:5" x14ac:dyDescent="0.25">
      <c r="C3678" t="s">
        <v>6300</v>
      </c>
      <c r="D3678" t="s">
        <v>6301</v>
      </c>
      <c r="E3678" t="str">
        <f>HYPERLINK("https://patents.google.com/patent/US8629578B2/en")</f>
        <v>https://patents.google.com/patent/US8629578B2/en</v>
      </c>
    </row>
    <row r="3679" spans="3:5" x14ac:dyDescent="0.25">
      <c r="C3679" t="s">
        <v>6302</v>
      </c>
      <c r="D3679" t="s">
        <v>6303</v>
      </c>
      <c r="E3679" t="str">
        <f>HYPERLINK("https://patents.google.com/patent/US8410636B2/en")</f>
        <v>https://patents.google.com/patent/US8410636B2/en</v>
      </c>
    </row>
    <row r="3680" spans="3:5" x14ac:dyDescent="0.25">
      <c r="C3680" t="s">
        <v>6304</v>
      </c>
      <c r="D3680" t="s">
        <v>6305</v>
      </c>
      <c r="E3680" t="str">
        <f>HYPERLINK("https://patents.google.com/patent/US8461720B2/en")</f>
        <v>https://patents.google.com/patent/US8461720B2/en</v>
      </c>
    </row>
    <row r="3681" spans="3:5" x14ac:dyDescent="0.25">
      <c r="C3681" t="s">
        <v>6306</v>
      </c>
      <c r="D3681" t="s">
        <v>6307</v>
      </c>
      <c r="E3681" t="str">
        <f>HYPERLINK("https://patents.google.com/patent/US6292830B1/en")</f>
        <v>https://patents.google.com/patent/US6292830B1/en</v>
      </c>
    </row>
    <row r="3682" spans="3:5" x14ac:dyDescent="0.25">
      <c r="C3682" t="s">
        <v>6308</v>
      </c>
      <c r="D3682" t="s">
        <v>6309</v>
      </c>
      <c r="E3682" t="str">
        <f>HYPERLINK("https://patents.google.com/patent/US8482158B2/en")</f>
        <v>https://patents.google.com/patent/US8482158B2/en</v>
      </c>
    </row>
    <row r="3683" spans="3:5" x14ac:dyDescent="0.25">
      <c r="C3683" t="s">
        <v>6310</v>
      </c>
      <c r="D3683" t="s">
        <v>6311</v>
      </c>
      <c r="E3683" t="str">
        <f>HYPERLINK("https://patents.google.com/patent/US8569914B2/en")</f>
        <v>https://patents.google.com/patent/US8569914B2/en</v>
      </c>
    </row>
    <row r="3684" spans="3:5" x14ac:dyDescent="0.25">
      <c r="C3684" t="s">
        <v>6312</v>
      </c>
      <c r="D3684" t="s">
        <v>6313</v>
      </c>
      <c r="E3684" t="str">
        <f>HYPERLINK("https://patents.google.com/patent/US8729737B2/en")</f>
        <v>https://patents.google.com/patent/US8729737B2/en</v>
      </c>
    </row>
    <row r="3685" spans="3:5" x14ac:dyDescent="0.25">
      <c r="C3685" t="s">
        <v>6314</v>
      </c>
      <c r="D3685" t="s">
        <v>6315</v>
      </c>
      <c r="E3685" t="str">
        <f>HYPERLINK("https://patents.google.com/patent/US8035255B2/en")</f>
        <v>https://patents.google.com/patent/US8035255B2/en</v>
      </c>
    </row>
    <row r="3686" spans="3:5" x14ac:dyDescent="0.25">
      <c r="C3686" t="s">
        <v>6316</v>
      </c>
      <c r="D3686" t="s">
        <v>6317</v>
      </c>
      <c r="E3686" t="str">
        <f>HYPERLINK("https://patents.google.com/patent/US7733224B2/en")</f>
        <v>https://patents.google.com/patent/US7733224B2/en</v>
      </c>
    </row>
    <row r="3687" spans="3:5" x14ac:dyDescent="0.25">
      <c r="C3687" t="s">
        <v>6318</v>
      </c>
      <c r="D3687" t="s">
        <v>6319</v>
      </c>
      <c r="E3687" t="str">
        <f>HYPERLINK("https://patents.google.com/patent/US8587153B2/en")</f>
        <v>https://patents.google.com/patent/US8587153B2/en</v>
      </c>
    </row>
    <row r="3688" spans="3:5" x14ac:dyDescent="0.25">
      <c r="C3688" t="s">
        <v>6320</v>
      </c>
      <c r="D3688" t="s">
        <v>6321</v>
      </c>
      <c r="E3688" t="str">
        <f>HYPERLINK("https://patents.google.com/patent/US8461722B2/en")</f>
        <v>https://patents.google.com/patent/US8461722B2/en</v>
      </c>
    </row>
    <row r="3689" spans="3:5" x14ac:dyDescent="0.25">
      <c r="C3689" t="s">
        <v>6322</v>
      </c>
      <c r="D3689" t="s">
        <v>6323</v>
      </c>
      <c r="E3689" t="str">
        <f>HYPERLINK("https://patents.google.com/patent/US8598743B2/en")</f>
        <v>https://patents.google.com/patent/US8598743B2/en</v>
      </c>
    </row>
    <row r="3690" spans="3:5" x14ac:dyDescent="0.25">
      <c r="C3690" t="s">
        <v>6324</v>
      </c>
      <c r="D3690" t="s">
        <v>6325</v>
      </c>
      <c r="E3690" t="str">
        <f>HYPERLINK("https://patents.google.com/patent/US7558622B2/en")</f>
        <v>https://patents.google.com/patent/US7558622B2/en</v>
      </c>
    </row>
    <row r="3691" spans="3:5" x14ac:dyDescent="0.25">
      <c r="C3691" t="s">
        <v>6326</v>
      </c>
      <c r="D3691" t="s">
        <v>6327</v>
      </c>
      <c r="E3691" t="str">
        <f>HYPERLINK("https://patents.google.com/patent/US8304935B2/en")</f>
        <v>https://patents.google.com/patent/US8304935B2/en</v>
      </c>
    </row>
    <row r="3692" spans="3:5" x14ac:dyDescent="0.25">
      <c r="C3692" t="s">
        <v>6328</v>
      </c>
      <c r="D3692" t="s">
        <v>6329</v>
      </c>
      <c r="E3692" t="str">
        <f>HYPERLINK("https://patents.google.com/patent/US8552592B2/en")</f>
        <v>https://patents.google.com/patent/US8552592B2/en</v>
      </c>
    </row>
    <row r="3693" spans="3:5" x14ac:dyDescent="0.25">
      <c r="C3693" t="s">
        <v>6312</v>
      </c>
      <c r="D3693" t="s">
        <v>6330</v>
      </c>
      <c r="E3693" t="str">
        <f>HYPERLINK("https://patents.google.com/patent/US8587155B2/en")</f>
        <v>https://patents.google.com/patent/US8587155B2/en</v>
      </c>
    </row>
    <row r="3694" spans="3:5" x14ac:dyDescent="0.25">
      <c r="C3694" t="s">
        <v>6331</v>
      </c>
      <c r="D3694" t="s">
        <v>6332</v>
      </c>
      <c r="E3694" t="str">
        <f>HYPERLINK("https://patents.google.com/patent/US6285380B1/en")</f>
        <v>https://patents.google.com/patent/US6285380B1/en</v>
      </c>
    </row>
    <row r="3695" spans="3:5" x14ac:dyDescent="0.25">
      <c r="C3695" t="s">
        <v>6333</v>
      </c>
      <c r="D3695" t="s">
        <v>6334</v>
      </c>
      <c r="E3695" t="str">
        <f>HYPERLINK("https://patents.google.com/patent/US7290056B1/en")</f>
        <v>https://patents.google.com/patent/US7290056B1/en</v>
      </c>
    </row>
    <row r="3696" spans="3:5" x14ac:dyDescent="0.25">
      <c r="C3696" t="s">
        <v>6335</v>
      </c>
      <c r="D3696" t="s">
        <v>6336</v>
      </c>
      <c r="E3696" t="str">
        <f>HYPERLINK("https://patents.google.com/patent/US8466583B2/en")</f>
        <v>https://patents.google.com/patent/US8466583B2/en</v>
      </c>
    </row>
    <row r="3697" spans="3:5" x14ac:dyDescent="0.25">
      <c r="C3697" t="s">
        <v>6337</v>
      </c>
      <c r="D3697" t="s">
        <v>6338</v>
      </c>
      <c r="E3697" t="str">
        <f>HYPERLINK("https://patents.google.com/patent/US8497601B2/en")</f>
        <v>https://patents.google.com/patent/US8497601B2/en</v>
      </c>
    </row>
    <row r="3698" spans="3:5" x14ac:dyDescent="0.25">
      <c r="C3698" t="s">
        <v>6339</v>
      </c>
      <c r="D3698" t="s">
        <v>6340</v>
      </c>
      <c r="E3698" t="str">
        <f>HYPERLINK("https://patents.google.com/patent/US7797060B2/en")</f>
        <v>https://patents.google.com/patent/US7797060B2/en</v>
      </c>
    </row>
    <row r="3699" spans="3:5" x14ac:dyDescent="0.25">
      <c r="C3699" t="s">
        <v>6341</v>
      </c>
      <c r="D3699" t="s">
        <v>6342</v>
      </c>
      <c r="E3699" t="str">
        <f>HYPERLINK("https://patents.google.com/patent/US8471410B2/en")</f>
        <v>https://patents.google.com/patent/US8471410B2/en</v>
      </c>
    </row>
    <row r="3700" spans="3:5" x14ac:dyDescent="0.25">
      <c r="C3700" t="s">
        <v>6343</v>
      </c>
      <c r="D3700" t="s">
        <v>6344</v>
      </c>
      <c r="E3700" t="str">
        <f>HYPERLINK("https://patents.google.com/patent/US8487480B1/en")</f>
        <v>https://patents.google.com/patent/US8487480B1/en</v>
      </c>
    </row>
    <row r="3701" spans="3:5" x14ac:dyDescent="0.25">
      <c r="C3701" t="s">
        <v>6345</v>
      </c>
      <c r="D3701" t="s">
        <v>6346</v>
      </c>
      <c r="E3701" t="str">
        <f>HYPERLINK("https://patents.google.com/patent/US8441154B2/en")</f>
        <v>https://patents.google.com/patent/US8441154B2/en</v>
      </c>
    </row>
    <row r="3702" spans="3:5" x14ac:dyDescent="0.25">
      <c r="C3702" t="s">
        <v>6347</v>
      </c>
      <c r="D3702" t="s">
        <v>6348</v>
      </c>
      <c r="E3702" t="str">
        <f>HYPERLINK("https://patents.google.com/patent/US8400017B2/en")</f>
        <v>https://patents.google.com/patent/US8400017B2/en</v>
      </c>
    </row>
    <row r="3703" spans="3:5" x14ac:dyDescent="0.25">
      <c r="C3703" t="s">
        <v>6349</v>
      </c>
      <c r="D3703" t="s">
        <v>6350</v>
      </c>
      <c r="E3703" t="str">
        <f>HYPERLINK("https://patents.google.com/patent/US8461721B2/en")</f>
        <v>https://patents.google.com/patent/US8461721B2/en</v>
      </c>
    </row>
    <row r="3704" spans="3:5" x14ac:dyDescent="0.25">
      <c r="C3704" t="s">
        <v>6351</v>
      </c>
      <c r="D3704" t="s">
        <v>6352</v>
      </c>
      <c r="E3704" t="str">
        <f>HYPERLINK("https://patents.google.com/patent/US8476788B2/en")</f>
        <v>https://patents.google.com/patent/US8476788B2/en</v>
      </c>
    </row>
    <row r="3705" spans="3:5" x14ac:dyDescent="0.25">
      <c r="C3705" t="s">
        <v>6353</v>
      </c>
      <c r="D3705" t="s">
        <v>6354</v>
      </c>
      <c r="E3705" t="str">
        <f>HYPERLINK("https://patents.google.com/patent/US4657104A/en")</f>
        <v>https://patents.google.com/patent/US4657104A/en</v>
      </c>
    </row>
    <row r="3706" spans="3:5" x14ac:dyDescent="0.25">
      <c r="C3706" t="s">
        <v>6355</v>
      </c>
      <c r="D3706" t="s">
        <v>6356</v>
      </c>
      <c r="E3706" t="str">
        <f>HYPERLINK("https://patents.google.com/patent/US6934603B1/en")</f>
        <v>https://patents.google.com/patent/US6934603B1/en</v>
      </c>
    </row>
    <row r="3707" spans="3:5" x14ac:dyDescent="0.25">
      <c r="C3707" t="s">
        <v>6357</v>
      </c>
      <c r="D3707" t="s">
        <v>6358</v>
      </c>
      <c r="E3707" t="str">
        <f>HYPERLINK("https://patents.google.com/patent/US7657345B2/en")</f>
        <v>https://patents.google.com/patent/US7657345B2/en</v>
      </c>
    </row>
    <row r="3708" spans="3:5" x14ac:dyDescent="0.25">
      <c r="C3708" t="s">
        <v>6359</v>
      </c>
      <c r="D3708" t="s">
        <v>6360</v>
      </c>
      <c r="E3708" t="str">
        <f>HYPERLINK("https://patents.google.com/patent/US5764518A/en")</f>
        <v>https://patents.google.com/patent/US5764518A/en</v>
      </c>
    </row>
    <row r="3709" spans="3:5" x14ac:dyDescent="0.25">
      <c r="C3709" t="s">
        <v>6361</v>
      </c>
      <c r="D3709" t="s">
        <v>6362</v>
      </c>
      <c r="E3709" t="str">
        <f>HYPERLINK("https://patents.google.com/patent/CN101850548A/en")</f>
        <v>https://patents.google.com/patent/CN101850548A/en</v>
      </c>
    </row>
    <row r="3710" spans="3:5" x14ac:dyDescent="0.25">
      <c r="C3710" t="s">
        <v>6363</v>
      </c>
      <c r="D3710" t="s">
        <v>6364</v>
      </c>
      <c r="E3710" t="str">
        <f>HYPERLINK("https://patents.google.com/patent/CN101026595A/en")</f>
        <v>https://patents.google.com/patent/CN101026595A/en</v>
      </c>
    </row>
    <row r="3711" spans="3:5" x14ac:dyDescent="0.25">
      <c r="C3711" t="s">
        <v>6365</v>
      </c>
      <c r="D3711" t="s">
        <v>6366</v>
      </c>
      <c r="E3711" t="str">
        <f>HYPERLINK("https://patents.google.com/patent/US4565487A/en")</f>
        <v>https://patents.google.com/patent/US4565487A/en</v>
      </c>
    </row>
    <row r="3712" spans="3:5" x14ac:dyDescent="0.25">
      <c r="C3712" t="s">
        <v>6367</v>
      </c>
      <c r="D3712" t="s">
        <v>6368</v>
      </c>
      <c r="E3712" t="str">
        <f>HYPERLINK("https://patents.google.com/patent/US6216083B1/en")</f>
        <v>https://patents.google.com/patent/US6216083B1/en</v>
      </c>
    </row>
    <row r="3713" spans="3:5" x14ac:dyDescent="0.25">
      <c r="C3713" t="s">
        <v>6369</v>
      </c>
      <c r="D3713" t="s">
        <v>6370</v>
      </c>
      <c r="E3713" t="str">
        <f>HYPERLINK("https://patents.google.com/patent/JP6158651B2/en")</f>
        <v>https://patents.google.com/patent/JP6158651B2/en</v>
      </c>
    </row>
    <row r="3714" spans="3:5" x14ac:dyDescent="0.25">
      <c r="C3714" t="s">
        <v>6282</v>
      </c>
      <c r="D3714" t="s">
        <v>6371</v>
      </c>
      <c r="E3714" t="str">
        <f>HYPERLINK("https://patents.google.com/patent/US8726454B2/en")</f>
        <v>https://patents.google.com/patent/US8726454B2/en</v>
      </c>
    </row>
    <row r="3715" spans="3:5" x14ac:dyDescent="0.25">
      <c r="C3715" t="s">
        <v>6372</v>
      </c>
      <c r="D3715" t="s">
        <v>6373</v>
      </c>
      <c r="E3715" t="str">
        <f>HYPERLINK("https://patents.google.com/patent/US20140031977A1/en")</f>
        <v>https://patents.google.com/patent/US20140031977A1/en</v>
      </c>
    </row>
    <row r="3716" spans="3:5" x14ac:dyDescent="0.25">
      <c r="C3716" t="s">
        <v>6374</v>
      </c>
      <c r="D3716" t="s">
        <v>6375</v>
      </c>
      <c r="E3716" t="str">
        <f>HYPERLINK("https://patents.google.com/patent/US8805110B2/en")</f>
        <v>https://patents.google.com/patent/US8805110B2/en</v>
      </c>
    </row>
    <row r="3717" spans="3:5" x14ac:dyDescent="0.25">
      <c r="C3717" t="s">
        <v>6376</v>
      </c>
      <c r="D3717" t="s">
        <v>6377</v>
      </c>
      <c r="E3717" t="str">
        <f>HYPERLINK("https://patents.google.com/patent/US5453931A/en")</f>
        <v>https://patents.google.com/patent/US5453931A/en</v>
      </c>
    </row>
    <row r="3718" spans="3:5" x14ac:dyDescent="0.25">
      <c r="C3718" t="s">
        <v>6378</v>
      </c>
      <c r="D3718" t="s">
        <v>6379</v>
      </c>
      <c r="E3718" t="str">
        <f>HYPERLINK("https://patents.google.com/patent/US20050284427A1/en")</f>
        <v>https://patents.google.com/patent/US20050284427A1/en</v>
      </c>
    </row>
    <row r="3719" spans="3:5" x14ac:dyDescent="0.25">
      <c r="C3719" t="s">
        <v>6380</v>
      </c>
      <c r="D3719" t="s">
        <v>6381</v>
      </c>
      <c r="E3719" t="str">
        <f>HYPERLINK("https://patents.google.com/patent/JP2002326173A/en")</f>
        <v>https://patents.google.com/patent/JP2002326173A/en</v>
      </c>
    </row>
    <row r="3720" spans="3:5" x14ac:dyDescent="0.25">
      <c r="C3720" t="s">
        <v>6382</v>
      </c>
      <c r="D3720" t="s">
        <v>6383</v>
      </c>
      <c r="E3720" t="str">
        <f>HYPERLINK("https://patents.google.com/patent/CN201405350Y/en")</f>
        <v>https://patents.google.com/patent/CN201405350Y/en</v>
      </c>
    </row>
    <row r="3721" spans="3:5" x14ac:dyDescent="0.25">
      <c r="C3721" t="s">
        <v>6384</v>
      </c>
      <c r="D3721" t="s">
        <v>6385</v>
      </c>
      <c r="E3721" t="str">
        <f>HYPERLINK("https://patents.google.com/patent/CN205594454U/en")</f>
        <v>https://patents.google.com/patent/CN205594454U/en</v>
      </c>
    </row>
    <row r="3722" spans="3:5" x14ac:dyDescent="0.25">
      <c r="C3722" t="s">
        <v>6386</v>
      </c>
      <c r="D3722" t="s">
        <v>6387</v>
      </c>
      <c r="E3722" t="str">
        <f>HYPERLINK("https://patents.google.com/patent/US7258591B2/en")</f>
        <v>https://patents.google.com/patent/US7258591B2/en</v>
      </c>
    </row>
    <row r="3723" spans="3:5" x14ac:dyDescent="0.25">
      <c r="C3723" t="s">
        <v>6388</v>
      </c>
      <c r="D3723" t="s">
        <v>6389</v>
      </c>
      <c r="E3723" t="str">
        <f>HYPERLINK("https://patents.google.com/patent/CN201565952U/en")</f>
        <v>https://patents.google.com/patent/CN201565952U/en</v>
      </c>
    </row>
    <row r="3724" spans="3:5" x14ac:dyDescent="0.25">
      <c r="C3724" t="s">
        <v>6390</v>
      </c>
      <c r="D3724" t="s">
        <v>6391</v>
      </c>
      <c r="E3724" t="str">
        <f>HYPERLINK("https://patents.google.com/patent/US5133854A/en")</f>
        <v>https://patents.google.com/patent/US5133854A/en</v>
      </c>
    </row>
    <row r="3725" spans="3:5" x14ac:dyDescent="0.25">
      <c r="C3725" t="s">
        <v>6392</v>
      </c>
      <c r="D3725" t="s">
        <v>6393</v>
      </c>
      <c r="E3725" t="str">
        <f>HYPERLINK("https://patents.google.com/patent/US8684900B2/en")</f>
        <v>https://patents.google.com/patent/US8684900B2/en</v>
      </c>
    </row>
    <row r="3726" spans="3:5" x14ac:dyDescent="0.25">
      <c r="C3726" t="s">
        <v>6394</v>
      </c>
      <c r="D3726" t="s">
        <v>6395</v>
      </c>
      <c r="E3726" t="str">
        <f>HYPERLINK("https://patents.google.com/patent/JP5468974B2/en")</f>
        <v>https://patents.google.com/patent/JP5468974B2/en</v>
      </c>
    </row>
    <row r="3727" spans="3:5" x14ac:dyDescent="0.25">
      <c r="C3727" t="s">
        <v>6396</v>
      </c>
      <c r="D3727" t="s">
        <v>6397</v>
      </c>
      <c r="E3727" t="str">
        <f>HYPERLINK("https://patents.google.com/patent/US9533861B2/en")</f>
        <v>https://patents.google.com/patent/US9533861B2/en</v>
      </c>
    </row>
    <row r="3728" spans="3:5" x14ac:dyDescent="0.25">
      <c r="C3728" t="s">
        <v>6398</v>
      </c>
      <c r="D3728" t="s">
        <v>6399</v>
      </c>
      <c r="E3728" t="str">
        <f>HYPERLINK("https://patents.google.com/patent/JP4181113B2/en")</f>
        <v>https://patents.google.com/patent/JP4181113B2/en</v>
      </c>
    </row>
    <row r="3729" spans="3:5" x14ac:dyDescent="0.25">
      <c r="C3729" t="s">
        <v>6400</v>
      </c>
      <c r="D3729" t="s">
        <v>6401</v>
      </c>
      <c r="E3729" t="str">
        <f>HYPERLINK("https://patents.google.com/patent/US8933594B2/en")</f>
        <v>https://patents.google.com/patent/US8933594B2/en</v>
      </c>
    </row>
    <row r="3730" spans="3:5" x14ac:dyDescent="0.25">
      <c r="C3730" t="s">
        <v>6402</v>
      </c>
      <c r="D3730" t="s">
        <v>6403</v>
      </c>
      <c r="E3730" t="str">
        <f>HYPERLINK("https://patents.google.com/patent/US8768313B2/en")</f>
        <v>https://patents.google.com/patent/US8768313B2/en</v>
      </c>
    </row>
    <row r="3731" spans="3:5" x14ac:dyDescent="0.25">
      <c r="C3731" t="s">
        <v>6404</v>
      </c>
      <c r="D3731" t="s">
        <v>6405</v>
      </c>
      <c r="E3731" t="str">
        <f>HYPERLINK("https://patents.google.com/patent/US8463765B2/en")</f>
        <v>https://patents.google.com/patent/US8463765B2/en</v>
      </c>
    </row>
    <row r="3732" spans="3:5" x14ac:dyDescent="0.25">
      <c r="C3732" t="s">
        <v>6406</v>
      </c>
      <c r="D3732" t="s">
        <v>6407</v>
      </c>
      <c r="E3732" t="str">
        <f>HYPERLINK("https://patents.google.com/patent/US8912687B2/en")</f>
        <v>https://patents.google.com/patent/US8912687B2/en</v>
      </c>
    </row>
    <row r="3733" spans="3:5" x14ac:dyDescent="0.25">
      <c r="C3733" t="s">
        <v>6408</v>
      </c>
      <c r="D3733" t="s">
        <v>6409</v>
      </c>
      <c r="E3733" t="str">
        <f>HYPERLINK("https://patents.google.com/patent/US5943056A/en")</f>
        <v>https://patents.google.com/patent/US5943056A/en</v>
      </c>
    </row>
    <row r="3734" spans="3:5" x14ac:dyDescent="0.25">
      <c r="C3734" t="s">
        <v>6410</v>
      </c>
      <c r="D3734" t="s">
        <v>6411</v>
      </c>
      <c r="E3734" t="str">
        <f>HYPERLINK("https://patents.google.com/patent/EP1523882A2/en")</f>
        <v>https://patents.google.com/patent/EP1523882A2/en</v>
      </c>
    </row>
    <row r="3735" spans="3:5" x14ac:dyDescent="0.25">
      <c r="C3735" t="s">
        <v>6412</v>
      </c>
      <c r="D3735" t="s">
        <v>6413</v>
      </c>
      <c r="E3735" t="str">
        <f>HYPERLINK("https://patents.google.com/patent/US20150073594A1/en")</f>
        <v>https://patents.google.com/patent/US20150073594A1/en</v>
      </c>
    </row>
    <row r="3736" spans="3:5" x14ac:dyDescent="0.25">
      <c r="C3736" t="s">
        <v>6414</v>
      </c>
      <c r="D3736" t="s">
        <v>6415</v>
      </c>
      <c r="E3736" t="str">
        <f>HYPERLINK("https://patents.google.com/patent/US20090152391A1/en")</f>
        <v>https://patents.google.com/patent/US20090152391A1/en</v>
      </c>
    </row>
    <row r="3737" spans="3:5" x14ac:dyDescent="0.25">
      <c r="C3737" t="s">
        <v>6416</v>
      </c>
      <c r="D3737" t="s">
        <v>6417</v>
      </c>
      <c r="E3737" t="str">
        <f>HYPERLINK("https://patents.google.com/patent/JP5465074B2/en")</f>
        <v>https://patents.google.com/patent/JP5465074B2/en</v>
      </c>
    </row>
    <row r="3738" spans="3:5" x14ac:dyDescent="0.25">
      <c r="C3738" t="s">
        <v>6418</v>
      </c>
      <c r="D3738" t="s">
        <v>6419</v>
      </c>
      <c r="E3738" t="str">
        <f>HYPERLINK("https://patents.google.com/patent/KR101193610B1/en")</f>
        <v>https://patents.google.com/patent/KR101193610B1/en</v>
      </c>
    </row>
    <row r="3739" spans="3:5" x14ac:dyDescent="0.25">
      <c r="C3739" t="s">
        <v>6420</v>
      </c>
      <c r="D3739" t="s">
        <v>6421</v>
      </c>
      <c r="E3739" t="str">
        <f>HYPERLINK("https://patents.google.com/patent/EP1901153A1/en")</f>
        <v>https://patents.google.com/patent/EP1901153A1/en</v>
      </c>
    </row>
    <row r="3740" spans="3:5" x14ac:dyDescent="0.25">
      <c r="C3740" t="s">
        <v>6422</v>
      </c>
      <c r="D3740" t="s">
        <v>6423</v>
      </c>
      <c r="E3740" t="str">
        <f>HYPERLINK("https://patents.google.com/patent/US8012107B2/en")</f>
        <v>https://patents.google.com/patent/US8012107B2/en</v>
      </c>
    </row>
    <row r="3741" spans="3:5" x14ac:dyDescent="0.25">
      <c r="C3741" t="s">
        <v>6424</v>
      </c>
      <c r="D3741" t="s">
        <v>6425</v>
      </c>
      <c r="E3741" t="str">
        <f>HYPERLINK("https://patents.google.com/patent/US7327112B1/en")</f>
        <v>https://patents.google.com/patent/US7327112B1/en</v>
      </c>
    </row>
    <row r="3742" spans="3:5" x14ac:dyDescent="0.25">
      <c r="C3742" t="s">
        <v>6426</v>
      </c>
      <c r="D3742" t="s">
        <v>6427</v>
      </c>
      <c r="E3742" t="str">
        <f>HYPERLINK("https://patents.google.com/patent/US6247546B1/en")</f>
        <v>https://patents.google.com/patent/US6247546B1/en</v>
      </c>
    </row>
    <row r="3743" spans="3:5" x14ac:dyDescent="0.25">
      <c r="C3743" t="s">
        <v>6428</v>
      </c>
      <c r="D3743" t="s">
        <v>6429</v>
      </c>
      <c r="E3743" t="str">
        <f>HYPERLINK("https://patents.google.com/patent/US6846270B1/en")</f>
        <v>https://patents.google.com/patent/US6846270B1/en</v>
      </c>
    </row>
    <row r="3744" spans="3:5" x14ac:dyDescent="0.25">
      <c r="C3744" t="s">
        <v>6430</v>
      </c>
      <c r="D3744" t="s">
        <v>6431</v>
      </c>
      <c r="E3744" t="str">
        <f>HYPERLINK("https://patents.google.com/patent/CN1569558A/en")</f>
        <v>https://patents.google.com/patent/CN1569558A/en</v>
      </c>
    </row>
    <row r="3745" spans="3:5" x14ac:dyDescent="0.25">
      <c r="C3745" t="s">
        <v>6432</v>
      </c>
      <c r="D3745" t="s">
        <v>6433</v>
      </c>
      <c r="E3745" t="str">
        <f>HYPERLINK("https://patents.google.com/patent/US8928276B2/en")</f>
        <v>https://patents.google.com/patent/US8928276B2/en</v>
      </c>
    </row>
    <row r="3746" spans="3:5" x14ac:dyDescent="0.25">
      <c r="C3746" t="s">
        <v>6434</v>
      </c>
      <c r="D3746" t="s">
        <v>6435</v>
      </c>
      <c r="E3746" t="str">
        <f>HYPERLINK("https://patents.google.com/patent/US20110098857A1/en")</f>
        <v>https://patents.google.com/patent/US20110098857A1/en</v>
      </c>
    </row>
    <row r="3747" spans="3:5" x14ac:dyDescent="0.25">
      <c r="C3747" t="s">
        <v>6436</v>
      </c>
      <c r="D3747" t="s">
        <v>6437</v>
      </c>
      <c r="E3747" t="str">
        <f>HYPERLINK("https://patents.google.com/patent/US20090046140A1/en")</f>
        <v>https://patents.google.com/patent/US20090046140A1/en</v>
      </c>
    </row>
    <row r="3748" spans="3:5" x14ac:dyDescent="0.25">
      <c r="C3748" t="s">
        <v>6438</v>
      </c>
      <c r="D3748" t="s">
        <v>6439</v>
      </c>
      <c r="E3748" t="str">
        <f>HYPERLINK("https://patents.google.com/patent/JP2003180587A/en")</f>
        <v>https://patents.google.com/patent/JP2003180587A/en</v>
      </c>
    </row>
    <row r="3749" spans="3:5" x14ac:dyDescent="0.25">
      <c r="C3749" t="s">
        <v>6440</v>
      </c>
      <c r="D3749" t="s">
        <v>6441</v>
      </c>
      <c r="E3749" t="str">
        <f>HYPERLINK("https://patents.google.com/patent/US20140280316A1/en")</f>
        <v>https://patents.google.com/patent/US20140280316A1/en</v>
      </c>
    </row>
    <row r="3750" spans="3:5" x14ac:dyDescent="0.25">
      <c r="C3750" t="s">
        <v>6442</v>
      </c>
      <c r="D3750" t="s">
        <v>6443</v>
      </c>
      <c r="E3750" t="str">
        <f>HYPERLINK("https://patents.google.com/patent/US20060213167A1/en")</f>
        <v>https://patents.google.com/patent/US20060213167A1/en</v>
      </c>
    </row>
    <row r="3751" spans="3:5" x14ac:dyDescent="0.25">
      <c r="C3751" t="s">
        <v>6444</v>
      </c>
      <c r="D3751" t="s">
        <v>6445</v>
      </c>
      <c r="E3751" t="str">
        <f>HYPERLINK("https://patents.google.com/patent/US20130050260A1/en")</f>
        <v>https://patents.google.com/patent/US20130050260A1/en</v>
      </c>
    </row>
    <row r="3752" spans="3:5" x14ac:dyDescent="0.25">
      <c r="C3752" t="s">
        <v>6446</v>
      </c>
      <c r="D3752" t="s">
        <v>6447</v>
      </c>
      <c r="E3752" t="str">
        <f>HYPERLINK("https://patents.google.com/patent/CN201055262Y/en")</f>
        <v>https://patents.google.com/patent/CN201055262Y/en</v>
      </c>
    </row>
    <row r="3753" spans="3:5" x14ac:dyDescent="0.25">
      <c r="C3753" t="s">
        <v>6448</v>
      </c>
      <c r="D3753" t="s">
        <v>6449</v>
      </c>
      <c r="E3753" t="str">
        <f>HYPERLINK("https://patents.google.com/patent/US5484293A/en")</f>
        <v>https://patents.google.com/patent/US5484293A/en</v>
      </c>
    </row>
    <row r="3754" spans="3:5" x14ac:dyDescent="0.25">
      <c r="C3754" t="s">
        <v>6450</v>
      </c>
      <c r="D3754" t="s">
        <v>6451</v>
      </c>
      <c r="E3754" t="str">
        <f>HYPERLINK("https://patents.google.com/patent/US8922066B2/en")</f>
        <v>https://patents.google.com/patent/US8922066B2/en</v>
      </c>
    </row>
    <row r="3755" spans="3:5" x14ac:dyDescent="0.25">
      <c r="C3755" t="s">
        <v>6452</v>
      </c>
      <c r="D3755" t="s">
        <v>6453</v>
      </c>
      <c r="E3755" t="str">
        <f>HYPERLINK("https://patents.google.com/patent/US20120248886A1/en")</f>
        <v>https://patents.google.com/patent/US20120248886A1/en</v>
      </c>
    </row>
    <row r="3756" spans="3:5" x14ac:dyDescent="0.25">
      <c r="C3756" t="s">
        <v>6454</v>
      </c>
      <c r="D3756" t="s">
        <v>6455</v>
      </c>
      <c r="E3756" t="str">
        <f>HYPERLINK("https://patents.google.com/patent/US20140086590A1/en")</f>
        <v>https://patents.google.com/patent/US20140086590A1/en</v>
      </c>
    </row>
    <row r="3757" spans="3:5" x14ac:dyDescent="0.25">
      <c r="C3757" t="s">
        <v>6456</v>
      </c>
      <c r="D3757" t="s">
        <v>6457</v>
      </c>
      <c r="E3757" t="str">
        <f>HYPERLINK("https://patents.google.com/patent/US20060293617A1/en")</f>
        <v>https://patents.google.com/patent/US20060293617A1/en</v>
      </c>
    </row>
    <row r="3758" spans="3:5" x14ac:dyDescent="0.25">
      <c r="C3758" t="s">
        <v>6458</v>
      </c>
      <c r="D3758" t="s">
        <v>6459</v>
      </c>
      <c r="E3758" t="str">
        <f>HYPERLINK("https://patents.google.com/patent/US7431650B2/en")</f>
        <v>https://patents.google.com/patent/US7431650B2/en</v>
      </c>
    </row>
    <row r="3759" spans="3:5" x14ac:dyDescent="0.25">
      <c r="C3759" t="s">
        <v>6460</v>
      </c>
      <c r="D3759" t="s">
        <v>6461</v>
      </c>
      <c r="E3759" t="str">
        <f>HYPERLINK("https://patents.google.com/patent/JPH07205069A/en")</f>
        <v>https://patents.google.com/patent/JPH07205069A/en</v>
      </c>
    </row>
    <row r="3760" spans="3:5" x14ac:dyDescent="0.25">
      <c r="C3760" t="s">
        <v>6462</v>
      </c>
      <c r="D3760" t="s">
        <v>6463</v>
      </c>
      <c r="E3760" t="str">
        <f>HYPERLINK("https://patents.google.com/patent/US9637310B1/en")</f>
        <v>https://patents.google.com/patent/US9637310B1/en</v>
      </c>
    </row>
    <row r="3761" spans="3:5" x14ac:dyDescent="0.25">
      <c r="C3761" t="s">
        <v>6464</v>
      </c>
      <c r="D3761" t="s">
        <v>6465</v>
      </c>
      <c r="E3761" t="str">
        <f>HYPERLINK("https://patents.google.com/patent/US4573548A/en")</f>
        <v>https://patents.google.com/patent/US4573548A/en</v>
      </c>
    </row>
    <row r="3762" spans="3:5" x14ac:dyDescent="0.25">
      <c r="C3762" t="s">
        <v>6466</v>
      </c>
      <c r="D3762" t="s">
        <v>6467</v>
      </c>
      <c r="E3762" t="str">
        <f>HYPERLINK("https://patents.google.com/patent/CN102419178A/en")</f>
        <v>https://patents.google.com/patent/CN102419178A/en</v>
      </c>
    </row>
    <row r="3763" spans="3:5" x14ac:dyDescent="0.25">
      <c r="C3763" t="s">
        <v>6468</v>
      </c>
      <c r="D3763" t="s">
        <v>6469</v>
      </c>
      <c r="E3763" t="str">
        <f>HYPERLINK("https://patents.google.com/patent/US6415272B1/en")</f>
        <v>https://patents.google.com/patent/US6415272B1/en</v>
      </c>
    </row>
    <row r="3764" spans="3:5" x14ac:dyDescent="0.25">
      <c r="C3764" t="s">
        <v>6470</v>
      </c>
      <c r="D3764" t="s">
        <v>6471</v>
      </c>
      <c r="E3764" t="str">
        <f>HYPERLINK("https://patents.google.com/patent/US8963488B2/en")</f>
        <v>https://patents.google.com/patent/US8963488B2/en</v>
      </c>
    </row>
    <row r="3765" spans="3:5" x14ac:dyDescent="0.25">
      <c r="C3765" t="s">
        <v>6472</v>
      </c>
      <c r="D3765" t="s">
        <v>6473</v>
      </c>
      <c r="E3765" t="str">
        <f>HYPERLINK("https://patents.google.com/patent/US20140176337A1/en")</f>
        <v>https://patents.google.com/patent/US20140176337A1/en</v>
      </c>
    </row>
    <row r="3766" spans="3:5" x14ac:dyDescent="0.25">
      <c r="C3766" t="s">
        <v>6474</v>
      </c>
      <c r="D3766" t="s">
        <v>6475</v>
      </c>
      <c r="E3766" t="str">
        <f>HYPERLINK("https://patents.google.com/patent/US20060095169A1/en")</f>
        <v>https://patents.google.com/patent/US20060095169A1/en</v>
      </c>
    </row>
    <row r="3767" spans="3:5" x14ac:dyDescent="0.25">
      <c r="C3767" t="s">
        <v>6476</v>
      </c>
      <c r="D3767" t="s">
        <v>6477</v>
      </c>
      <c r="E3767" t="str">
        <f>HYPERLINK("https://patents.google.com/patent/US20140063061A1/en")</f>
        <v>https://patents.google.com/patent/US20140063061A1/en</v>
      </c>
    </row>
    <row r="3768" spans="3:5" x14ac:dyDescent="0.25">
      <c r="C3768" t="s">
        <v>6478</v>
      </c>
      <c r="D3768" t="s">
        <v>6479</v>
      </c>
      <c r="E3768" t="str">
        <f>HYPERLINK("https://patents.google.com/patent/US20060048800A1/en")</f>
        <v>https://patents.google.com/patent/US20060048800A1/en</v>
      </c>
    </row>
    <row r="3769" spans="3:5" x14ac:dyDescent="0.25">
      <c r="C3769" t="s">
        <v>6480</v>
      </c>
      <c r="D3769" t="s">
        <v>6481</v>
      </c>
      <c r="E3769" t="str">
        <f>HYPERLINK("https://patents.google.com/patent/US20100076714A1/en")</f>
        <v>https://patents.google.com/patent/US20100076714A1/en</v>
      </c>
    </row>
    <row r="3770" spans="3:5" x14ac:dyDescent="0.25">
      <c r="C3770" t="s">
        <v>6482</v>
      </c>
      <c r="D3770" t="s">
        <v>6483</v>
      </c>
      <c r="E3770" t="str">
        <f>HYPERLINK("https://patents.google.com/patent/CN101850792A/en")</f>
        <v>https://patents.google.com/patent/CN101850792A/en</v>
      </c>
    </row>
    <row r="3771" spans="3:5" x14ac:dyDescent="0.25">
      <c r="C3771" t="s">
        <v>6484</v>
      </c>
      <c r="D3771" t="s">
        <v>6485</v>
      </c>
      <c r="E3771" t="str">
        <f>HYPERLINK("https://patents.google.com/patent/DE10313463B3/en")</f>
        <v>https://patents.google.com/patent/DE10313463B3/en</v>
      </c>
    </row>
    <row r="3772" spans="3:5" x14ac:dyDescent="0.25">
      <c r="C3772" t="s">
        <v>6486</v>
      </c>
      <c r="D3772" t="s">
        <v>6487</v>
      </c>
      <c r="E3772" t="str">
        <f>HYPERLINK("https://patents.google.com/patent/US20110130761A1/en")</f>
        <v>https://patents.google.com/patent/US20110130761A1/en</v>
      </c>
    </row>
    <row r="3773" spans="3:5" x14ac:dyDescent="0.25">
      <c r="C3773" t="s">
        <v>6488</v>
      </c>
      <c r="D3773" t="s">
        <v>6489</v>
      </c>
      <c r="E3773" t="str">
        <f>HYPERLINK("https://patents.google.com/patent/US20170043831A1/en")</f>
        <v>https://patents.google.com/patent/US20170043831A1/en</v>
      </c>
    </row>
    <row r="3774" spans="3:5" x14ac:dyDescent="0.25">
      <c r="C3774" t="s">
        <v>6490</v>
      </c>
      <c r="D3774" t="s">
        <v>6491</v>
      </c>
      <c r="E3774" t="str">
        <f>HYPERLINK("https://patents.google.com/patent/CN2614095Y/en")</f>
        <v>https://patents.google.com/patent/CN2614095Y/en</v>
      </c>
    </row>
    <row r="3775" spans="3:5" x14ac:dyDescent="0.25">
      <c r="C3775" t="s">
        <v>6492</v>
      </c>
      <c r="D3775" t="s">
        <v>6493</v>
      </c>
      <c r="E3775" t="str">
        <f>HYPERLINK("https://patents.google.com/patent/US20040243281A1/en")</f>
        <v>https://patents.google.com/patent/US20040243281A1/en</v>
      </c>
    </row>
    <row r="3776" spans="3:5" x14ac:dyDescent="0.25">
      <c r="C3776" t="s">
        <v>6494</v>
      </c>
      <c r="D3776" t="s">
        <v>6495</v>
      </c>
      <c r="E3776" t="str">
        <f>HYPERLINK("https://patents.google.com/patent/US20090037914A1/en")</f>
        <v>https://patents.google.com/patent/US20090037914A1/en</v>
      </c>
    </row>
    <row r="3777" spans="3:5" x14ac:dyDescent="0.25">
      <c r="C3777" t="s">
        <v>6496</v>
      </c>
      <c r="D3777" t="s">
        <v>6497</v>
      </c>
      <c r="E3777" t="str">
        <f>HYPERLINK("https://patents.google.com/patent/US20120061155A1/en")</f>
        <v>https://patents.google.com/patent/US20120061155A1/en</v>
      </c>
    </row>
    <row r="3778" spans="3:5" x14ac:dyDescent="0.25">
      <c r="C3778" t="s">
        <v>6498</v>
      </c>
      <c r="D3778" t="s">
        <v>6499</v>
      </c>
      <c r="E3778" t="str">
        <f>HYPERLINK("https://patents.google.com/patent/US20140088761A1/en")</f>
        <v>https://patents.google.com/patent/US20140088761A1/en</v>
      </c>
    </row>
    <row r="3779" spans="3:5" x14ac:dyDescent="0.25">
      <c r="C3779" t="s">
        <v>6500</v>
      </c>
      <c r="D3779" t="s">
        <v>6501</v>
      </c>
      <c r="E3779" t="str">
        <f>HYPERLINK("https://patents.google.com/patent/US20090138415A1/en")</f>
        <v>https://patents.google.com/patent/US20090138415A1/en</v>
      </c>
    </row>
    <row r="3780" spans="3:5" x14ac:dyDescent="0.25">
      <c r="C3780" t="s">
        <v>6502</v>
      </c>
      <c r="D3780" t="s">
        <v>6503</v>
      </c>
      <c r="E3780" t="str">
        <f>HYPERLINK("https://patents.google.com/patent/US7908040B2/en")</f>
        <v>https://patents.google.com/patent/US7908040B2/en</v>
      </c>
    </row>
    <row r="3781" spans="3:5" x14ac:dyDescent="0.25">
      <c r="C3781" t="s">
        <v>6504</v>
      </c>
      <c r="D3781" t="s">
        <v>6505</v>
      </c>
      <c r="E3781" t="str">
        <f>HYPERLINK("https://patents.google.com/patent/US8225824B2/en")</f>
        <v>https://patents.google.com/patent/US8225824B2/en</v>
      </c>
    </row>
    <row r="3782" spans="3:5" x14ac:dyDescent="0.25">
      <c r="C3782" t="s">
        <v>6506</v>
      </c>
      <c r="D3782" t="s">
        <v>6507</v>
      </c>
      <c r="E3782" t="str">
        <f>HYPERLINK("https://patents.google.com/patent/US5503513A/en")</f>
        <v>https://patents.google.com/patent/US5503513A/en</v>
      </c>
    </row>
    <row r="3783" spans="3:5" x14ac:dyDescent="0.25">
      <c r="C3783" t="s">
        <v>6508</v>
      </c>
      <c r="D3783" t="s">
        <v>6509</v>
      </c>
      <c r="E3783" t="str">
        <f>HYPERLINK("https://patents.google.com/patent/US20120091796A1/en")</f>
        <v>https://patents.google.com/patent/US20120091796A1/en</v>
      </c>
    </row>
    <row r="3784" spans="3:5" x14ac:dyDescent="0.25">
      <c r="C3784" t="s">
        <v>6510</v>
      </c>
      <c r="D3784" t="s">
        <v>6511</v>
      </c>
      <c r="E3784" t="str">
        <f>HYPERLINK("https://patents.google.com/patent/US20100219694A1/en")</f>
        <v>https://patents.google.com/patent/US20100219694A1/en</v>
      </c>
    </row>
    <row r="3785" spans="3:5" x14ac:dyDescent="0.25">
      <c r="C3785" t="s">
        <v>6374</v>
      </c>
      <c r="D3785" t="s">
        <v>6512</v>
      </c>
      <c r="E3785" t="str">
        <f>HYPERLINK("https://patents.google.com/patent/US20140080428A1/en")</f>
        <v>https://patents.google.com/patent/US20140080428A1/en</v>
      </c>
    </row>
    <row r="3786" spans="3:5" x14ac:dyDescent="0.25">
      <c r="C3786" t="s">
        <v>6513</v>
      </c>
      <c r="D3786" t="s">
        <v>6514</v>
      </c>
      <c r="E3786" t="str">
        <f>HYPERLINK("https://patents.google.com/patent/US20090312817A1/en")</f>
        <v>https://patents.google.com/patent/US20090312817A1/en</v>
      </c>
    </row>
    <row r="3787" spans="3:5" x14ac:dyDescent="0.25">
      <c r="C3787" t="s">
        <v>6515</v>
      </c>
      <c r="D3787" t="s">
        <v>6516</v>
      </c>
      <c r="E3787" t="str">
        <f>HYPERLINK("https://patents.google.com/patent/US20120091794A1/en")</f>
        <v>https://patents.google.com/patent/US20120091794A1/en</v>
      </c>
    </row>
    <row r="3788" spans="3:5" x14ac:dyDescent="0.25">
      <c r="C3788" t="s">
        <v>6517</v>
      </c>
      <c r="D3788" t="s">
        <v>6518</v>
      </c>
      <c r="E3788" t="str">
        <f>HYPERLINK("https://patents.google.com/patent/US20120153738A1/en")</f>
        <v>https://patents.google.com/patent/US20120153738A1/en</v>
      </c>
    </row>
    <row r="3789" spans="3:5" x14ac:dyDescent="0.25">
      <c r="C3789" t="s">
        <v>6519</v>
      </c>
      <c r="D3789" t="s">
        <v>6520</v>
      </c>
      <c r="E3789" t="str">
        <f>HYPERLINK("https://patents.google.com/patent/US20120248888A1/en")</f>
        <v>https://patents.google.com/patent/US20120248888A1/en</v>
      </c>
    </row>
    <row r="3790" spans="3:5" x14ac:dyDescent="0.25">
      <c r="C3790" t="s">
        <v>6521</v>
      </c>
      <c r="D3790" t="s">
        <v>6522</v>
      </c>
      <c r="E3790" t="str">
        <f>HYPERLINK("https://patents.google.com/patent/US20120091819A1/en")</f>
        <v>https://patents.google.com/patent/US20120091819A1/en</v>
      </c>
    </row>
    <row r="3791" spans="3:5" x14ac:dyDescent="0.25">
      <c r="C3791" t="s">
        <v>6523</v>
      </c>
      <c r="D3791" t="s">
        <v>6524</v>
      </c>
      <c r="E3791" t="str">
        <f>HYPERLINK("https://patents.google.com/patent/US20060047704A1/en")</f>
        <v>https://patents.google.com/patent/US20060047704A1/en</v>
      </c>
    </row>
    <row r="3792" spans="3:5" x14ac:dyDescent="0.25">
      <c r="C3792" t="s">
        <v>6525</v>
      </c>
      <c r="D3792" t="s">
        <v>6526</v>
      </c>
      <c r="E3792" t="str">
        <f>HYPERLINK("https://patents.google.com/patent/US20120091795A1/en")</f>
        <v>https://patents.google.com/patent/US20120091795A1/en</v>
      </c>
    </row>
    <row r="3793" spans="3:5" x14ac:dyDescent="0.25">
      <c r="C3793" t="s">
        <v>6527</v>
      </c>
      <c r="D3793" t="s">
        <v>6528</v>
      </c>
      <c r="E3793" t="str">
        <f>HYPERLINK("https://patents.google.com/patent/US20120091820A1/en")</f>
        <v>https://patents.google.com/patent/US20120091820A1/en</v>
      </c>
    </row>
    <row r="3794" spans="3:5" x14ac:dyDescent="0.25">
      <c r="C3794" t="s">
        <v>6529</v>
      </c>
      <c r="D3794" t="s">
        <v>6530</v>
      </c>
      <c r="E3794" t="str">
        <f>HYPERLINK("https://patents.google.com/patent/US20120086867A1/en")</f>
        <v>https://patents.google.com/patent/US20120086867A1/en</v>
      </c>
    </row>
    <row r="3795" spans="3:5" x14ac:dyDescent="0.25">
      <c r="C3795" t="s">
        <v>6531</v>
      </c>
      <c r="D3795" t="s">
        <v>6532</v>
      </c>
      <c r="E3795" t="str">
        <f>HYPERLINK("https://patents.google.com/patent/US20120248981A1/en")</f>
        <v>https://patents.google.com/patent/US20120248981A1/en</v>
      </c>
    </row>
    <row r="3796" spans="3:5" x14ac:dyDescent="0.25">
      <c r="C3796" t="s">
        <v>6533</v>
      </c>
      <c r="D3796" t="s">
        <v>6534</v>
      </c>
      <c r="E3796" t="str">
        <f>HYPERLINK("https://patents.google.com/patent/US20120235502A1/en")</f>
        <v>https://patents.google.com/patent/US20120235502A1/en</v>
      </c>
    </row>
    <row r="3797" spans="3:5" x14ac:dyDescent="0.25">
      <c r="C3797" t="s">
        <v>6535</v>
      </c>
      <c r="D3797" t="s">
        <v>6536</v>
      </c>
      <c r="E3797" t="str">
        <f>HYPERLINK("https://patents.google.com/patent/US20040006566A1/en")</f>
        <v>https://patents.google.com/patent/US20040006566A1/en</v>
      </c>
    </row>
    <row r="3798" spans="3:5" x14ac:dyDescent="0.25">
      <c r="C3798" t="s">
        <v>6537</v>
      </c>
      <c r="D3798" t="s">
        <v>6538</v>
      </c>
      <c r="E3798" t="str">
        <f>HYPERLINK("https://patents.google.com/patent/US20120228954A1/en")</f>
        <v>https://patents.google.com/patent/US20120228954A1/en</v>
      </c>
    </row>
    <row r="3799" spans="3:5" x14ac:dyDescent="0.25">
      <c r="C3799" t="s">
        <v>6539</v>
      </c>
      <c r="D3799" t="s">
        <v>6540</v>
      </c>
      <c r="E3799" t="str">
        <f>HYPERLINK("https://patents.google.com/patent/US20120235634A1/en")</f>
        <v>https://patents.google.com/patent/US20120235634A1/en</v>
      </c>
    </row>
    <row r="3800" spans="3:5" x14ac:dyDescent="0.25">
      <c r="C3800" t="s">
        <v>6541</v>
      </c>
      <c r="D3800" t="s">
        <v>6542</v>
      </c>
      <c r="E3800" t="str">
        <f>HYPERLINK("https://patents.google.com/patent/US20120086284A1/en")</f>
        <v>https://patents.google.com/patent/US20120086284A1/en</v>
      </c>
    </row>
    <row r="3801" spans="3:5" x14ac:dyDescent="0.25">
      <c r="C3801" t="s">
        <v>6543</v>
      </c>
      <c r="D3801" t="s">
        <v>6544</v>
      </c>
      <c r="E3801" t="str">
        <f>HYPERLINK("https://patents.google.com/patent/US20120256494A1/en")</f>
        <v>https://patents.google.com/patent/US20120256494A1/en</v>
      </c>
    </row>
    <row r="3802" spans="3:5" x14ac:dyDescent="0.25">
      <c r="C3802" t="s">
        <v>6545</v>
      </c>
      <c r="D3802" t="s">
        <v>6546</v>
      </c>
      <c r="E3802" t="str">
        <f>HYPERLINK("https://patents.google.com/patent/US20120235504A1/en")</f>
        <v>https://patents.google.com/patent/US20120235504A1/en</v>
      </c>
    </row>
    <row r="3803" spans="3:5" x14ac:dyDescent="0.25">
      <c r="C3803" t="s">
        <v>6547</v>
      </c>
      <c r="D3803" t="s">
        <v>6548</v>
      </c>
      <c r="E3803" t="str">
        <f>HYPERLINK("https://patents.google.com/patent/US20100171368A1/en")</f>
        <v>https://patents.google.com/patent/US20100171368A1/en</v>
      </c>
    </row>
    <row r="3804" spans="3:5" x14ac:dyDescent="0.25">
      <c r="C3804" t="s">
        <v>6549</v>
      </c>
      <c r="D3804" t="s">
        <v>6550</v>
      </c>
      <c r="E3804" t="str">
        <f>HYPERLINK("https://patents.google.com/patent/US20120119569A1/en")</f>
        <v>https://patents.google.com/patent/US20120119569A1/en</v>
      </c>
    </row>
    <row r="3805" spans="3:5" x14ac:dyDescent="0.25">
      <c r="C3805" t="s">
        <v>6551</v>
      </c>
      <c r="D3805" t="s">
        <v>6552</v>
      </c>
      <c r="E3805" t="str">
        <f>HYPERLINK("https://patents.google.com/patent/US20110043049A1/en")</f>
        <v>https://patents.google.com/patent/US20110043049A1/en</v>
      </c>
    </row>
    <row r="3806" spans="3:5" x14ac:dyDescent="0.25">
      <c r="C3806" t="s">
        <v>6400</v>
      </c>
      <c r="D3806" t="s">
        <v>6553</v>
      </c>
      <c r="E3806" t="str">
        <f>HYPERLINK("https://patents.google.com/patent/US20120112536A1/en")</f>
        <v>https://patents.google.com/patent/US20120112536A1/en</v>
      </c>
    </row>
    <row r="3807" spans="3:5" x14ac:dyDescent="0.25">
      <c r="C3807" t="s">
        <v>6554</v>
      </c>
      <c r="D3807" t="s">
        <v>6555</v>
      </c>
      <c r="E3807" t="str">
        <f>HYPERLINK("https://patents.google.com/patent/US20120091949A1/en")</f>
        <v>https://patents.google.com/patent/US20120091949A1/en</v>
      </c>
    </row>
    <row r="3808" spans="3:5" x14ac:dyDescent="0.25">
      <c r="C3808" t="s">
        <v>6556</v>
      </c>
      <c r="D3808" t="s">
        <v>6557</v>
      </c>
      <c r="E3808" t="str">
        <f>HYPERLINK("https://patents.google.com/patent/US20120153893A1/en")</f>
        <v>https://patents.google.com/patent/US20120153893A1/en</v>
      </c>
    </row>
    <row r="3809" spans="3:5" x14ac:dyDescent="0.25">
      <c r="C3809" t="s">
        <v>6558</v>
      </c>
      <c r="D3809" t="s">
        <v>6559</v>
      </c>
      <c r="E3809" t="str">
        <f>HYPERLINK("https://patents.google.com/patent/US20120228952A1/en")</f>
        <v>https://patents.google.com/patent/US20120228952A1/en</v>
      </c>
    </row>
    <row r="3810" spans="3:5" x14ac:dyDescent="0.25">
      <c r="C3810" t="s">
        <v>6560</v>
      </c>
      <c r="D3810" t="s">
        <v>6561</v>
      </c>
      <c r="E3810" t="str">
        <f>HYPERLINK("https://patents.google.com/patent/US20120091797A1/en")</f>
        <v>https://patents.google.com/patent/US20120091797A1/en</v>
      </c>
    </row>
    <row r="3811" spans="3:5" x14ac:dyDescent="0.25">
      <c r="C3811" t="s">
        <v>6562</v>
      </c>
      <c r="D3811" t="s">
        <v>6563</v>
      </c>
      <c r="E3811" t="str">
        <f>HYPERLINK("https://patents.google.com/patent/US20140201126A1/en")</f>
        <v>https://patents.google.com/patent/US20140201126A1/en</v>
      </c>
    </row>
    <row r="3812" spans="3:5" x14ac:dyDescent="0.25">
      <c r="C3812" t="s">
        <v>6564</v>
      </c>
      <c r="D3812" t="s">
        <v>6565</v>
      </c>
      <c r="E3812" t="str">
        <f>HYPERLINK("https://patents.google.com/patent/US20020123365A1/en")</f>
        <v>https://patents.google.com/patent/US20020123365A1/en</v>
      </c>
    </row>
    <row r="3813" spans="3:5" x14ac:dyDescent="0.25">
      <c r="C3813" t="s">
        <v>6566</v>
      </c>
      <c r="D3813" t="s">
        <v>6567</v>
      </c>
      <c r="E3813" t="str">
        <f>HYPERLINK("https://patents.google.com/patent/US20120235501A1/en")</f>
        <v>https://patents.google.com/patent/US20120235501A1/en</v>
      </c>
    </row>
    <row r="3814" spans="3:5" x14ac:dyDescent="0.25">
      <c r="C3814" t="s">
        <v>6519</v>
      </c>
      <c r="D3814" t="s">
        <v>6568</v>
      </c>
      <c r="E3814" t="str">
        <f>HYPERLINK("https://patents.google.com/patent/US20120239117A1/en")</f>
        <v>https://patents.google.com/patent/US20120239117A1/en</v>
      </c>
    </row>
    <row r="3815" spans="3:5" x14ac:dyDescent="0.25">
      <c r="C3815" t="s">
        <v>6569</v>
      </c>
      <c r="D3815" t="s">
        <v>6570</v>
      </c>
      <c r="E3815" t="str">
        <f>HYPERLINK("https://patents.google.com/patent/US20120119576A1/en")</f>
        <v>https://patents.google.com/patent/US20120119576A1/en</v>
      </c>
    </row>
    <row r="3816" spans="3:5" x14ac:dyDescent="0.25">
      <c r="C3816" t="s">
        <v>6513</v>
      </c>
      <c r="D3816" t="s">
        <v>6571</v>
      </c>
      <c r="E3816" t="str">
        <f>HYPERLINK("https://patents.google.com/patent/US20090306741A1/en")</f>
        <v>https://patents.google.com/patent/US20090306741A1/en</v>
      </c>
    </row>
    <row r="3817" spans="3:5" x14ac:dyDescent="0.25">
      <c r="C3817" t="s">
        <v>6572</v>
      </c>
      <c r="D3817" t="s">
        <v>6573</v>
      </c>
      <c r="E3817" t="str">
        <f>HYPERLINK("https://patents.google.com/patent/US20120223573A1/en")</f>
        <v>https://patents.google.com/patent/US20120223573A1/en</v>
      </c>
    </row>
    <row r="3818" spans="3:5" x14ac:dyDescent="0.25">
      <c r="C3818" t="s">
        <v>6392</v>
      </c>
      <c r="D3818" t="s">
        <v>6574</v>
      </c>
      <c r="E3818" t="str">
        <f>HYPERLINK("https://patents.google.com/patent/US20120242501A1/en")</f>
        <v>https://patents.google.com/patent/US20120242501A1/en</v>
      </c>
    </row>
    <row r="3819" spans="3:5" x14ac:dyDescent="0.25">
      <c r="C3819" t="s">
        <v>6575</v>
      </c>
      <c r="D3819" t="s">
        <v>6576</v>
      </c>
      <c r="E3819" t="str">
        <f>HYPERLINK("https://patents.google.com/patent/US20120242159A1/en")</f>
        <v>https://patents.google.com/patent/US20120242159A1/en</v>
      </c>
    </row>
    <row r="3820" spans="3:5" x14ac:dyDescent="0.25">
      <c r="C3820" t="s">
        <v>6577</v>
      </c>
      <c r="D3820" t="s">
        <v>6578</v>
      </c>
      <c r="E3820" t="str">
        <f>HYPERLINK("https://patents.google.com/patent/US20120235566A1/en")</f>
        <v>https://patents.google.com/patent/US20120235566A1/en</v>
      </c>
    </row>
    <row r="3821" spans="3:5" x14ac:dyDescent="0.25">
      <c r="C3821" t="s">
        <v>6579</v>
      </c>
      <c r="D3821" t="s">
        <v>6580</v>
      </c>
      <c r="E3821" t="str">
        <f>HYPERLINK("https://patents.google.com/patent/US20100231340A1/en")</f>
        <v>https://patents.google.com/patent/US20100231340A1/en</v>
      </c>
    </row>
    <row r="3822" spans="3:5" x14ac:dyDescent="0.25">
      <c r="C3822" t="s">
        <v>6581</v>
      </c>
      <c r="D3822" t="s">
        <v>6582</v>
      </c>
      <c r="E3822" t="str">
        <f>HYPERLINK("https://patents.google.com/patent/US20120112532A1/en")</f>
        <v>https://patents.google.com/patent/US20120112532A1/en</v>
      </c>
    </row>
    <row r="3823" spans="3:5" x14ac:dyDescent="0.25">
      <c r="C3823" t="s">
        <v>6400</v>
      </c>
      <c r="D3823" t="s">
        <v>6583</v>
      </c>
      <c r="E3823" t="str">
        <f>HYPERLINK("https://patents.google.com/patent/US20120119698A1/en")</f>
        <v>https://patents.google.com/patent/US20120119698A1/en</v>
      </c>
    </row>
    <row r="3824" spans="3:5" x14ac:dyDescent="0.25">
      <c r="C3824" t="s">
        <v>6400</v>
      </c>
      <c r="D3824" t="s">
        <v>6584</v>
      </c>
      <c r="E3824" t="str">
        <f>HYPERLINK("https://patents.google.com/patent/US20120112535A1/en")</f>
        <v>https://patents.google.com/patent/US20120112535A1/en</v>
      </c>
    </row>
    <row r="3825" spans="3:5" x14ac:dyDescent="0.25">
      <c r="C3825" t="s">
        <v>6585</v>
      </c>
      <c r="D3825" t="s">
        <v>6586</v>
      </c>
      <c r="E3825" t="str">
        <f>HYPERLINK("https://patents.google.com/patent/US20130057364A1/en")</f>
        <v>https://patents.google.com/patent/US20130057364A1/en</v>
      </c>
    </row>
    <row r="3826" spans="3:5" x14ac:dyDescent="0.25">
      <c r="C3826" t="s">
        <v>6400</v>
      </c>
      <c r="D3826" t="s">
        <v>6587</v>
      </c>
      <c r="E3826" t="str">
        <f>HYPERLINK("https://patents.google.com/patent/US20120112691A1/en")</f>
        <v>https://patents.google.com/patent/US20120112691A1/en</v>
      </c>
    </row>
    <row r="3827" spans="3:5" x14ac:dyDescent="0.25">
      <c r="C3827" t="s">
        <v>6588</v>
      </c>
      <c r="D3827" t="s">
        <v>6589</v>
      </c>
      <c r="E3827" t="str">
        <f>HYPERLINK("https://patents.google.com/patent/US20120112538A1/en")</f>
        <v>https://patents.google.com/patent/US20120112538A1/en</v>
      </c>
    </row>
    <row r="3828" spans="3:5" x14ac:dyDescent="0.25">
      <c r="C3828" t="s">
        <v>6590</v>
      </c>
      <c r="D3828" t="s">
        <v>6591</v>
      </c>
      <c r="E3828" t="str">
        <f>HYPERLINK("https://patents.google.com/patent/US20120235633A1/en")</f>
        <v>https://patents.google.com/patent/US20120235633A1/en</v>
      </c>
    </row>
    <row r="3829" spans="3:5" x14ac:dyDescent="0.25">
      <c r="C3829" t="s">
        <v>6592</v>
      </c>
      <c r="D3829" t="s">
        <v>6593</v>
      </c>
      <c r="E3829" t="str">
        <f>HYPERLINK("https://patents.google.com/patent/US20120228953A1/en")</f>
        <v>https://patents.google.com/patent/US20120228953A1/en</v>
      </c>
    </row>
    <row r="3830" spans="3:5" x14ac:dyDescent="0.25">
      <c r="C3830" t="s">
        <v>6594</v>
      </c>
      <c r="D3830" t="s">
        <v>6595</v>
      </c>
      <c r="E3830" t="str">
        <f>HYPERLINK("https://patents.google.com/patent/US20120313742A1/en")</f>
        <v>https://patents.google.com/patent/US20120313742A1/en</v>
      </c>
    </row>
    <row r="3831" spans="3:5" x14ac:dyDescent="0.25">
      <c r="C3831" t="s">
        <v>6596</v>
      </c>
      <c r="D3831" t="s">
        <v>6597</v>
      </c>
      <c r="E3831" t="str">
        <f>HYPERLINK("https://patents.google.com/patent/US20120142429A1/en")</f>
        <v>https://patents.google.com/patent/US20120142429A1/en</v>
      </c>
    </row>
    <row r="3832" spans="3:5" x14ac:dyDescent="0.25">
      <c r="C3832" t="s">
        <v>6598</v>
      </c>
      <c r="D3832" t="s">
        <v>6599</v>
      </c>
      <c r="E3832" t="str">
        <f>HYPERLINK("https://patents.google.com/patent/US20130095459A1/en")</f>
        <v>https://patents.google.com/patent/US20130095459A1/en</v>
      </c>
    </row>
    <row r="3833" spans="3:5" x14ac:dyDescent="0.25">
      <c r="C3833" t="s">
        <v>6600</v>
      </c>
      <c r="D3833" t="s">
        <v>6601</v>
      </c>
      <c r="E3833" t="str">
        <f>HYPERLINK("https://patents.google.com/patent/US20100308939A1/en")</f>
        <v>https://patents.google.com/patent/US20100308939A1/en</v>
      </c>
    </row>
    <row r="3834" spans="3:5" x14ac:dyDescent="0.25">
      <c r="C3834" t="s">
        <v>6602</v>
      </c>
      <c r="D3834" t="s">
        <v>6603</v>
      </c>
      <c r="E3834" t="str">
        <f>HYPERLINK("https://patents.google.com/patent/US20080109126A1/en")</f>
        <v>https://patents.google.com/patent/US20080109126A1/en</v>
      </c>
    </row>
    <row r="3835" spans="3:5" x14ac:dyDescent="0.25">
      <c r="C3835" t="s">
        <v>6604</v>
      </c>
      <c r="D3835" t="s">
        <v>6605</v>
      </c>
      <c r="E3835" t="str">
        <f>HYPERLINK("https://patents.google.com/patent/US20100259110A1/en")</f>
        <v>https://patents.google.com/patent/US20100259110A1/en</v>
      </c>
    </row>
    <row r="3836" spans="3:5" x14ac:dyDescent="0.25">
      <c r="C3836" t="s">
        <v>6606</v>
      </c>
      <c r="D3836" t="s">
        <v>6607</v>
      </c>
      <c r="E3836" t="str">
        <f>HYPERLINK("https://patents.google.com/patent/US20080132383A1/en")</f>
        <v>https://patents.google.com/patent/US20080132383A1/en</v>
      </c>
    </row>
    <row r="3837" spans="3:5" x14ac:dyDescent="0.25">
      <c r="C3837" t="s">
        <v>6608</v>
      </c>
      <c r="D3837" t="s">
        <v>6609</v>
      </c>
      <c r="E3837" t="str">
        <f>HYPERLINK("https://patents.google.com/patent/US20100181845A1/en")</f>
        <v>https://patents.google.com/patent/US20100181845A1/en</v>
      </c>
    </row>
    <row r="3838" spans="3:5" x14ac:dyDescent="0.25">
      <c r="C3838" t="s">
        <v>6610</v>
      </c>
      <c r="D3838" t="s">
        <v>6611</v>
      </c>
      <c r="E3838" t="str">
        <f>HYPERLINK("https://patents.google.com/patent/US20120248887A1/en")</f>
        <v>https://patents.google.com/patent/US20120248887A1/en</v>
      </c>
    </row>
    <row r="3839" spans="3:5" x14ac:dyDescent="0.25">
      <c r="C3839" t="s">
        <v>6612</v>
      </c>
      <c r="D3839" t="s">
        <v>6613</v>
      </c>
      <c r="E3839" t="str">
        <f>HYPERLINK("https://patents.google.com/patent/US20020081937A1/en")</f>
        <v>https://patents.google.com/patent/US20020081937A1/en</v>
      </c>
    </row>
    <row r="3840" spans="3:5" x14ac:dyDescent="0.25">
      <c r="C3840" t="s">
        <v>6604</v>
      </c>
      <c r="D3840" t="s">
        <v>6614</v>
      </c>
      <c r="E3840" t="str">
        <f>HYPERLINK("https://patents.google.com/patent/US20120313449A1/en")</f>
        <v>https://patents.google.com/patent/US20120313449A1/en</v>
      </c>
    </row>
    <row r="3841" spans="3:5" x14ac:dyDescent="0.25">
      <c r="C3841" t="s">
        <v>6615</v>
      </c>
      <c r="D3841" t="s">
        <v>6616</v>
      </c>
      <c r="E3841" t="str">
        <f>HYPERLINK("https://patents.google.com/patent/US20100277121A1/en")</f>
        <v>https://patents.google.com/patent/US20100277121A1/en</v>
      </c>
    </row>
    <row r="3842" spans="3:5" x14ac:dyDescent="0.25">
      <c r="C3842" t="s">
        <v>6617</v>
      </c>
      <c r="D3842" t="s">
        <v>6618</v>
      </c>
      <c r="E3842" t="str">
        <f>HYPERLINK("https://patents.google.com/patent/US20120235503A1/en")</f>
        <v>https://patents.google.com/patent/US20120235503A1/en</v>
      </c>
    </row>
    <row r="3843" spans="3:5" x14ac:dyDescent="0.25">
      <c r="C3843" t="s">
        <v>6619</v>
      </c>
      <c r="D3843" t="s">
        <v>6620</v>
      </c>
      <c r="E3843" t="str">
        <f>HYPERLINK("https://patents.google.com/patent/US20120330458A1/en")</f>
        <v>https://patents.google.com/patent/US20120330458A1/en</v>
      </c>
    </row>
    <row r="3844" spans="3:5" x14ac:dyDescent="0.25">
      <c r="C3844" t="s">
        <v>6621</v>
      </c>
      <c r="D3844" t="s">
        <v>6622</v>
      </c>
      <c r="E3844" t="str">
        <f>HYPERLINK("https://patents.google.com/patent/US20070167578A1/en")</f>
        <v>https://patents.google.com/patent/US20070167578A1/en</v>
      </c>
    </row>
    <row r="3845" spans="3:5" x14ac:dyDescent="0.25">
      <c r="C3845" t="s">
        <v>6608</v>
      </c>
      <c r="D3845" t="s">
        <v>6623</v>
      </c>
      <c r="E3845" t="str">
        <f>HYPERLINK("https://patents.google.com/patent/US20140312706A1/en")</f>
        <v>https://patents.google.com/patent/US20140312706A1/en</v>
      </c>
    </row>
    <row r="3846" spans="3:5" x14ac:dyDescent="0.25">
      <c r="C3846" t="s">
        <v>6337</v>
      </c>
      <c r="D3846" t="s">
        <v>6624</v>
      </c>
      <c r="E3846" t="str">
        <f>HYPERLINK("https://patents.google.com/patent/US20130334892A1/en")</f>
        <v>https://patents.google.com/patent/US20130334892A1/en</v>
      </c>
    </row>
    <row r="3847" spans="3:5" x14ac:dyDescent="0.25">
      <c r="C3847" t="s">
        <v>6625</v>
      </c>
      <c r="D3847" t="s">
        <v>6626</v>
      </c>
      <c r="E3847" t="str">
        <f>HYPERLINK("https://patents.google.com/patent/US20130221744A1/en")</f>
        <v>https://patents.google.com/patent/US20130221744A1/en</v>
      </c>
    </row>
    <row r="3848" spans="3:5" x14ac:dyDescent="0.25">
      <c r="C3848" t="s">
        <v>6627</v>
      </c>
      <c r="D3848" t="s">
        <v>6628</v>
      </c>
      <c r="E3848" t="str">
        <f>HYPERLINK("https://patents.google.com/patent/US20150222604A1/en")</f>
        <v>https://patents.google.com/patent/US20150222604A1/en</v>
      </c>
    </row>
    <row r="3849" spans="3:5" x14ac:dyDescent="0.25">
      <c r="C3849" t="s">
        <v>6629</v>
      </c>
      <c r="D3849" t="s">
        <v>6630</v>
      </c>
      <c r="E3849" t="str">
        <f>HYPERLINK("https://patents.google.com/patent/US20090171788A1/en")</f>
        <v>https://patents.google.com/patent/US20090171788A1/en</v>
      </c>
    </row>
    <row r="3850" spans="3:5" x14ac:dyDescent="0.25">
      <c r="C3850" t="s">
        <v>6631</v>
      </c>
      <c r="D3850" t="s">
        <v>6632</v>
      </c>
      <c r="E3850" t="str">
        <f>HYPERLINK("https://patents.google.com/patent/US20130304604A1/en")</f>
        <v>https://patents.google.com/patent/US20130304604A1/en</v>
      </c>
    </row>
    <row r="3851" spans="3:5" x14ac:dyDescent="0.25">
      <c r="C3851" t="s">
        <v>6633</v>
      </c>
      <c r="D3851" t="s">
        <v>6634</v>
      </c>
      <c r="E3851" t="str">
        <f>HYPERLINK("https://patents.google.com/patent/US20150088982A1/en")</f>
        <v>https://patents.google.com/patent/US20150088982A1/en</v>
      </c>
    </row>
    <row r="3852" spans="3:5" x14ac:dyDescent="0.25">
      <c r="C3852" t="s">
        <v>6635</v>
      </c>
      <c r="D3852" t="s">
        <v>6636</v>
      </c>
      <c r="E3852" t="str">
        <f>HYPERLINK("https://patents.google.com/patent/US20150226369A1/en")</f>
        <v>https://patents.google.com/patent/US20150226369A1/en</v>
      </c>
    </row>
    <row r="3853" spans="3:5" x14ac:dyDescent="0.25">
      <c r="C3853" t="s">
        <v>6637</v>
      </c>
      <c r="D3853" t="s">
        <v>6638</v>
      </c>
      <c r="E3853" t="str">
        <f>HYPERLINK("https://patents.google.com/patent/CN102058466A/en")</f>
        <v>https://patents.google.com/patent/CN102058466A/en</v>
      </c>
    </row>
    <row r="3854" spans="3:5" x14ac:dyDescent="0.25">
      <c r="C3854" t="s">
        <v>6639</v>
      </c>
      <c r="D3854" t="s">
        <v>6640</v>
      </c>
      <c r="E3854" t="str">
        <f>HYPERLINK("https://patents.google.com/patent/US20060050929A1/en")</f>
        <v>https://patents.google.com/patent/US20060050929A1/en</v>
      </c>
    </row>
    <row r="3855" spans="3:5" x14ac:dyDescent="0.25">
      <c r="C3855" t="s">
        <v>6641</v>
      </c>
      <c r="D3855" t="s">
        <v>6642</v>
      </c>
      <c r="E3855" t="str">
        <f>HYPERLINK("https://patents.google.com/patent/US20160060887A1/en")</f>
        <v>https://patents.google.com/patent/US20160060887A1/en</v>
      </c>
    </row>
    <row r="3856" spans="3:5" x14ac:dyDescent="0.25">
      <c r="C3856" t="s">
        <v>6643</v>
      </c>
      <c r="D3856" t="s">
        <v>6644</v>
      </c>
      <c r="E3856" t="str">
        <f>HYPERLINK("https://patents.google.com/patent/JP2003205484A/en")</f>
        <v>https://patents.google.com/patent/JP2003205484A/en</v>
      </c>
    </row>
    <row r="3857" spans="3:5" x14ac:dyDescent="0.25">
      <c r="C3857" t="s">
        <v>6645</v>
      </c>
      <c r="D3857" t="s">
        <v>6646</v>
      </c>
      <c r="E3857" t="str">
        <f>HYPERLINK("https://patents.google.com/patent/US20070237514A1/en")</f>
        <v>https://patents.google.com/patent/US20070237514A1/en</v>
      </c>
    </row>
    <row r="3858" spans="3:5" x14ac:dyDescent="0.25">
      <c r="C3858" t="s">
        <v>6647</v>
      </c>
      <c r="D3858" t="s">
        <v>6648</v>
      </c>
      <c r="E3858" t="str">
        <f>HYPERLINK("https://patents.google.com/patent/US20140022051A1/en")</f>
        <v>https://patents.google.com/patent/US20140022051A1/en</v>
      </c>
    </row>
    <row r="3859" spans="3:5" x14ac:dyDescent="0.25">
      <c r="C3859" t="s">
        <v>6649</v>
      </c>
      <c r="D3859" t="s">
        <v>6650</v>
      </c>
      <c r="E3859" t="str">
        <f>HYPERLINK("https://patents.google.com/patent/US20120156337A1/en")</f>
        <v>https://patents.google.com/patent/US20120156337A1/en</v>
      </c>
    </row>
    <row r="3860" spans="3:5" x14ac:dyDescent="0.25">
      <c r="C3860" t="s">
        <v>6651</v>
      </c>
      <c r="D3860" t="s">
        <v>6652</v>
      </c>
      <c r="E3860" t="str">
        <f>HYPERLINK("https://patents.google.com/patent/US20140143064A1/en")</f>
        <v>https://patents.google.com/patent/US20140143064A1/en</v>
      </c>
    </row>
    <row r="3861" spans="3:5" x14ac:dyDescent="0.25">
      <c r="C3861" t="s">
        <v>6645</v>
      </c>
      <c r="D3861" t="s">
        <v>6653</v>
      </c>
      <c r="E3861" t="str">
        <f>HYPERLINK("https://patents.google.com/patent/US20070248330A1/en")</f>
        <v>https://patents.google.com/patent/US20070248330A1/en</v>
      </c>
    </row>
    <row r="3862" spans="3:5" x14ac:dyDescent="0.25">
      <c r="C3862" t="s">
        <v>6654</v>
      </c>
      <c r="D3862" t="s">
        <v>6655</v>
      </c>
      <c r="E3862" t="str">
        <f>HYPERLINK("https://patents.google.com/patent/US20140045549A1/en")</f>
        <v>https://patents.google.com/patent/US20140045549A1/en</v>
      </c>
    </row>
    <row r="3863" spans="3:5" x14ac:dyDescent="0.25">
      <c r="C3863" t="s">
        <v>6656</v>
      </c>
      <c r="D3863" t="s">
        <v>6657</v>
      </c>
      <c r="E3863" t="str">
        <f>HYPERLINK("https://patents.google.com/patent/US20100299187A1/en")</f>
        <v>https://patents.google.com/patent/US20100299187A1/en</v>
      </c>
    </row>
    <row r="3864" spans="3:5" x14ac:dyDescent="0.25">
      <c r="C3864" t="s">
        <v>6658</v>
      </c>
      <c r="D3864" t="s">
        <v>6659</v>
      </c>
      <c r="E3864" t="str">
        <f>HYPERLINK("https://patents.google.com/patent/US20050182722A1/en")</f>
        <v>https://patents.google.com/patent/US20050182722A1/en</v>
      </c>
    </row>
    <row r="3865" spans="3:5" x14ac:dyDescent="0.25">
      <c r="C3865" t="s">
        <v>6660</v>
      </c>
      <c r="D3865" t="s">
        <v>6661</v>
      </c>
      <c r="E3865" t="str">
        <f>HYPERLINK("https://patents.google.com/patent/US20120298430A1/en")</f>
        <v>https://patents.google.com/patent/US20120298430A1/en</v>
      </c>
    </row>
    <row r="3866" spans="3:5" x14ac:dyDescent="0.25">
      <c r="C3866" t="s">
        <v>6662</v>
      </c>
      <c r="D3866" t="s">
        <v>6663</v>
      </c>
      <c r="E3866" t="str">
        <f>HYPERLINK("https://patents.google.com/patent/US20100208662A1/en")</f>
        <v>https://patents.google.com/patent/US20100208662A1/en</v>
      </c>
    </row>
    <row r="3867" spans="3:5" x14ac:dyDescent="0.25">
      <c r="C3867" t="s">
        <v>6664</v>
      </c>
      <c r="D3867" t="s">
        <v>6665</v>
      </c>
      <c r="E3867" t="str">
        <f>HYPERLINK("https://patents.google.com/patent/US20150068069A1/en")</f>
        <v>https://patents.google.com/patent/US20150068069A1/en</v>
      </c>
    </row>
    <row r="3868" spans="3:5" x14ac:dyDescent="0.25">
      <c r="C3868" t="s">
        <v>6666</v>
      </c>
      <c r="D3868" t="s">
        <v>6667</v>
      </c>
      <c r="E3868" t="str">
        <f>HYPERLINK("https://patents.google.com/patent/JP2001239479A/en")</f>
        <v>https://patents.google.com/patent/JP2001239479A/en</v>
      </c>
    </row>
    <row r="3869" spans="3:5" x14ac:dyDescent="0.25">
      <c r="C3869" t="s">
        <v>6668</v>
      </c>
      <c r="D3869" t="s">
        <v>6669</v>
      </c>
      <c r="E3869" t="str">
        <f>HYPERLINK("https://patents.google.com/patent/US20090056802A1/en")</f>
        <v>https://patents.google.com/patent/US20090056802A1/en</v>
      </c>
    </row>
    <row r="3870" spans="3:5" x14ac:dyDescent="0.25">
      <c r="C3870" t="s">
        <v>6670</v>
      </c>
      <c r="D3870" t="s">
        <v>6671</v>
      </c>
      <c r="E3870" t="str">
        <f>HYPERLINK("https://patents.google.com/patent/US20070220637A1/en")</f>
        <v>https://patents.google.com/patent/US20070220637A1/en</v>
      </c>
    </row>
    <row r="3871" spans="3:5" x14ac:dyDescent="0.25">
      <c r="C3871" t="s">
        <v>6672</v>
      </c>
      <c r="D3871" t="s">
        <v>6673</v>
      </c>
      <c r="E3871" t="str">
        <f>HYPERLINK("https://patents.google.com/patent/US20130249947A1/en")</f>
        <v>https://patents.google.com/patent/US20130249947A1/en</v>
      </c>
    </row>
    <row r="3872" spans="3:5" x14ac:dyDescent="0.25">
      <c r="C3872" t="s">
        <v>6674</v>
      </c>
      <c r="D3872" t="s">
        <v>6675</v>
      </c>
      <c r="E3872" t="str">
        <f>HYPERLINK("https://patents.google.com/patent/US20160044035A1/en")</f>
        <v>https://patents.google.com/patent/US20160044035A1/en</v>
      </c>
    </row>
    <row r="3873" spans="3:5" x14ac:dyDescent="0.25">
      <c r="C3873" t="s">
        <v>6676</v>
      </c>
      <c r="D3873" t="s">
        <v>6677</v>
      </c>
      <c r="E3873" t="str">
        <f>HYPERLINK("https://patents.google.com/patent/US20150217449A1/en")</f>
        <v>https://patents.google.com/patent/US20150217449A1/en</v>
      </c>
    </row>
    <row r="3874" spans="3:5" x14ac:dyDescent="0.25">
      <c r="C3874" t="s">
        <v>6678</v>
      </c>
      <c r="D3874" t="s">
        <v>6679</v>
      </c>
      <c r="E3874" t="str">
        <f>HYPERLINK("https://patents.google.com/patent/US20130105239A1/en")</f>
        <v>https://patents.google.com/patent/US20130105239A1/en</v>
      </c>
    </row>
    <row r="3875" spans="3:5" x14ac:dyDescent="0.25">
      <c r="C3875" t="s">
        <v>6680</v>
      </c>
      <c r="D3875" t="s">
        <v>6681</v>
      </c>
      <c r="E3875" t="str">
        <f>HYPERLINK("https://patents.google.com/patent/US20060033462A1/en")</f>
        <v>https://patents.google.com/patent/US20060033462A1/en</v>
      </c>
    </row>
    <row r="3876" spans="3:5" x14ac:dyDescent="0.25">
      <c r="C3876" t="s">
        <v>6682</v>
      </c>
      <c r="D3876" t="s">
        <v>6683</v>
      </c>
      <c r="E3876" t="str">
        <f>HYPERLINK("https://patents.google.com/patent/JPH10217161A/en")</f>
        <v>https://patents.google.com/patent/JPH10217161A/en</v>
      </c>
    </row>
    <row r="3877" spans="3:5" x14ac:dyDescent="0.25">
      <c r="C3877" t="s">
        <v>6684</v>
      </c>
      <c r="D3877" t="s">
        <v>6685</v>
      </c>
      <c r="E3877" t="str">
        <f>HYPERLINK("https://patents.google.com/patent/US20140265555A1/en")</f>
        <v>https://patents.google.com/patent/US20140265555A1/en</v>
      </c>
    </row>
    <row r="3878" spans="3:5" x14ac:dyDescent="0.25">
      <c r="C3878" t="s">
        <v>6686</v>
      </c>
      <c r="D3878" t="s">
        <v>6687</v>
      </c>
      <c r="E3878" t="str">
        <f>HYPERLINK("https://patents.google.com/patent/US20070171042A1/en")</f>
        <v>https://patents.google.com/patent/US20070171042A1/en</v>
      </c>
    </row>
    <row r="3879" spans="3:5" x14ac:dyDescent="0.25">
      <c r="C3879" t="s">
        <v>6688</v>
      </c>
      <c r="D3879" t="s">
        <v>6689</v>
      </c>
      <c r="E3879" t="str">
        <f>HYPERLINK("https://patents.google.com/patent/US9060683B2/en")</f>
        <v>https://patents.google.com/patent/US9060683B2/en</v>
      </c>
    </row>
    <row r="3880" spans="3:5" x14ac:dyDescent="0.25">
      <c r="C3880" t="s">
        <v>6690</v>
      </c>
      <c r="D3880" t="s">
        <v>6691</v>
      </c>
      <c r="E3880" t="str">
        <f>HYPERLINK("https://patents.google.com/patent/US20140155098A1/en")</f>
        <v>https://patents.google.com/patent/US20140155098A1/en</v>
      </c>
    </row>
    <row r="3881" spans="3:5" x14ac:dyDescent="0.25">
      <c r="C3881" t="s">
        <v>6692</v>
      </c>
      <c r="D3881" t="s">
        <v>6693</v>
      </c>
      <c r="E3881" t="str">
        <f>HYPERLINK("https://patents.google.com/patent/US6463371B1/en")</f>
        <v>https://patents.google.com/patent/US6463371B1/en</v>
      </c>
    </row>
    <row r="3882" spans="3:5" x14ac:dyDescent="0.25">
      <c r="C3882" t="s">
        <v>6694</v>
      </c>
      <c r="D3882" t="s">
        <v>6695</v>
      </c>
      <c r="E3882" t="str">
        <f>HYPERLINK("https://patents.google.com/patent/US20110072367A1/en")</f>
        <v>https://patents.google.com/patent/US20110072367A1/en</v>
      </c>
    </row>
    <row r="3883" spans="3:5" x14ac:dyDescent="0.25">
      <c r="C3883" t="s">
        <v>6696</v>
      </c>
      <c r="D3883" t="s">
        <v>6697</v>
      </c>
      <c r="E3883" t="str">
        <f>HYPERLINK("https://patents.google.com/patent/CN102439669B/en")</f>
        <v>https://patents.google.com/patent/CN102439669B/en</v>
      </c>
    </row>
    <row r="3884" spans="3:5" x14ac:dyDescent="0.25">
      <c r="C3884" t="s">
        <v>6698</v>
      </c>
      <c r="D3884" t="s">
        <v>6699</v>
      </c>
      <c r="E3884" t="str">
        <f>HYPERLINK("https://patents.google.com/patent/US20070048084A1/en")</f>
        <v>https://patents.google.com/patent/US20070048084A1/en</v>
      </c>
    </row>
    <row r="3885" spans="3:5" x14ac:dyDescent="0.25">
      <c r="C3885" t="s">
        <v>6700</v>
      </c>
      <c r="D3885" t="s">
        <v>6701</v>
      </c>
      <c r="E3885" t="str">
        <f>HYPERLINK("https://patents.google.com/patent/US20080208365A1/en")</f>
        <v>https://patents.google.com/patent/US20080208365A1/en</v>
      </c>
    </row>
    <row r="3886" spans="3:5" x14ac:dyDescent="0.25">
      <c r="C3886" t="s">
        <v>6702</v>
      </c>
      <c r="D3886" t="s">
        <v>6703</v>
      </c>
      <c r="E3886" t="str">
        <f>HYPERLINK("https://patents.google.com/patent/US7520356B2/en")</f>
        <v>https://patents.google.com/patent/US7520356B2/en</v>
      </c>
    </row>
    <row r="3887" spans="3:5" x14ac:dyDescent="0.25">
      <c r="C3887" t="s">
        <v>6704</v>
      </c>
      <c r="D3887" t="s">
        <v>6705</v>
      </c>
      <c r="E3887" t="str">
        <f>HYPERLINK("https://patents.google.com/patent/US9189897B1/en")</f>
        <v>https://patents.google.com/patent/US9189897B1/en</v>
      </c>
    </row>
    <row r="3888" spans="3:5" x14ac:dyDescent="0.25">
      <c r="C3888" t="s">
        <v>6706</v>
      </c>
      <c r="D3888" t="s">
        <v>6707</v>
      </c>
      <c r="E3888" t="str">
        <f>HYPERLINK("https://patents.google.com/patent/US20140152507A1/en")</f>
        <v>https://patents.google.com/patent/US20140152507A1/en</v>
      </c>
    </row>
    <row r="3889" spans="3:5" x14ac:dyDescent="0.25">
      <c r="C3889" t="s">
        <v>6708</v>
      </c>
      <c r="D3889" t="s">
        <v>6709</v>
      </c>
      <c r="E3889" t="str">
        <f>HYPERLINK("https://patents.google.com/patent/US20160026182A1/en")</f>
        <v>https://patents.google.com/patent/US20160026182A1/en</v>
      </c>
    </row>
    <row r="3890" spans="3:5" x14ac:dyDescent="0.25">
      <c r="C3890" t="s">
        <v>6710</v>
      </c>
      <c r="D3890" t="s">
        <v>6711</v>
      </c>
      <c r="E3890" t="str">
        <f>HYPERLINK("https://patents.google.com/patent/US20110022232A1/en")</f>
        <v>https://patents.google.com/patent/US20110022232A1/en</v>
      </c>
    </row>
    <row r="3891" spans="3:5" x14ac:dyDescent="0.25">
      <c r="C3891" t="s">
        <v>6712</v>
      </c>
      <c r="D3891" t="s">
        <v>6713</v>
      </c>
      <c r="E3891" t="str">
        <f>HYPERLINK("https://patents.google.com/patent/US20090306825A1/en")</f>
        <v>https://patents.google.com/patent/US20090306825A1/en</v>
      </c>
    </row>
    <row r="3892" spans="3:5" x14ac:dyDescent="0.25">
      <c r="C3892" t="s">
        <v>6714</v>
      </c>
      <c r="D3892" t="s">
        <v>6715</v>
      </c>
      <c r="E3892" t="str">
        <f>HYPERLINK("https://patents.google.com/patent/CN101006833A/en")</f>
        <v>https://patents.google.com/patent/CN101006833A/en</v>
      </c>
    </row>
    <row r="3893" spans="3:5" x14ac:dyDescent="0.25">
      <c r="C3893" t="s">
        <v>6716</v>
      </c>
      <c r="D3893" t="s">
        <v>6717</v>
      </c>
      <c r="E3893" t="str">
        <f>HYPERLINK("https://patents.google.com/patent/US20060194102A1/en")</f>
        <v>https://patents.google.com/patent/US20060194102A1/en</v>
      </c>
    </row>
    <row r="3894" spans="3:5" x14ac:dyDescent="0.25">
      <c r="C3894" t="s">
        <v>6718</v>
      </c>
      <c r="D3894" t="s">
        <v>6719</v>
      </c>
      <c r="E3894" t="str">
        <f>HYPERLINK("https://patents.google.com/patent/US20130222371A1/en")</f>
        <v>https://patents.google.com/patent/US20130222371A1/en</v>
      </c>
    </row>
    <row r="3895" spans="3:5" x14ac:dyDescent="0.25">
      <c r="C3895" t="s">
        <v>6720</v>
      </c>
      <c r="D3895" t="s">
        <v>6721</v>
      </c>
      <c r="E3895" t="str">
        <f>HYPERLINK("https://patents.google.com/patent/US20130232430A1/en")</f>
        <v>https://patents.google.com/patent/US20130232430A1/en</v>
      </c>
    </row>
    <row r="3896" spans="3:5" x14ac:dyDescent="0.25">
      <c r="C3896" t="s">
        <v>6722</v>
      </c>
      <c r="D3896" t="s">
        <v>6723</v>
      </c>
      <c r="E3896" t="str">
        <f>HYPERLINK("https://patents.google.com/patent/US6172941B1/en")</f>
        <v>https://patents.google.com/patent/US6172941B1/en</v>
      </c>
    </row>
    <row r="3897" spans="3:5" x14ac:dyDescent="0.25">
      <c r="C3897" t="s">
        <v>6724</v>
      </c>
      <c r="D3897" t="s">
        <v>6725</v>
      </c>
      <c r="E3897" t="str">
        <f>HYPERLINK("https://patents.google.com/patent/US20140100693A1/en")</f>
        <v>https://patents.google.com/patent/US20140100693A1/en</v>
      </c>
    </row>
    <row r="3898" spans="3:5" x14ac:dyDescent="0.25">
      <c r="C3898" t="s">
        <v>6726</v>
      </c>
      <c r="D3898" t="s">
        <v>6727</v>
      </c>
      <c r="E3898" t="str">
        <f>HYPERLINK("https://patents.google.com/patent/EP1523880A2/en")</f>
        <v>https://patents.google.com/patent/EP1523880A2/en</v>
      </c>
    </row>
    <row r="3899" spans="3:5" x14ac:dyDescent="0.25">
      <c r="C3899" t="s">
        <v>6728</v>
      </c>
      <c r="D3899" t="s">
        <v>6729</v>
      </c>
      <c r="E3899" t="str">
        <f>HYPERLINK("https://patents.google.com/patent/US20130288560A1/en")</f>
        <v>https://patents.google.com/patent/US20130288560A1/en</v>
      </c>
    </row>
    <row r="3900" spans="3:5" x14ac:dyDescent="0.25">
      <c r="C3900" t="s">
        <v>6730</v>
      </c>
      <c r="D3900" t="s">
        <v>6731</v>
      </c>
      <c r="E3900" t="str">
        <f>HYPERLINK("https://patents.google.com/patent/US20120246212A1/en")</f>
        <v>https://patents.google.com/patent/US20120246212A1/en</v>
      </c>
    </row>
    <row r="3901" spans="3:5" x14ac:dyDescent="0.25">
      <c r="C3901" t="s">
        <v>6732</v>
      </c>
      <c r="D3901" t="s">
        <v>6733</v>
      </c>
      <c r="E3901" t="str">
        <f>HYPERLINK("https://patents.google.com/patent/CN201214554Y/en")</f>
        <v>https://patents.google.com/patent/CN201214554Y/en</v>
      </c>
    </row>
    <row r="3902" spans="3:5" x14ac:dyDescent="0.25">
      <c r="C3902" t="s">
        <v>6734</v>
      </c>
      <c r="D3902" t="s">
        <v>6735</v>
      </c>
      <c r="E3902" t="str">
        <f>HYPERLINK("https://patents.google.com/patent/US20140304107A1/en")</f>
        <v>https://patents.google.com/patent/US20140304107A1/en</v>
      </c>
    </row>
    <row r="3903" spans="3:5" x14ac:dyDescent="0.25">
      <c r="C3903" t="s">
        <v>6710</v>
      </c>
      <c r="D3903" t="s">
        <v>6736</v>
      </c>
      <c r="E3903" t="str">
        <f>HYPERLINK("https://patents.google.com/patent/US7606634B2/en")</f>
        <v>https://patents.google.com/patent/US7606634B2/en</v>
      </c>
    </row>
    <row r="3904" spans="3:5" x14ac:dyDescent="0.25">
      <c r="C3904" t="s">
        <v>6737</v>
      </c>
      <c r="D3904" t="s">
        <v>6738</v>
      </c>
      <c r="E3904" t="str">
        <f>HYPERLINK("https://patents.google.com/patent/US6286386B1/en")</f>
        <v>https://patents.google.com/patent/US6286386B1/en</v>
      </c>
    </row>
    <row r="3905" spans="3:5" x14ac:dyDescent="0.25">
      <c r="C3905" t="s">
        <v>6739</v>
      </c>
      <c r="D3905" t="s">
        <v>6740</v>
      </c>
      <c r="E3905" t="str">
        <f>HYPERLINK("https://patents.google.com/patent/US20130238129A1/en")</f>
        <v>https://patents.google.com/patent/US20130238129A1/en</v>
      </c>
    </row>
    <row r="3906" spans="3:5" x14ac:dyDescent="0.25">
      <c r="C3906" t="s">
        <v>6741</v>
      </c>
      <c r="D3906" t="s">
        <v>6742</v>
      </c>
      <c r="E3906" t="str">
        <f>HYPERLINK("https://patents.google.com/patent/US20050120965A1/en")</f>
        <v>https://patents.google.com/patent/US20050120965A1/en</v>
      </c>
    </row>
    <row r="3907" spans="3:5" x14ac:dyDescent="0.25">
      <c r="C3907" t="s">
        <v>6422</v>
      </c>
      <c r="D3907" t="s">
        <v>6743</v>
      </c>
      <c r="E3907" t="str">
        <f>HYPERLINK("https://patents.google.com/patent/CN1956692A/en")</f>
        <v>https://patents.google.com/patent/CN1956692A/en</v>
      </c>
    </row>
    <row r="3908" spans="3:5" x14ac:dyDescent="0.25">
      <c r="C3908" t="s">
        <v>6432</v>
      </c>
      <c r="D3908" t="s">
        <v>6744</v>
      </c>
      <c r="E3908" t="str">
        <f>HYPERLINK("https://patents.google.com/patent/WO2013142840A1/en")</f>
        <v>https://patents.google.com/patent/WO2013142840A1/en</v>
      </c>
    </row>
    <row r="3909" spans="3:5" x14ac:dyDescent="0.25">
      <c r="C3909" t="s">
        <v>6745</v>
      </c>
      <c r="D3909" t="s">
        <v>6746</v>
      </c>
      <c r="E3909" t="str">
        <f>HYPERLINK("https://patents.google.com/patent/US20060259597A1/en")</f>
        <v>https://patents.google.com/patent/US20060259597A1/en</v>
      </c>
    </row>
    <row r="3910" spans="3:5" x14ac:dyDescent="0.25">
      <c r="C3910" t="s">
        <v>6747</v>
      </c>
      <c r="D3910" t="s">
        <v>6748</v>
      </c>
      <c r="E3910" t="str">
        <f>HYPERLINK("https://patents.google.com/patent/CN104813378A/en")</f>
        <v>https://patents.google.com/patent/CN104813378A/en</v>
      </c>
    </row>
    <row r="3911" spans="3:5" x14ac:dyDescent="0.25">
      <c r="C3911" t="s">
        <v>6749</v>
      </c>
      <c r="D3911" t="s">
        <v>6750</v>
      </c>
      <c r="E3911" t="str">
        <f>HYPERLINK("https://patents.google.com/patent/US20120039529A1/en")</f>
        <v>https://patents.google.com/patent/US20120039529A1/en</v>
      </c>
    </row>
    <row r="3912" spans="3:5" x14ac:dyDescent="0.25">
      <c r="C3912" t="s">
        <v>6751</v>
      </c>
      <c r="D3912" t="s">
        <v>6752</v>
      </c>
      <c r="E3912" t="str">
        <f>HYPERLINK("https://patents.google.com/patent/US20060161300A1/en")</f>
        <v>https://patents.google.com/patent/US20060161300A1/en</v>
      </c>
    </row>
    <row r="3913" spans="3:5" x14ac:dyDescent="0.25">
      <c r="C3913" t="s">
        <v>6753</v>
      </c>
      <c r="D3913" t="s">
        <v>6754</v>
      </c>
      <c r="E3913" t="str">
        <f>HYPERLINK("https://patents.google.com/patent/US20080209211A1/en")</f>
        <v>https://patents.google.com/patent/US20080209211A1/en</v>
      </c>
    </row>
    <row r="3914" spans="3:5" x14ac:dyDescent="0.25">
      <c r="C3914" t="s">
        <v>6755</v>
      </c>
      <c r="D3914" t="s">
        <v>6756</v>
      </c>
      <c r="E3914" t="str">
        <f>HYPERLINK("https://patents.google.com/patent/US20150052253A1/en")</f>
        <v>https://patents.google.com/patent/US20150052253A1/en</v>
      </c>
    </row>
    <row r="3915" spans="3:5" x14ac:dyDescent="0.25">
      <c r="C3915" t="s">
        <v>6757</v>
      </c>
      <c r="D3915" t="s">
        <v>6758</v>
      </c>
      <c r="E3915" t="str">
        <f>HYPERLINK("https://patents.google.com/patent/US5103739A/en")</f>
        <v>https://patents.google.com/patent/US5103739A/en</v>
      </c>
    </row>
    <row r="3916" spans="3:5" x14ac:dyDescent="0.25">
      <c r="C3916" t="s">
        <v>6759</v>
      </c>
      <c r="D3916" t="s">
        <v>6760</v>
      </c>
      <c r="E3916" t="str">
        <f>HYPERLINK("https://patents.google.com/patent/WO2010118412A1/en")</f>
        <v>https://patents.google.com/patent/WO2010118412A1/en</v>
      </c>
    </row>
    <row r="3917" spans="3:5" x14ac:dyDescent="0.25">
      <c r="C3917" t="s">
        <v>6761</v>
      </c>
      <c r="D3917" t="s">
        <v>6762</v>
      </c>
      <c r="E3917" t="str">
        <f>HYPERLINK("https://patents.google.com/patent/US6636847B1/en")</f>
        <v>https://patents.google.com/patent/US6636847B1/en</v>
      </c>
    </row>
    <row r="3918" spans="3:5" x14ac:dyDescent="0.25">
      <c r="C3918" t="s">
        <v>6763</v>
      </c>
      <c r="D3918" t="s">
        <v>6764</v>
      </c>
      <c r="E3918" t="str">
        <f>HYPERLINK("https://patents.google.com/patent/US20150058931A1/en")</f>
        <v>https://patents.google.com/patent/US20150058931A1/en</v>
      </c>
    </row>
    <row r="3919" spans="3:5" x14ac:dyDescent="0.25">
      <c r="C3919" t="s">
        <v>6296</v>
      </c>
      <c r="D3919" t="s">
        <v>6765</v>
      </c>
      <c r="E3919" t="str">
        <f>HYPERLINK("https://patents.google.com/patent/US20070088553A1/en")</f>
        <v>https://patents.google.com/patent/US20070088553A1/en</v>
      </c>
    </row>
    <row r="3920" spans="3:5" x14ac:dyDescent="0.25">
      <c r="C3920" t="s">
        <v>6766</v>
      </c>
      <c r="D3920" t="s">
        <v>6767</v>
      </c>
      <c r="E3920" t="str">
        <f>HYPERLINK("https://patents.google.com/patent/US20060195409A1/en")</f>
        <v>https://patents.google.com/patent/US20060195409A1/en</v>
      </c>
    </row>
    <row r="3921" spans="3:5" x14ac:dyDescent="0.25">
      <c r="C3921" t="s">
        <v>6768</v>
      </c>
      <c r="D3921" t="s">
        <v>6769</v>
      </c>
      <c r="E3921" t="str">
        <f>HYPERLINK("https://patents.google.com/patent/WO2003058518A2/en")</f>
        <v>https://patents.google.com/patent/WO2003058518A2/en</v>
      </c>
    </row>
    <row r="3922" spans="3:5" x14ac:dyDescent="0.25">
      <c r="C3922" t="s">
        <v>5471</v>
      </c>
      <c r="D3922" t="s">
        <v>6770</v>
      </c>
      <c r="E3922" t="str">
        <f>HYPERLINK("https://patents.google.com/patent/KR20060113930A/en")</f>
        <v>https://patents.google.com/patent/KR20060113930A/en</v>
      </c>
    </row>
    <row r="3923" spans="3:5" x14ac:dyDescent="0.25">
      <c r="C3923" t="s">
        <v>6629</v>
      </c>
      <c r="D3923" t="s">
        <v>6771</v>
      </c>
      <c r="E3923" t="str">
        <f>HYPERLINK("https://patents.google.com/patent/WO2009042965A1/en")</f>
        <v>https://patents.google.com/patent/WO2009042965A1/en</v>
      </c>
    </row>
    <row r="3924" spans="3:5" x14ac:dyDescent="0.25">
      <c r="C3924" t="s">
        <v>6772</v>
      </c>
      <c r="D3924" t="s">
        <v>6773</v>
      </c>
      <c r="E3924" t="str">
        <f>HYPERLINK("https://patents.google.com/patent/CN202703877U/en")</f>
        <v>https://patents.google.com/patent/CN202703877U/en</v>
      </c>
    </row>
    <row r="3925" spans="3:5" x14ac:dyDescent="0.25">
      <c r="C3925" t="s">
        <v>6774</v>
      </c>
      <c r="D3925" t="s">
        <v>6775</v>
      </c>
      <c r="E3925" t="str">
        <f>HYPERLINK("https://patents.google.com/patent/CN202735798U/en")</f>
        <v>https://patents.google.com/patent/CN202735798U/en</v>
      </c>
    </row>
    <row r="3926" spans="3:5" x14ac:dyDescent="0.25">
      <c r="C3926" t="s">
        <v>6776</v>
      </c>
      <c r="D3926" t="s">
        <v>6777</v>
      </c>
      <c r="E3926" t="str">
        <f>HYPERLINK("https://patents.google.com/patent/US20090074252A1/en")</f>
        <v>https://patents.google.com/patent/US20090074252A1/en</v>
      </c>
    </row>
    <row r="3927" spans="3:5" x14ac:dyDescent="0.25">
      <c r="C3927" t="s">
        <v>6778</v>
      </c>
      <c r="D3927" t="s">
        <v>6779</v>
      </c>
      <c r="E3927" t="str">
        <f>HYPERLINK("https://patents.google.com/patent/US20070060445A1/en")</f>
        <v>https://patents.google.com/patent/US20070060445A1/en</v>
      </c>
    </row>
    <row r="3928" spans="3:5" x14ac:dyDescent="0.25">
      <c r="C3928" t="s">
        <v>6780</v>
      </c>
      <c r="D3928" t="s">
        <v>6781</v>
      </c>
      <c r="E3928" t="str">
        <f>HYPERLINK("https://patents.google.com/patent/CN1812868A/en")</f>
        <v>https://patents.google.com/patent/CN1812868A/en</v>
      </c>
    </row>
    <row r="3929" spans="3:5" x14ac:dyDescent="0.25">
      <c r="C3929" t="s">
        <v>6782</v>
      </c>
      <c r="D3929" t="s">
        <v>6783</v>
      </c>
      <c r="E3929" t="str">
        <f>HYPERLINK("https://patents.google.com/patent/JPH10277969A/en")</f>
        <v>https://patents.google.com/patent/JPH10277969A/en</v>
      </c>
    </row>
    <row r="3930" spans="3:5" x14ac:dyDescent="0.25">
      <c r="C3930" t="s">
        <v>5967</v>
      </c>
      <c r="D3930" t="s">
        <v>6784</v>
      </c>
      <c r="E3930" t="str">
        <f>HYPERLINK("https://patents.google.com/patent/JP2001096482A/en")</f>
        <v>https://patents.google.com/patent/JP2001096482A/en</v>
      </c>
    </row>
    <row r="3931" spans="3:5" x14ac:dyDescent="0.25">
      <c r="C3931" t="s">
        <v>6785</v>
      </c>
      <c r="D3931" t="s">
        <v>6786</v>
      </c>
      <c r="E3931" t="str">
        <f>HYPERLINK("https://patents.google.com/patent/US20150012163A1/en")</f>
        <v>https://patents.google.com/patent/US20150012163A1/en</v>
      </c>
    </row>
    <row r="3932" spans="3:5" x14ac:dyDescent="0.25">
      <c r="C3932" t="s">
        <v>6787</v>
      </c>
      <c r="D3932" t="s">
        <v>6788</v>
      </c>
      <c r="E3932" t="str">
        <f>HYPERLINK("https://patents.google.com/patent/CN101443162A/en")</f>
        <v>https://patents.google.com/patent/CN101443162A/en</v>
      </c>
    </row>
    <row r="3933" spans="3:5" x14ac:dyDescent="0.25">
      <c r="C3933" t="s">
        <v>6789</v>
      </c>
      <c r="D3933" t="s">
        <v>6790</v>
      </c>
      <c r="E3933" t="str">
        <f>HYPERLINK("https://patents.google.com/patent/CN1284177A/en")</f>
        <v>https://patents.google.com/patent/CN1284177A/en</v>
      </c>
    </row>
    <row r="3934" spans="3:5" x14ac:dyDescent="0.25">
      <c r="C3934" t="s">
        <v>6454</v>
      </c>
      <c r="D3934" t="s">
        <v>6791</v>
      </c>
      <c r="E3934" t="str">
        <f>HYPERLINK("https://patents.google.com/patent/WO2014063150A2/en")</f>
        <v>https://patents.google.com/patent/WO2014063150A2/en</v>
      </c>
    </row>
    <row r="3935" spans="3:5" x14ac:dyDescent="0.25">
      <c r="C3935" t="s">
        <v>6792</v>
      </c>
      <c r="D3935" t="s">
        <v>6793</v>
      </c>
      <c r="E3935" t="str">
        <f>HYPERLINK("https://patents.google.com/patent/JP2004167666A/en")</f>
        <v>https://patents.google.com/patent/JP2004167666A/en</v>
      </c>
    </row>
    <row r="3936" spans="3:5" x14ac:dyDescent="0.25">
      <c r="C3936" t="s">
        <v>6794</v>
      </c>
      <c r="D3936" t="s">
        <v>6795</v>
      </c>
      <c r="E3936" t="str">
        <f>HYPERLINK("https://patents.google.com/patent/CN1145840A/en")</f>
        <v>https://patents.google.com/patent/CN1145840A/en</v>
      </c>
    </row>
    <row r="3937" spans="3:5" x14ac:dyDescent="0.25">
      <c r="C3937" t="s">
        <v>6796</v>
      </c>
      <c r="D3937" t="s">
        <v>6797</v>
      </c>
      <c r="E3937" t="str">
        <f>HYPERLINK("https://patents.google.com/patent/JP2001138272A/en")</f>
        <v>https://patents.google.com/patent/JP2001138272A/en</v>
      </c>
    </row>
    <row r="3938" spans="3:5" x14ac:dyDescent="0.25">
      <c r="C3938" t="s">
        <v>6739</v>
      </c>
      <c r="D3938" t="s">
        <v>6798</v>
      </c>
      <c r="E3938" t="str">
        <f>HYPERLINK("https://patents.google.com/patent/US20150019013A1/en")</f>
        <v>https://patents.google.com/patent/US20150019013A1/en</v>
      </c>
    </row>
    <row r="3939" spans="3:5" x14ac:dyDescent="0.25">
      <c r="C3939" t="s">
        <v>6799</v>
      </c>
      <c r="D3939" t="s">
        <v>6800</v>
      </c>
      <c r="E3939" t="str">
        <f>HYPERLINK("https://patents.google.com/patent/US20130249948A1/en")</f>
        <v>https://patents.google.com/patent/US20130249948A1/en</v>
      </c>
    </row>
    <row r="3940" spans="3:5" x14ac:dyDescent="0.25">
      <c r="C3940" t="s">
        <v>6801</v>
      </c>
      <c r="D3940" t="s">
        <v>6802</v>
      </c>
      <c r="E3940" t="str">
        <f>HYPERLINK("https://patents.google.com/patent/CN102966038A/en")</f>
        <v>https://patents.google.com/patent/CN102966038A/en</v>
      </c>
    </row>
    <row r="3941" spans="3:5" x14ac:dyDescent="0.25">
      <c r="C3941" t="s">
        <v>6803</v>
      </c>
      <c r="D3941" t="s">
        <v>6804</v>
      </c>
      <c r="E3941" t="str">
        <f>HYPERLINK("https://patents.google.com/patent/CN101369385A/en")</f>
        <v>https://patents.google.com/patent/CN101369385A/en</v>
      </c>
    </row>
    <row r="3942" spans="3:5" x14ac:dyDescent="0.25">
      <c r="C3942" t="s">
        <v>6805</v>
      </c>
      <c r="D3942" t="s">
        <v>6806</v>
      </c>
      <c r="E3942" t="str">
        <f>HYPERLINK("https://patents.google.com/patent/CN103448052A/en")</f>
        <v>https://patents.google.com/patent/CN103448052A/en</v>
      </c>
    </row>
    <row r="3943" spans="3:5" x14ac:dyDescent="0.25">
      <c r="C3943" t="s">
        <v>6807</v>
      </c>
      <c r="D3943" t="s">
        <v>6808</v>
      </c>
      <c r="E3943" t="str">
        <f>HYPERLINK("https://patents.google.com/patent/WO2014138123A1/en")</f>
        <v>https://patents.google.com/patent/WO2014138123A1/en</v>
      </c>
    </row>
    <row r="3944" spans="3:5" x14ac:dyDescent="0.25">
      <c r="C3944" t="s">
        <v>6809</v>
      </c>
      <c r="D3944" t="s">
        <v>6810</v>
      </c>
      <c r="E3944" t="str">
        <f>HYPERLINK("https://patents.google.com/patent/US20110190933A1/en")</f>
        <v>https://patents.google.com/patent/US20110190933A1/en</v>
      </c>
    </row>
    <row r="3945" spans="3:5" x14ac:dyDescent="0.25">
      <c r="C3945" t="s">
        <v>6811</v>
      </c>
      <c r="D3945" t="s">
        <v>6812</v>
      </c>
      <c r="E3945" t="str">
        <f>HYPERLINK("https://patents.google.com/patent/JP2001138273A/en")</f>
        <v>https://patents.google.com/patent/JP2001138273A/en</v>
      </c>
    </row>
    <row r="3946" spans="3:5" x14ac:dyDescent="0.25">
      <c r="C3946" t="s">
        <v>6813</v>
      </c>
      <c r="D3946" t="s">
        <v>6814</v>
      </c>
      <c r="E3946" t="str">
        <f>HYPERLINK("https://patents.google.com/patent/CN101468664A/en")</f>
        <v>https://patents.google.com/patent/CN101468664A/en</v>
      </c>
    </row>
    <row r="3947" spans="3:5" x14ac:dyDescent="0.25">
      <c r="C3947" t="s">
        <v>6815</v>
      </c>
      <c r="D3947" t="s">
        <v>6816</v>
      </c>
      <c r="E3947" t="str">
        <f>HYPERLINK("https://patents.google.com/patent/US20130091551A1/en")</f>
        <v>https://patents.google.com/patent/US20130091551A1/en</v>
      </c>
    </row>
    <row r="3948" spans="3:5" x14ac:dyDescent="0.25">
      <c r="C3948" t="s">
        <v>6817</v>
      </c>
      <c r="D3948" t="s">
        <v>6818</v>
      </c>
      <c r="E3948" t="str">
        <f>HYPERLINK("https://patents.google.com/patent/US20090118863A1/en")</f>
        <v>https://patents.google.com/patent/US20090118863A1/en</v>
      </c>
    </row>
    <row r="3949" spans="3:5" x14ac:dyDescent="0.25">
      <c r="C3949" t="s">
        <v>6819</v>
      </c>
      <c r="D3949" t="s">
        <v>6820</v>
      </c>
      <c r="E3949" t="str">
        <f>HYPERLINK("https://patents.google.com/patent/CN101076061A/en")</f>
        <v>https://patents.google.com/patent/CN101076061A/en</v>
      </c>
    </row>
    <row r="3950" spans="3:5" x14ac:dyDescent="0.25">
      <c r="C3950" t="s">
        <v>6821</v>
      </c>
      <c r="D3950" t="s">
        <v>6822</v>
      </c>
      <c r="E3950" t="str">
        <f>HYPERLINK("https://patents.google.com/patent/CN101076060A/en")</f>
        <v>https://patents.google.com/patent/CN101076060A/en</v>
      </c>
    </row>
    <row r="3951" spans="3:5" x14ac:dyDescent="0.25">
      <c r="C3951" t="s">
        <v>6823</v>
      </c>
      <c r="D3951" t="s">
        <v>6824</v>
      </c>
      <c r="E3951" t="str">
        <f>HYPERLINK("https://patents.google.com/patent/US20100170546A1/en")</f>
        <v>https://patents.google.com/patent/US20100170546A1/en</v>
      </c>
    </row>
    <row r="3952" spans="3:5" x14ac:dyDescent="0.25">
      <c r="C3952" t="s">
        <v>6825</v>
      </c>
      <c r="D3952" t="s">
        <v>6826</v>
      </c>
      <c r="E3952" t="str">
        <f>HYPERLINK("https://patents.google.com/patent/CN101923669A/en")</f>
        <v>https://patents.google.com/patent/CN101923669A/en</v>
      </c>
    </row>
    <row r="3953" spans="3:5" x14ac:dyDescent="0.25">
      <c r="C3953" t="s">
        <v>6827</v>
      </c>
      <c r="D3953" t="s">
        <v>6828</v>
      </c>
      <c r="E3953" t="str">
        <f>HYPERLINK("https://patents.google.com/patent/JPH1086081A/en")</f>
        <v>https://patents.google.com/patent/JPH1086081A/en</v>
      </c>
    </row>
    <row r="3954" spans="3:5" x14ac:dyDescent="0.25">
      <c r="C3954" t="s">
        <v>6829</v>
      </c>
      <c r="D3954" t="s">
        <v>6830</v>
      </c>
      <c r="E3954" t="str">
        <f>HYPERLINK("https://patents.google.com/patent/US20070233280A1/en")</f>
        <v>https://patents.google.com/patent/US20070233280A1/en</v>
      </c>
    </row>
    <row r="3955" spans="3:5" x14ac:dyDescent="0.25">
      <c r="C3955" t="s">
        <v>6831</v>
      </c>
      <c r="D3955" t="s">
        <v>6832</v>
      </c>
      <c r="E3955" t="str">
        <f>HYPERLINK("https://patents.google.com/patent/CN1827312A/en")</f>
        <v>https://patents.google.com/patent/CN1827312A/en</v>
      </c>
    </row>
    <row r="3956" spans="3:5" x14ac:dyDescent="0.25">
      <c r="C3956" t="s">
        <v>6833</v>
      </c>
      <c r="D3956" t="s">
        <v>6834</v>
      </c>
      <c r="E3956" t="str">
        <f>HYPERLINK("https://patents.google.com/patent/US20170272316A1/en")</f>
        <v>https://patents.google.com/patent/US20170272316A1/en</v>
      </c>
    </row>
    <row r="3957" spans="3:5" x14ac:dyDescent="0.25">
      <c r="C3957" t="s">
        <v>6835</v>
      </c>
      <c r="D3957" t="s">
        <v>6836</v>
      </c>
      <c r="E3957" t="str">
        <f>HYPERLINK("https://patents.google.com/patent/US20080046123A1/en")</f>
        <v>https://patents.google.com/patent/US20080046123A1/en</v>
      </c>
    </row>
    <row r="3958" spans="3:5" x14ac:dyDescent="0.25">
      <c r="C3958" t="s">
        <v>6837</v>
      </c>
      <c r="D3958" t="s">
        <v>6838</v>
      </c>
      <c r="E3958" t="str">
        <f>HYPERLINK("https://patents.google.com/patent/US20130226758A1/en")</f>
        <v>https://patents.google.com/patent/US20130226758A1/en</v>
      </c>
    </row>
    <row r="3959" spans="3:5" x14ac:dyDescent="0.25">
      <c r="C3959" t="s">
        <v>6839</v>
      </c>
      <c r="D3959" t="s">
        <v>6840</v>
      </c>
      <c r="E3959" t="str">
        <f>HYPERLINK("https://patents.google.com/patent/WO2004069699A2/en")</f>
        <v>https://patents.google.com/patent/WO2004069699A2/en</v>
      </c>
    </row>
    <row r="3960" spans="3:5" x14ac:dyDescent="0.25">
      <c r="C3960" t="s">
        <v>6374</v>
      </c>
      <c r="D3960" t="s">
        <v>6841</v>
      </c>
      <c r="E3960" t="str">
        <f>HYPERLINK("https://patents.google.com/patent/WO2010022185A1/en")</f>
        <v>https://patents.google.com/patent/WO2010022185A1/en</v>
      </c>
    </row>
    <row r="3961" spans="3:5" x14ac:dyDescent="0.25">
      <c r="C3961" t="s">
        <v>6842</v>
      </c>
      <c r="D3961" t="s">
        <v>6843</v>
      </c>
      <c r="E3961" t="str">
        <f>HYPERLINK("https://patents.google.com/patent/WO2003081447A1/en")</f>
        <v>https://patents.google.com/patent/WO2003081447A1/en</v>
      </c>
    </row>
    <row r="3962" spans="3:5" x14ac:dyDescent="0.25">
      <c r="C3962" t="s">
        <v>6844</v>
      </c>
      <c r="D3962" t="s">
        <v>6845</v>
      </c>
      <c r="E3962" t="str">
        <f>HYPERLINK("https://patents.google.com/patent/CN102662377A/en")</f>
        <v>https://patents.google.com/patent/CN102662377A/en</v>
      </c>
    </row>
    <row r="3963" spans="3:5" x14ac:dyDescent="0.25">
      <c r="C3963" t="s">
        <v>6846</v>
      </c>
      <c r="D3963" t="s">
        <v>6847</v>
      </c>
      <c r="E3963" t="str">
        <f>HYPERLINK("https://patents.google.com/patent/JPH05297937A/en")</f>
        <v>https://patents.google.com/patent/JPH05297937A/en</v>
      </c>
    </row>
    <row r="3964" spans="3:5" x14ac:dyDescent="0.25">
      <c r="C3964" t="s">
        <v>6848</v>
      </c>
      <c r="D3964" t="s">
        <v>6849</v>
      </c>
      <c r="E3964" t="str">
        <f>HYPERLINK("https://patents.google.com/patent/CN101227870A/en")</f>
        <v>https://patents.google.com/patent/CN101227870A/en</v>
      </c>
    </row>
    <row r="3965" spans="3:5" x14ac:dyDescent="0.25">
      <c r="C3965" t="s">
        <v>6850</v>
      </c>
      <c r="D3965" t="s">
        <v>6851</v>
      </c>
      <c r="E3965" t="str">
        <f>HYPERLINK("https://patents.google.com/patent/DE10200002A1/en")</f>
        <v>https://patents.google.com/patent/DE10200002A1/en</v>
      </c>
    </row>
    <row r="3966" spans="3:5" x14ac:dyDescent="0.25">
      <c r="C3966" t="s">
        <v>6852</v>
      </c>
      <c r="D3966" t="s">
        <v>6853</v>
      </c>
      <c r="E3966" t="str">
        <f>HYPERLINK("https://patents.google.com/patent/US20150158392A1/en")</f>
        <v>https://patents.google.com/patent/US20150158392A1/en</v>
      </c>
    </row>
    <row r="3967" spans="3:5" x14ac:dyDescent="0.25">
      <c r="C3967" t="s">
        <v>6763</v>
      </c>
      <c r="D3967" t="s">
        <v>6854</v>
      </c>
      <c r="E3967" t="str">
        <f>HYPERLINK("https://patents.google.com/patent/US20150059003A1/en")</f>
        <v>https://patents.google.com/patent/US20150059003A1/en</v>
      </c>
    </row>
    <row r="3968" spans="3:5" x14ac:dyDescent="0.25">
      <c r="C3968" t="s">
        <v>6855</v>
      </c>
      <c r="D3968" t="s">
        <v>6856</v>
      </c>
      <c r="E3968" t="str">
        <f>HYPERLINK("https://patents.google.com/patent/US20140025236A1/en")</f>
        <v>https://patents.google.com/patent/US20140025236A1/en</v>
      </c>
    </row>
    <row r="3969" spans="3:5" x14ac:dyDescent="0.25">
      <c r="C3969" t="s">
        <v>6569</v>
      </c>
      <c r="D3969" t="s">
        <v>6857</v>
      </c>
      <c r="E3969" t="str">
        <f>HYPERLINK("https://patents.google.com/patent/US20150255994A1/en")</f>
        <v>https://patents.google.com/patent/US20150255994A1/en</v>
      </c>
    </row>
    <row r="3970" spans="3:5" x14ac:dyDescent="0.25">
      <c r="C3970" t="s">
        <v>6858</v>
      </c>
      <c r="D3970" t="s">
        <v>6859</v>
      </c>
      <c r="E3970" t="str">
        <f>HYPERLINK("https://patents.google.com/patent/US7978918B2/en")</f>
        <v>https://patents.google.com/patent/US7978918B2/en</v>
      </c>
    </row>
    <row r="3971" spans="3:5" x14ac:dyDescent="0.25">
      <c r="C3971" t="s">
        <v>6860</v>
      </c>
      <c r="D3971" t="s">
        <v>6861</v>
      </c>
      <c r="E3971" t="str">
        <f>HYPERLINK("https://patents.google.com/patent/KR20090004182A/en")</f>
        <v>https://patents.google.com/patent/KR20090004182A/en</v>
      </c>
    </row>
    <row r="3972" spans="3:5" x14ac:dyDescent="0.25">
      <c r="C3972" t="s">
        <v>6862</v>
      </c>
      <c r="D3972" t="s">
        <v>6863</v>
      </c>
      <c r="E3972" t="str">
        <f>HYPERLINK("https://patents.google.com/patent/CN102614066A/en")</f>
        <v>https://patents.google.com/patent/CN102614066A/en</v>
      </c>
    </row>
    <row r="3973" spans="3:5" x14ac:dyDescent="0.25">
      <c r="C3973" t="s">
        <v>6864</v>
      </c>
      <c r="D3973" t="s">
        <v>6865</v>
      </c>
      <c r="E3973" t="str">
        <f>HYPERLINK("https://patents.google.com/patent/US20160109954A1/en")</f>
        <v>https://patents.google.com/patent/US20160109954A1/en</v>
      </c>
    </row>
    <row r="3974" spans="3:5" x14ac:dyDescent="0.25">
      <c r="C3974" t="s">
        <v>6866</v>
      </c>
      <c r="D3974" t="s">
        <v>6867</v>
      </c>
      <c r="E3974" t="str">
        <f>HYPERLINK("https://patents.google.com/patent/CN1549921A/en")</f>
        <v>https://patents.google.com/patent/CN1549921A/en</v>
      </c>
    </row>
    <row r="3975" spans="3:5" x14ac:dyDescent="0.25">
      <c r="C3975" t="s">
        <v>6868</v>
      </c>
      <c r="D3975" t="s">
        <v>6869</v>
      </c>
      <c r="E3975" t="str">
        <f>HYPERLINK("https://patents.google.com/patent/JP2001322076A/en")</f>
        <v>https://patents.google.com/patent/JP2001322076A/en</v>
      </c>
    </row>
    <row r="3976" spans="3:5" x14ac:dyDescent="0.25">
      <c r="C3976" t="s">
        <v>6870</v>
      </c>
      <c r="D3976" t="s">
        <v>6871</v>
      </c>
      <c r="E3976" t="str">
        <f>HYPERLINK("https://patents.google.com/patent/US20170225336A1/en")</f>
        <v>https://patents.google.com/patent/US20170225336A1/en</v>
      </c>
    </row>
    <row r="3977" spans="3:5" x14ac:dyDescent="0.25">
      <c r="C3977" t="s">
        <v>6872</v>
      </c>
      <c r="D3977" t="s">
        <v>6873</v>
      </c>
      <c r="E3977" t="str">
        <f>HYPERLINK("https://patents.google.com/patent/CN1159380A/en")</f>
        <v>https://patents.google.com/patent/CN1159380A/en</v>
      </c>
    </row>
    <row r="3978" spans="3:5" x14ac:dyDescent="0.25">
      <c r="C3978" t="s">
        <v>6874</v>
      </c>
      <c r="D3978" t="s">
        <v>6875</v>
      </c>
      <c r="E3978" t="str">
        <f>HYPERLINK("https://patents.google.com/patent/CN200974980Y/en")</f>
        <v>https://patents.google.com/patent/CN200974980Y/en</v>
      </c>
    </row>
    <row r="3979" spans="3:5" x14ac:dyDescent="0.25">
      <c r="C3979" t="s">
        <v>6876</v>
      </c>
      <c r="D3979" t="s">
        <v>6877</v>
      </c>
      <c r="E3979" t="str">
        <f>HYPERLINK("https://patents.google.com/patent/US20100185211A1/en")</f>
        <v>https://patents.google.com/patent/US20100185211A1/en</v>
      </c>
    </row>
    <row r="3980" spans="3:5" x14ac:dyDescent="0.25">
      <c r="C3980" t="s">
        <v>6878</v>
      </c>
      <c r="D3980" t="s">
        <v>6879</v>
      </c>
      <c r="E3980" t="str">
        <f>HYPERLINK("https://patents.google.com/patent/JP2012502602A/en")</f>
        <v>https://patents.google.com/patent/JP2012502602A/en</v>
      </c>
    </row>
    <row r="3981" spans="3:5" x14ac:dyDescent="0.25">
      <c r="C3981" t="s">
        <v>6880</v>
      </c>
      <c r="D3981" t="s">
        <v>6881</v>
      </c>
      <c r="E3981" t="str">
        <f>HYPERLINK("https://patents.google.com/patent/US7331094B2/en")</f>
        <v>https://patents.google.com/patent/US7331094B2/en</v>
      </c>
    </row>
    <row r="3982" spans="3:5" x14ac:dyDescent="0.25">
      <c r="C3982" t="s">
        <v>6882</v>
      </c>
      <c r="D3982" t="s">
        <v>6883</v>
      </c>
      <c r="E3982" t="str">
        <f>HYPERLINK("https://patents.google.com/patent/CN101427104A/en")</f>
        <v>https://patents.google.com/patent/CN101427104A/en</v>
      </c>
    </row>
    <row r="3983" spans="3:5" x14ac:dyDescent="0.25">
      <c r="C3983" t="s">
        <v>6884</v>
      </c>
      <c r="D3983" t="s">
        <v>6885</v>
      </c>
      <c r="E3983" t="str">
        <f>HYPERLINK("https://patents.google.com/patent/FR2839443A1/en")</f>
        <v>https://patents.google.com/patent/FR2839443A1/en</v>
      </c>
    </row>
    <row r="3984" spans="3:5" x14ac:dyDescent="0.25">
      <c r="C3984" t="s">
        <v>6886</v>
      </c>
      <c r="D3984" t="s">
        <v>6887</v>
      </c>
      <c r="E3984" t="str">
        <f>HYPERLINK("https://patents.google.com/patent/WO2006056255A2/en")</f>
        <v>https://patents.google.com/patent/WO2006056255A2/en</v>
      </c>
    </row>
    <row r="3985" spans="1:5" x14ac:dyDescent="0.25">
      <c r="C3985" t="s">
        <v>6888</v>
      </c>
      <c r="D3985" t="s">
        <v>6889</v>
      </c>
      <c r="E3985" t="str">
        <f>HYPERLINK("https://patents.google.com/patent/CN203142835U/en")</f>
        <v>https://patents.google.com/patent/CN203142835U/en</v>
      </c>
    </row>
    <row r="3986" spans="1:5" x14ac:dyDescent="0.25">
      <c r="C3986" t="s">
        <v>6890</v>
      </c>
      <c r="D3986" t="s">
        <v>6891</v>
      </c>
      <c r="E3986" t="str">
        <f>HYPERLINK("https://patents.google.com/patent/US20150197010A1/en")</f>
        <v>https://patents.google.com/patent/US20150197010A1/en</v>
      </c>
    </row>
    <row r="3987" spans="1:5" x14ac:dyDescent="0.25">
      <c r="C3987" t="s">
        <v>6892</v>
      </c>
      <c r="D3987" t="s">
        <v>6893</v>
      </c>
      <c r="E3987" t="str">
        <f>HYPERLINK("https://patents.google.com/patent/KR20120064663A/en")</f>
        <v>https://patents.google.com/patent/KR20120064663A/en</v>
      </c>
    </row>
    <row r="3988" spans="1:5" x14ac:dyDescent="0.25">
      <c r="C3988" t="s">
        <v>6894</v>
      </c>
      <c r="D3988" t="s">
        <v>6895</v>
      </c>
      <c r="E3988" t="str">
        <f>HYPERLINK("https://patents.google.com/patent/JP2001145634A/en")</f>
        <v>https://patents.google.com/patent/JP2001145634A/en</v>
      </c>
    </row>
    <row r="3989" spans="1:5" x14ac:dyDescent="0.25">
      <c r="C3989" t="s">
        <v>6896</v>
      </c>
      <c r="D3989" t="s">
        <v>6897</v>
      </c>
      <c r="E3989" t="str">
        <f>HYPERLINK("https://patents.google.com/patent/JP2009527134A/en")</f>
        <v>https://patents.google.com/patent/JP2009527134A/en</v>
      </c>
    </row>
    <row r="3990" spans="1:5" x14ac:dyDescent="0.25">
      <c r="C3990" t="s">
        <v>6898</v>
      </c>
      <c r="D3990" t="s">
        <v>6899</v>
      </c>
      <c r="E3990" t="str">
        <f>HYPERLINK("https://patents.google.com/patent/US20140007756A1/en")</f>
        <v>https://patents.google.com/patent/US20140007756A1/en</v>
      </c>
    </row>
    <row r="3991" spans="1:5" x14ac:dyDescent="0.25">
      <c r="C3991" t="s">
        <v>6900</v>
      </c>
      <c r="D3991" t="s">
        <v>6901</v>
      </c>
      <c r="E3991" t="str">
        <f>HYPERLINK("https://patents.google.com/patent/CN1408065A/en")</f>
        <v>https://patents.google.com/patent/CN1408065A/en</v>
      </c>
    </row>
    <row r="3992" spans="1:5" x14ac:dyDescent="0.25">
      <c r="C3992" t="s">
        <v>6902</v>
      </c>
      <c r="D3992" t="s">
        <v>6903</v>
      </c>
      <c r="E3992" t="str">
        <f>HYPERLINK("https://patents.google.com/patent/JP2007242056A/en")</f>
        <v>https://patents.google.com/patent/JP2007242056A/en</v>
      </c>
    </row>
    <row r="3993" spans="1:5" x14ac:dyDescent="0.25">
      <c r="A3993" t="s">
        <v>986</v>
      </c>
      <c r="B3993">
        <v>744</v>
      </c>
    </row>
    <row r="3994" spans="1:5" x14ac:dyDescent="0.25">
      <c r="C3994" t="s">
        <v>6904</v>
      </c>
      <c r="D3994" t="s">
        <v>6905</v>
      </c>
      <c r="E3994" t="str">
        <f>HYPERLINK("https://patents.google.com/patent/CN101100059A/en")</f>
        <v>https://patents.google.com/patent/CN101100059A/en</v>
      </c>
    </row>
    <row r="3995" spans="1:5" x14ac:dyDescent="0.25">
      <c r="C3995" t="s">
        <v>6906</v>
      </c>
      <c r="D3995" t="s">
        <v>6907</v>
      </c>
      <c r="E3995" t="str">
        <f>HYPERLINK("https://patents.google.com/patent/CN204229226U/en")</f>
        <v>https://patents.google.com/patent/CN204229226U/en</v>
      </c>
    </row>
    <row r="3996" spans="1:5" x14ac:dyDescent="0.25">
      <c r="C3996" t="s">
        <v>4499</v>
      </c>
      <c r="D3996" t="s">
        <v>6908</v>
      </c>
      <c r="E3996" t="str">
        <f>HYPERLINK("https://patents.google.com/patent/USD627377S1/en")</f>
        <v>https://patents.google.com/patent/USD627377S1/en</v>
      </c>
    </row>
    <row r="3997" spans="1:5" x14ac:dyDescent="0.25">
      <c r="C3997" t="s">
        <v>6909</v>
      </c>
      <c r="D3997" t="s">
        <v>6910</v>
      </c>
      <c r="E3997" t="str">
        <f>HYPERLINK("https://patents.google.com/patent/CN202180886U/en")</f>
        <v>https://patents.google.com/patent/CN202180886U/en</v>
      </c>
    </row>
    <row r="3998" spans="1:5" x14ac:dyDescent="0.25">
      <c r="C3998" t="s">
        <v>6911</v>
      </c>
      <c r="D3998" t="s">
        <v>6912</v>
      </c>
      <c r="E3998" t="str">
        <f>HYPERLINK("https://patents.google.com/patent/CN203245872U/en")</f>
        <v>https://patents.google.com/patent/CN203245872U/en</v>
      </c>
    </row>
    <row r="3999" spans="1:5" x14ac:dyDescent="0.25">
      <c r="C3999" t="s">
        <v>6913</v>
      </c>
      <c r="D3999" t="s">
        <v>6914</v>
      </c>
      <c r="E3999" t="str">
        <f>HYPERLINK("https://patents.google.com/patent/CN201249818Y/en")</f>
        <v>https://patents.google.com/patent/CN201249818Y/en</v>
      </c>
    </row>
    <row r="4000" spans="1:5" x14ac:dyDescent="0.25">
      <c r="C4000" t="s">
        <v>6915</v>
      </c>
      <c r="D4000" t="s">
        <v>6916</v>
      </c>
      <c r="E4000" t="str">
        <f>HYPERLINK("https://patents.google.com/patent/CN102358600A/en")</f>
        <v>https://patents.google.com/patent/CN102358600A/en</v>
      </c>
    </row>
    <row r="4001" spans="3:5" x14ac:dyDescent="0.25">
      <c r="C4001" t="s">
        <v>6917</v>
      </c>
      <c r="D4001" t="s">
        <v>6918</v>
      </c>
      <c r="E4001" t="str">
        <f>HYPERLINK("https://patents.google.com/patent/CN102826147A/en")</f>
        <v>https://patents.google.com/patent/CN102826147A/en</v>
      </c>
    </row>
    <row r="4002" spans="3:5" x14ac:dyDescent="0.25">
      <c r="C4002" t="s">
        <v>6919</v>
      </c>
      <c r="D4002" t="s">
        <v>6920</v>
      </c>
      <c r="E4002" t="str">
        <f>HYPERLINK("https://patents.google.com/patent/CN202879697U/en")</f>
        <v>https://patents.google.com/patent/CN202879697U/en</v>
      </c>
    </row>
    <row r="4003" spans="3:5" x14ac:dyDescent="0.25">
      <c r="C4003" t="s">
        <v>6921</v>
      </c>
      <c r="D4003" t="s">
        <v>6922</v>
      </c>
      <c r="E4003" t="str">
        <f>HYPERLINK("https://patents.google.com/patent/CN203612099U/en")</f>
        <v>https://patents.google.com/patent/CN203612099U/en</v>
      </c>
    </row>
    <row r="4004" spans="3:5" x14ac:dyDescent="0.25">
      <c r="C4004" t="s">
        <v>6923</v>
      </c>
      <c r="D4004" t="s">
        <v>6924</v>
      </c>
      <c r="E4004" t="str">
        <f>HYPERLINK("https://patents.google.com/patent/CN202827912U/en")</f>
        <v>https://patents.google.com/patent/CN202827912U/en</v>
      </c>
    </row>
    <row r="4005" spans="3:5" x14ac:dyDescent="0.25">
      <c r="C4005" t="s">
        <v>6925</v>
      </c>
      <c r="D4005" t="s">
        <v>6926</v>
      </c>
      <c r="E4005" t="str">
        <f>HYPERLINK("https://patents.google.com/patent/CN103552635A/en")</f>
        <v>https://patents.google.com/patent/CN103552635A/en</v>
      </c>
    </row>
    <row r="4006" spans="3:5" x14ac:dyDescent="0.25">
      <c r="C4006" t="s">
        <v>6927</v>
      </c>
      <c r="D4006" t="s">
        <v>6928</v>
      </c>
      <c r="E4006" t="str">
        <f>HYPERLINK("https://patents.google.com/patent/CN202827910U/en")</f>
        <v>https://patents.google.com/patent/CN202827910U/en</v>
      </c>
    </row>
    <row r="4007" spans="3:5" x14ac:dyDescent="0.25">
      <c r="C4007" t="s">
        <v>6929</v>
      </c>
      <c r="D4007" t="s">
        <v>6930</v>
      </c>
      <c r="E4007" t="str">
        <f>HYPERLINK("https://patents.google.com/patent/KR101846383B1/en")</f>
        <v>https://patents.google.com/patent/KR101846383B1/en</v>
      </c>
    </row>
    <row r="4008" spans="3:5" x14ac:dyDescent="0.25">
      <c r="C4008" t="s">
        <v>6931</v>
      </c>
      <c r="D4008" t="s">
        <v>6932</v>
      </c>
      <c r="E4008" t="str">
        <f>HYPERLINK("https://patents.google.com/patent/CN102424075A/en")</f>
        <v>https://patents.google.com/patent/CN102424075A/en</v>
      </c>
    </row>
    <row r="4009" spans="3:5" x14ac:dyDescent="0.25">
      <c r="C4009" t="s">
        <v>6933</v>
      </c>
      <c r="D4009" t="s">
        <v>6934</v>
      </c>
      <c r="E4009" t="str">
        <f>HYPERLINK("https://patents.google.com/patent/CN203593099U/en")</f>
        <v>https://patents.google.com/patent/CN203593099U/en</v>
      </c>
    </row>
    <row r="4010" spans="3:5" x14ac:dyDescent="0.25">
      <c r="C4010" t="s">
        <v>6935</v>
      </c>
      <c r="D4010" t="s">
        <v>6936</v>
      </c>
      <c r="E4010" t="str">
        <f>HYPERLINK("https://patents.google.com/patent/CN106041934B/en")</f>
        <v>https://patents.google.com/patent/CN106041934B/en</v>
      </c>
    </row>
    <row r="4011" spans="3:5" x14ac:dyDescent="0.25">
      <c r="C4011" t="s">
        <v>6937</v>
      </c>
      <c r="D4011" t="s">
        <v>6938</v>
      </c>
      <c r="E4011" t="str">
        <f>HYPERLINK("https://patents.google.com/patent/CN207606854U/en")</f>
        <v>https://patents.google.com/patent/CN207606854U/en</v>
      </c>
    </row>
    <row r="4012" spans="3:5" x14ac:dyDescent="0.25">
      <c r="C4012" t="s">
        <v>6939</v>
      </c>
      <c r="D4012" t="s">
        <v>6940</v>
      </c>
      <c r="E4012" t="str">
        <f>HYPERLINK("https://patents.google.com/patent/CN207773294U/en")</f>
        <v>https://patents.google.com/patent/CN207773294U/en</v>
      </c>
    </row>
    <row r="4013" spans="3:5" x14ac:dyDescent="0.25">
      <c r="C4013" t="s">
        <v>6941</v>
      </c>
      <c r="D4013" t="s">
        <v>6942</v>
      </c>
      <c r="E4013" t="str">
        <f>HYPERLINK("https://patents.google.com/patent/CN207790998U/en")</f>
        <v>https://patents.google.com/patent/CN207790998U/en</v>
      </c>
    </row>
    <row r="4014" spans="3:5" x14ac:dyDescent="0.25">
      <c r="C4014" t="s">
        <v>6943</v>
      </c>
      <c r="D4014" t="s">
        <v>6944</v>
      </c>
      <c r="E4014" t="str">
        <f>HYPERLINK("https://patents.google.com/patent/CN106182000B/en")</f>
        <v>https://patents.google.com/patent/CN106182000B/en</v>
      </c>
    </row>
    <row r="4015" spans="3:5" x14ac:dyDescent="0.25">
      <c r="C4015" t="s">
        <v>6945</v>
      </c>
      <c r="D4015" t="s">
        <v>6946</v>
      </c>
      <c r="E4015" t="str">
        <f>HYPERLINK("https://patents.google.com/patent/CN207718226U/en")</f>
        <v>https://patents.google.com/patent/CN207718226U/en</v>
      </c>
    </row>
    <row r="4016" spans="3:5" x14ac:dyDescent="0.25">
      <c r="C4016" t="s">
        <v>6947</v>
      </c>
      <c r="D4016" t="s">
        <v>6948</v>
      </c>
      <c r="E4016" t="str">
        <f>HYPERLINK("https://patents.google.com/patent/CN207614340U/en")</f>
        <v>https://patents.google.com/patent/CN207614340U/en</v>
      </c>
    </row>
    <row r="4017" spans="3:5" x14ac:dyDescent="0.25">
      <c r="C4017" t="s">
        <v>6949</v>
      </c>
      <c r="D4017" t="s">
        <v>6950</v>
      </c>
      <c r="E4017" t="str">
        <f>HYPERLINK("https://patents.google.com/patent/CN203727502U/en")</f>
        <v>https://patents.google.com/patent/CN203727502U/en</v>
      </c>
    </row>
    <row r="4018" spans="3:5" x14ac:dyDescent="0.25">
      <c r="C4018" t="s">
        <v>6951</v>
      </c>
      <c r="D4018" t="s">
        <v>6952</v>
      </c>
      <c r="E4018" t="str">
        <f>HYPERLINK("https://patents.google.com/patent/CN203840044U/en")</f>
        <v>https://patents.google.com/patent/CN203840044U/en</v>
      </c>
    </row>
    <row r="4019" spans="3:5" x14ac:dyDescent="0.25">
      <c r="C4019" t="s">
        <v>6953</v>
      </c>
      <c r="D4019" t="s">
        <v>6954</v>
      </c>
      <c r="E4019" t="str">
        <f>HYPERLINK("https://patents.google.com/patent/CN204249371U/en")</f>
        <v>https://patents.google.com/patent/CN204249371U/en</v>
      </c>
    </row>
    <row r="4020" spans="3:5" x14ac:dyDescent="0.25">
      <c r="C4020" t="s">
        <v>6919</v>
      </c>
      <c r="D4020" t="s">
        <v>6955</v>
      </c>
      <c r="E4020" t="str">
        <f>HYPERLINK("https://patents.google.com/patent/CN103770873A/en")</f>
        <v>https://patents.google.com/patent/CN103770873A/en</v>
      </c>
    </row>
    <row r="4021" spans="3:5" x14ac:dyDescent="0.25">
      <c r="C4021" t="s">
        <v>5945</v>
      </c>
      <c r="D4021" t="s">
        <v>6956</v>
      </c>
      <c r="E4021" t="str">
        <f>HYPERLINK("https://patents.google.com/patent/CN103331747A/en")</f>
        <v>https://patents.google.com/patent/CN103331747A/en</v>
      </c>
    </row>
    <row r="4022" spans="3:5" x14ac:dyDescent="0.25">
      <c r="C4022" t="s">
        <v>6957</v>
      </c>
      <c r="D4022" t="s">
        <v>6958</v>
      </c>
      <c r="E4022" t="str">
        <f>HYPERLINK("https://patents.google.com/patent/CN108481316A/en")</f>
        <v>https://patents.google.com/patent/CN108481316A/en</v>
      </c>
    </row>
    <row r="4023" spans="3:5" x14ac:dyDescent="0.25">
      <c r="C4023" t="s">
        <v>6959</v>
      </c>
      <c r="D4023" t="s">
        <v>6960</v>
      </c>
      <c r="E4023" t="str">
        <f>HYPERLINK("https://patents.google.com/patent/CN108470504A/en")</f>
        <v>https://patents.google.com/patent/CN108470504A/en</v>
      </c>
    </row>
    <row r="4024" spans="3:5" x14ac:dyDescent="0.25">
      <c r="C4024" t="s">
        <v>6961</v>
      </c>
      <c r="D4024" t="s">
        <v>6962</v>
      </c>
      <c r="E4024" t="str">
        <f>HYPERLINK("https://patents.google.com/patent/CN108527396A/en")</f>
        <v>https://patents.google.com/patent/CN108527396A/en</v>
      </c>
    </row>
    <row r="4025" spans="3:5" x14ac:dyDescent="0.25">
      <c r="C4025" t="s">
        <v>6937</v>
      </c>
      <c r="D4025" t="s">
        <v>6963</v>
      </c>
      <c r="E4025" t="str">
        <f>HYPERLINK("https://patents.google.com/patent/CN108356829A/en")</f>
        <v>https://patents.google.com/patent/CN108356829A/en</v>
      </c>
    </row>
    <row r="4026" spans="3:5" x14ac:dyDescent="0.25">
      <c r="C4026" t="s">
        <v>6964</v>
      </c>
      <c r="D4026" t="s">
        <v>6965</v>
      </c>
      <c r="E4026" t="str">
        <f>HYPERLINK("https://patents.google.com/patent/CN207937873U/en")</f>
        <v>https://patents.google.com/patent/CN207937873U/en</v>
      </c>
    </row>
    <row r="4027" spans="3:5" x14ac:dyDescent="0.25">
      <c r="C4027" t="s">
        <v>6966</v>
      </c>
      <c r="D4027" t="s">
        <v>6967</v>
      </c>
      <c r="E4027" t="str">
        <f>HYPERLINK("https://patents.google.com/patent/CN106128179A/en")</f>
        <v>https://patents.google.com/patent/CN106128179A/en</v>
      </c>
    </row>
    <row r="4028" spans="3:5" x14ac:dyDescent="0.25">
      <c r="C4028" t="s">
        <v>6968</v>
      </c>
      <c r="D4028" t="s">
        <v>6969</v>
      </c>
      <c r="E4028" t="str">
        <f>HYPERLINK("https://patents.google.com/patent/CN103612687A/en")</f>
        <v>https://patents.google.com/patent/CN103612687A/en</v>
      </c>
    </row>
    <row r="4029" spans="3:5" x14ac:dyDescent="0.25">
      <c r="C4029" t="s">
        <v>6970</v>
      </c>
      <c r="D4029" t="s">
        <v>6971</v>
      </c>
      <c r="E4029" t="str">
        <f>HYPERLINK("https://patents.google.com/patent/CN104441691A/en")</f>
        <v>https://patents.google.com/patent/CN104441691A/en</v>
      </c>
    </row>
    <row r="4030" spans="3:5" x14ac:dyDescent="0.25">
      <c r="C4030" t="s">
        <v>6972</v>
      </c>
      <c r="D4030" t="s">
        <v>6973</v>
      </c>
      <c r="E4030" t="str">
        <f>HYPERLINK("https://patents.google.com/patent/CN104210594A/en")</f>
        <v>https://patents.google.com/patent/CN104210594A/en</v>
      </c>
    </row>
    <row r="4031" spans="3:5" x14ac:dyDescent="0.25">
      <c r="C4031" t="s">
        <v>6974</v>
      </c>
      <c r="D4031" t="s">
        <v>6975</v>
      </c>
      <c r="E4031" t="str">
        <f>HYPERLINK("https://patents.google.com/patent/CN1103475A/en")</f>
        <v>https://patents.google.com/patent/CN1103475A/en</v>
      </c>
    </row>
    <row r="4032" spans="3:5" x14ac:dyDescent="0.25">
      <c r="C4032" t="s">
        <v>6976</v>
      </c>
      <c r="D4032" t="s">
        <v>6977</v>
      </c>
      <c r="E4032" t="str">
        <f>HYPERLINK("https://patents.google.com/patent/CN105278528A/en")</f>
        <v>https://patents.google.com/patent/CN105278528A/en</v>
      </c>
    </row>
    <row r="4033" spans="3:5" x14ac:dyDescent="0.25">
      <c r="C4033" t="s">
        <v>6978</v>
      </c>
      <c r="D4033" t="s">
        <v>6979</v>
      </c>
      <c r="E4033" t="str">
        <f>HYPERLINK("https://patents.google.com/patent/CN302526052S/en")</f>
        <v>https://patents.google.com/patent/CN302526052S/en</v>
      </c>
    </row>
    <row r="4034" spans="3:5" x14ac:dyDescent="0.25">
      <c r="C4034" t="s">
        <v>6980</v>
      </c>
      <c r="D4034" t="s">
        <v>6981</v>
      </c>
      <c r="E4034" t="str">
        <f>HYPERLINK("https://patents.google.com/patent/CN105759823A/en")</f>
        <v>https://patents.google.com/patent/CN105759823A/en</v>
      </c>
    </row>
    <row r="4035" spans="3:5" x14ac:dyDescent="0.25">
      <c r="C4035" t="s">
        <v>6982</v>
      </c>
      <c r="D4035" t="s">
        <v>6983</v>
      </c>
      <c r="E4035" t="str">
        <f>HYPERLINK("https://patents.google.com/patent/CN102826113A/en")</f>
        <v>https://patents.google.com/patent/CN102826113A/en</v>
      </c>
    </row>
    <row r="4036" spans="3:5" x14ac:dyDescent="0.25">
      <c r="C4036" t="s">
        <v>6984</v>
      </c>
      <c r="D4036" t="s">
        <v>6985</v>
      </c>
      <c r="E4036" t="str">
        <f>HYPERLINK("https://patents.google.com/patent/CN102991730B/en")</f>
        <v>https://patents.google.com/patent/CN102991730B/en</v>
      </c>
    </row>
    <row r="4037" spans="3:5" x14ac:dyDescent="0.25">
      <c r="C4037" t="s">
        <v>6986</v>
      </c>
      <c r="D4037" t="s">
        <v>6987</v>
      </c>
      <c r="E4037" t="str">
        <f>HYPERLINK("https://patents.google.com/patent/CN103817683A/en")</f>
        <v>https://patents.google.com/patent/CN103817683A/en</v>
      </c>
    </row>
    <row r="4038" spans="3:5" x14ac:dyDescent="0.25">
      <c r="C4038" t="s">
        <v>6988</v>
      </c>
      <c r="D4038" t="s">
        <v>6989</v>
      </c>
      <c r="E4038" t="str">
        <f>HYPERLINK("https://patents.google.com/patent/CN101599137A/en")</f>
        <v>https://patents.google.com/patent/CN101599137A/en</v>
      </c>
    </row>
    <row r="4039" spans="3:5" x14ac:dyDescent="0.25">
      <c r="C4039" t="s">
        <v>6990</v>
      </c>
      <c r="D4039" t="s">
        <v>6991</v>
      </c>
      <c r="E4039" t="str">
        <f>HYPERLINK("https://patents.google.com/patent/CN205614646U/en")</f>
        <v>https://patents.google.com/patent/CN205614646U/en</v>
      </c>
    </row>
    <row r="4040" spans="3:5" x14ac:dyDescent="0.25">
      <c r="C4040" t="s">
        <v>6992</v>
      </c>
      <c r="D4040" t="s">
        <v>6993</v>
      </c>
      <c r="E4040" t="str">
        <f>HYPERLINK("https://patents.google.com/patent/CN203191852U/en")</f>
        <v>https://patents.google.com/patent/CN203191852U/en</v>
      </c>
    </row>
    <row r="4041" spans="3:5" x14ac:dyDescent="0.25">
      <c r="C4041" t="s">
        <v>6994</v>
      </c>
      <c r="D4041" t="s">
        <v>6995</v>
      </c>
      <c r="E4041" t="str">
        <f>HYPERLINK("https://patents.google.com/patent/CN201296337Y/en")</f>
        <v>https://patents.google.com/patent/CN201296337Y/en</v>
      </c>
    </row>
    <row r="4042" spans="3:5" x14ac:dyDescent="0.25">
      <c r="C4042" t="s">
        <v>6996</v>
      </c>
      <c r="D4042" t="s">
        <v>6997</v>
      </c>
      <c r="E4042" t="str">
        <f>HYPERLINK("https://patents.google.com/patent/US9759267B2/en")</f>
        <v>https://patents.google.com/patent/US9759267B2/en</v>
      </c>
    </row>
    <row r="4043" spans="3:5" x14ac:dyDescent="0.25">
      <c r="C4043" t="s">
        <v>6998</v>
      </c>
      <c r="D4043" t="s">
        <v>6999</v>
      </c>
      <c r="E4043" t="str">
        <f>HYPERLINK("https://patents.google.com/patent/CN106393108A/en")</f>
        <v>https://patents.google.com/patent/CN106393108A/en</v>
      </c>
    </row>
    <row r="4044" spans="3:5" x14ac:dyDescent="0.25">
      <c r="C4044" t="s">
        <v>7000</v>
      </c>
      <c r="D4044" t="s">
        <v>7001</v>
      </c>
      <c r="E4044" t="str">
        <f>HYPERLINK("https://patents.google.com/patent/CN103257605A/en")</f>
        <v>https://patents.google.com/patent/CN103257605A/en</v>
      </c>
    </row>
    <row r="4045" spans="3:5" x14ac:dyDescent="0.25">
      <c r="C4045" t="s">
        <v>7002</v>
      </c>
      <c r="D4045" t="s">
        <v>7003</v>
      </c>
      <c r="E4045" t="str">
        <f>HYPERLINK("https://patents.google.com/patent/CN205068166U/en")</f>
        <v>https://patents.google.com/patent/CN205068166U/en</v>
      </c>
    </row>
    <row r="4046" spans="3:5" x14ac:dyDescent="0.25">
      <c r="C4046" t="s">
        <v>7004</v>
      </c>
      <c r="D4046" t="s">
        <v>7005</v>
      </c>
      <c r="E4046" t="str">
        <f>HYPERLINK("https://patents.google.com/patent/CN202776646U/en")</f>
        <v>https://patents.google.com/patent/CN202776646U/en</v>
      </c>
    </row>
    <row r="4047" spans="3:5" x14ac:dyDescent="0.25">
      <c r="C4047" t="s">
        <v>7006</v>
      </c>
      <c r="D4047" t="s">
        <v>7007</v>
      </c>
      <c r="E4047" t="str">
        <f>HYPERLINK("https://patents.google.com/patent/CN105083432A/en")</f>
        <v>https://patents.google.com/patent/CN105083432A/en</v>
      </c>
    </row>
    <row r="4048" spans="3:5" x14ac:dyDescent="0.25">
      <c r="C4048" t="s">
        <v>7008</v>
      </c>
      <c r="D4048" t="s">
        <v>7009</v>
      </c>
      <c r="E4048" t="str">
        <f>HYPERLINK("https://patents.google.com/patent/CN206218091U/en")</f>
        <v>https://patents.google.com/patent/CN206218091U/en</v>
      </c>
    </row>
    <row r="4049" spans="3:5" x14ac:dyDescent="0.25">
      <c r="C4049" t="s">
        <v>7010</v>
      </c>
      <c r="D4049" t="s">
        <v>7011</v>
      </c>
      <c r="E4049" t="str">
        <f>HYPERLINK("https://patents.google.com/patent/CN206493338U/en")</f>
        <v>https://patents.google.com/patent/CN206493338U/en</v>
      </c>
    </row>
    <row r="4050" spans="3:5" x14ac:dyDescent="0.25">
      <c r="C4050" t="s">
        <v>7012</v>
      </c>
      <c r="D4050" t="s">
        <v>7013</v>
      </c>
      <c r="E4050" t="str">
        <f>HYPERLINK("https://patents.google.com/patent/CN105619392B/en")</f>
        <v>https://patents.google.com/patent/CN105619392B/en</v>
      </c>
    </row>
    <row r="4051" spans="3:5" x14ac:dyDescent="0.25">
      <c r="C4051" t="s">
        <v>7014</v>
      </c>
      <c r="D4051" t="s">
        <v>7015</v>
      </c>
      <c r="E4051" t="str">
        <f>HYPERLINK("https://patents.google.com/patent/CN205594387U/en")</f>
        <v>https://patents.google.com/patent/CN205594387U/en</v>
      </c>
    </row>
    <row r="4052" spans="3:5" x14ac:dyDescent="0.25">
      <c r="C4052" t="s">
        <v>7016</v>
      </c>
      <c r="D4052" t="s">
        <v>7017</v>
      </c>
      <c r="E4052" t="str">
        <f>HYPERLINK("https://patents.google.com/patent/CN207807784U/en")</f>
        <v>https://patents.google.com/patent/CN207807784U/en</v>
      </c>
    </row>
    <row r="4053" spans="3:5" x14ac:dyDescent="0.25">
      <c r="C4053" t="s">
        <v>7018</v>
      </c>
      <c r="D4053" t="s">
        <v>7019</v>
      </c>
      <c r="E4053" t="str">
        <f>HYPERLINK("https://patents.google.com/patent/US4753128A/en")</f>
        <v>https://patents.google.com/patent/US4753128A/en</v>
      </c>
    </row>
    <row r="4054" spans="3:5" x14ac:dyDescent="0.25">
      <c r="C4054" t="s">
        <v>7020</v>
      </c>
      <c r="D4054" t="s">
        <v>7021</v>
      </c>
      <c r="E4054" t="str">
        <f>HYPERLINK("https://patents.google.com/patent/CN203278721U/en")</f>
        <v>https://patents.google.com/patent/CN203278721U/en</v>
      </c>
    </row>
    <row r="4055" spans="3:5" x14ac:dyDescent="0.25">
      <c r="C4055" t="s">
        <v>7022</v>
      </c>
      <c r="D4055" t="s">
        <v>7023</v>
      </c>
      <c r="E4055" t="str">
        <f>HYPERLINK("https://patents.google.com/patent/CN207290115U/en")</f>
        <v>https://patents.google.com/patent/CN207290115U/en</v>
      </c>
    </row>
    <row r="4056" spans="3:5" x14ac:dyDescent="0.25">
      <c r="C4056" t="s">
        <v>7024</v>
      </c>
      <c r="D4056" t="s">
        <v>7025</v>
      </c>
      <c r="E4056" t="str">
        <f>HYPERLINK("https://patents.google.com/patent/CN206358274U/en")</f>
        <v>https://patents.google.com/patent/CN206358274U/en</v>
      </c>
    </row>
    <row r="4057" spans="3:5" x14ac:dyDescent="0.25">
      <c r="C4057" t="s">
        <v>7026</v>
      </c>
      <c r="D4057" t="s">
        <v>7027</v>
      </c>
      <c r="E4057" t="str">
        <f>HYPERLINK("https://patents.google.com/patent/CN105807689A/en")</f>
        <v>https://patents.google.com/patent/CN105807689A/en</v>
      </c>
    </row>
    <row r="4058" spans="3:5" x14ac:dyDescent="0.25">
      <c r="C4058" t="s">
        <v>7028</v>
      </c>
      <c r="D4058" t="s">
        <v>7029</v>
      </c>
      <c r="E4058" t="str">
        <f>HYPERLINK("https://patents.google.com/patent/CN104097206A/en")</f>
        <v>https://patents.google.com/patent/CN104097206A/en</v>
      </c>
    </row>
    <row r="4059" spans="3:5" x14ac:dyDescent="0.25">
      <c r="C4059" t="s">
        <v>7030</v>
      </c>
      <c r="D4059" t="s">
        <v>7031</v>
      </c>
      <c r="E4059" t="str">
        <f>HYPERLINK("https://patents.google.com/patent/US9604359B1/en")</f>
        <v>https://patents.google.com/patent/US9604359B1/en</v>
      </c>
    </row>
    <row r="4060" spans="3:5" x14ac:dyDescent="0.25">
      <c r="C4060" t="s">
        <v>7032</v>
      </c>
      <c r="D4060" t="s">
        <v>7033</v>
      </c>
      <c r="E4060" t="str">
        <f>HYPERLINK("https://patents.google.com/patent/CN207860351U/en")</f>
        <v>https://patents.google.com/patent/CN207860351U/en</v>
      </c>
    </row>
    <row r="4061" spans="3:5" x14ac:dyDescent="0.25">
      <c r="C4061" t="s">
        <v>7034</v>
      </c>
      <c r="D4061" t="s">
        <v>7035</v>
      </c>
      <c r="E4061" t="str">
        <f>HYPERLINK("https://patents.google.com/patent/US20180289577A1/en")</f>
        <v>https://patents.google.com/patent/US20180289577A1/en</v>
      </c>
    </row>
    <row r="4062" spans="3:5" x14ac:dyDescent="0.25">
      <c r="C4062" t="s">
        <v>7036</v>
      </c>
      <c r="D4062" t="s">
        <v>7037</v>
      </c>
      <c r="E4062" t="str">
        <f>HYPERLINK("https://patents.google.com/patent/CN107757795A/en")</f>
        <v>https://patents.google.com/patent/CN107757795A/en</v>
      </c>
    </row>
    <row r="4063" spans="3:5" x14ac:dyDescent="0.25">
      <c r="C4063" t="s">
        <v>7038</v>
      </c>
      <c r="D4063" t="s">
        <v>7039</v>
      </c>
      <c r="E4063" t="str">
        <f>HYPERLINK("https://patents.google.com/patent/CN203665545U/en")</f>
        <v>https://patents.google.com/patent/CN203665545U/en</v>
      </c>
    </row>
    <row r="4064" spans="3:5" x14ac:dyDescent="0.25">
      <c r="C4064" t="s">
        <v>7040</v>
      </c>
      <c r="D4064" t="s">
        <v>7041</v>
      </c>
      <c r="E4064" t="str">
        <f>HYPERLINK("https://patents.google.com/patent/EP3244862A2/en")</f>
        <v>https://patents.google.com/patent/EP3244862A2/en</v>
      </c>
    </row>
    <row r="4065" spans="3:5" x14ac:dyDescent="0.25">
      <c r="C4065" t="s">
        <v>7042</v>
      </c>
      <c r="D4065" t="s">
        <v>7043</v>
      </c>
      <c r="E4065" t="str">
        <f>HYPERLINK("https://patents.google.com/patent/CN105730544A/en")</f>
        <v>https://patents.google.com/patent/CN105730544A/en</v>
      </c>
    </row>
    <row r="4066" spans="3:5" x14ac:dyDescent="0.25">
      <c r="C4066" t="s">
        <v>6986</v>
      </c>
      <c r="D4066" t="s">
        <v>7044</v>
      </c>
      <c r="E4066" t="str">
        <f>HYPERLINK("https://patents.google.com/patent/CN103802904A/en")</f>
        <v>https://patents.google.com/patent/CN103802904A/en</v>
      </c>
    </row>
    <row r="4067" spans="3:5" x14ac:dyDescent="0.25">
      <c r="C4067" t="s">
        <v>7045</v>
      </c>
      <c r="D4067" t="s">
        <v>7046</v>
      </c>
      <c r="E4067" t="str">
        <f>HYPERLINK("https://patents.google.com/patent/CN206741309U/en")</f>
        <v>https://patents.google.com/patent/CN206741309U/en</v>
      </c>
    </row>
    <row r="4068" spans="3:5" x14ac:dyDescent="0.25">
      <c r="C4068" t="s">
        <v>7047</v>
      </c>
      <c r="D4068" t="s">
        <v>7048</v>
      </c>
      <c r="E4068" t="str">
        <f>HYPERLINK("https://patents.google.com/patent/CN207402779U/en")</f>
        <v>https://patents.google.com/patent/CN207402779U/en</v>
      </c>
    </row>
    <row r="4069" spans="3:5" x14ac:dyDescent="0.25">
      <c r="C4069" t="s">
        <v>7049</v>
      </c>
      <c r="D4069" t="s">
        <v>7050</v>
      </c>
      <c r="E4069" t="str">
        <f>HYPERLINK("https://patents.google.com/patent/CN205168691U/en")</f>
        <v>https://patents.google.com/patent/CN205168691U/en</v>
      </c>
    </row>
    <row r="4070" spans="3:5" x14ac:dyDescent="0.25">
      <c r="C4070" t="s">
        <v>7051</v>
      </c>
      <c r="D4070" t="s">
        <v>7052</v>
      </c>
      <c r="E4070" t="str">
        <f>HYPERLINK("https://patents.google.com/patent/CN206456475U/en")</f>
        <v>https://patents.google.com/patent/CN206456475U/en</v>
      </c>
    </row>
    <row r="4071" spans="3:5" x14ac:dyDescent="0.25">
      <c r="C4071" t="s">
        <v>7053</v>
      </c>
      <c r="D4071" t="s">
        <v>7054</v>
      </c>
      <c r="E4071" t="str">
        <f>HYPERLINK("https://patents.google.com/patent/CN205844788U/en")</f>
        <v>https://patents.google.com/patent/CN205844788U/en</v>
      </c>
    </row>
    <row r="4072" spans="3:5" x14ac:dyDescent="0.25">
      <c r="C4072" t="s">
        <v>7055</v>
      </c>
      <c r="D4072" t="s">
        <v>7056</v>
      </c>
      <c r="E4072" t="str">
        <f>HYPERLINK("https://patents.google.com/patent/CN204846210U/en")</f>
        <v>https://patents.google.com/patent/CN204846210U/en</v>
      </c>
    </row>
    <row r="4073" spans="3:5" x14ac:dyDescent="0.25">
      <c r="C4073" t="s">
        <v>7057</v>
      </c>
      <c r="D4073" t="s">
        <v>7058</v>
      </c>
      <c r="E4073" t="str">
        <f>HYPERLINK("https://patents.google.com/patent/CN205440667U/en")</f>
        <v>https://patents.google.com/patent/CN205440667U/en</v>
      </c>
    </row>
    <row r="4074" spans="3:5" x14ac:dyDescent="0.25">
      <c r="C4074" t="s">
        <v>7059</v>
      </c>
      <c r="D4074" t="s">
        <v>7060</v>
      </c>
      <c r="E4074" t="str">
        <f>HYPERLINK("https://patents.google.com/patent/CN207737423U/en")</f>
        <v>https://patents.google.com/patent/CN207737423U/en</v>
      </c>
    </row>
    <row r="4075" spans="3:5" x14ac:dyDescent="0.25">
      <c r="C4075" t="s">
        <v>7061</v>
      </c>
      <c r="D4075" t="s">
        <v>7062</v>
      </c>
      <c r="E4075" t="str">
        <f>HYPERLINK("https://patents.google.com/patent/CN106828724A/en")</f>
        <v>https://patents.google.com/patent/CN106828724A/en</v>
      </c>
    </row>
    <row r="4076" spans="3:5" x14ac:dyDescent="0.25">
      <c r="C4076" t="s">
        <v>7063</v>
      </c>
      <c r="D4076" t="s">
        <v>7064</v>
      </c>
      <c r="E4076" t="str">
        <f>HYPERLINK("https://patents.google.com/patent/CN105947011A/en")</f>
        <v>https://patents.google.com/patent/CN105947011A/en</v>
      </c>
    </row>
    <row r="4077" spans="3:5" x14ac:dyDescent="0.25">
      <c r="C4077" t="s">
        <v>7065</v>
      </c>
      <c r="D4077" t="s">
        <v>7066</v>
      </c>
      <c r="E4077" t="str">
        <f>HYPERLINK("https://patents.google.com/patent/USD626578S1/en")</f>
        <v>https://patents.google.com/patent/USD626578S1/en</v>
      </c>
    </row>
    <row r="4078" spans="3:5" x14ac:dyDescent="0.25">
      <c r="C4078" t="s">
        <v>7067</v>
      </c>
      <c r="D4078" t="s">
        <v>7068</v>
      </c>
      <c r="E4078" t="str">
        <f>HYPERLINK("https://patents.google.com/patent/CN102764166B/en")</f>
        <v>https://patents.google.com/patent/CN102764166B/en</v>
      </c>
    </row>
    <row r="4079" spans="3:5" x14ac:dyDescent="0.25">
      <c r="C4079" t="s">
        <v>7069</v>
      </c>
      <c r="D4079" t="s">
        <v>7070</v>
      </c>
      <c r="E4079" t="str">
        <f>HYPERLINK("https://patents.google.com/patent/CN202825841U/en")</f>
        <v>https://patents.google.com/patent/CN202825841U/en</v>
      </c>
    </row>
    <row r="4080" spans="3:5" x14ac:dyDescent="0.25">
      <c r="C4080" t="s">
        <v>7071</v>
      </c>
      <c r="D4080" t="s">
        <v>7072</v>
      </c>
      <c r="E4080" t="str">
        <f>HYPERLINK("https://patents.google.com/patent/CN107340778A/en")</f>
        <v>https://patents.google.com/patent/CN107340778A/en</v>
      </c>
    </row>
    <row r="4081" spans="3:5" x14ac:dyDescent="0.25">
      <c r="C4081" t="s">
        <v>7073</v>
      </c>
      <c r="D4081" t="s">
        <v>7074</v>
      </c>
      <c r="E4081" t="str">
        <f>HYPERLINK("https://patents.google.com/patent/US8099189B2/en")</f>
        <v>https://patents.google.com/patent/US8099189B2/en</v>
      </c>
    </row>
    <row r="4082" spans="3:5" x14ac:dyDescent="0.25">
      <c r="C4082" t="s">
        <v>7075</v>
      </c>
      <c r="D4082" t="s">
        <v>7076</v>
      </c>
      <c r="E4082" t="str">
        <f>HYPERLINK("https://patents.google.com/patent/CN108062104A/en")</f>
        <v>https://patents.google.com/patent/CN108062104A/en</v>
      </c>
    </row>
    <row r="4083" spans="3:5" x14ac:dyDescent="0.25">
      <c r="C4083" t="s">
        <v>7077</v>
      </c>
      <c r="D4083" t="s">
        <v>7078</v>
      </c>
      <c r="E4083" t="str">
        <f>HYPERLINK("https://patents.google.com/patent/CN102707717A/en")</f>
        <v>https://patents.google.com/patent/CN102707717A/en</v>
      </c>
    </row>
    <row r="4084" spans="3:5" x14ac:dyDescent="0.25">
      <c r="C4084" t="s">
        <v>7079</v>
      </c>
      <c r="D4084" t="s">
        <v>7080</v>
      </c>
      <c r="E4084" t="str">
        <f>HYPERLINK("https://patents.google.com/patent/CN103600795A/en")</f>
        <v>https://patents.google.com/patent/CN103600795A/en</v>
      </c>
    </row>
    <row r="4085" spans="3:5" x14ac:dyDescent="0.25">
      <c r="C4085" t="s">
        <v>7081</v>
      </c>
      <c r="D4085" t="s">
        <v>7082</v>
      </c>
      <c r="E4085" t="str">
        <f>HYPERLINK("https://patents.google.com/patent/CN207670570U/en")</f>
        <v>https://patents.google.com/patent/CN207670570U/en</v>
      </c>
    </row>
    <row r="4086" spans="3:5" x14ac:dyDescent="0.25">
      <c r="C4086" t="s">
        <v>6110</v>
      </c>
      <c r="D4086" t="s">
        <v>7083</v>
      </c>
      <c r="E4086" t="str">
        <f>HYPERLINK("https://patents.google.com/patent/CN101140515A/en")</f>
        <v>https://patents.google.com/patent/CN101140515A/en</v>
      </c>
    </row>
    <row r="4087" spans="3:5" x14ac:dyDescent="0.25">
      <c r="C4087" t="s">
        <v>7084</v>
      </c>
      <c r="D4087" t="s">
        <v>7085</v>
      </c>
      <c r="E4087" t="str">
        <f>HYPERLINK("https://patents.google.com/patent/CN106154869A/en")</f>
        <v>https://patents.google.com/patent/CN106154869A/en</v>
      </c>
    </row>
    <row r="4088" spans="3:5" x14ac:dyDescent="0.25">
      <c r="C4088" t="s">
        <v>7086</v>
      </c>
      <c r="D4088" t="s">
        <v>7087</v>
      </c>
      <c r="E4088" t="str">
        <f>HYPERLINK("https://patents.google.com/patent/CN106444798A/en")</f>
        <v>https://patents.google.com/patent/CN106444798A/en</v>
      </c>
    </row>
    <row r="4089" spans="3:5" x14ac:dyDescent="0.25">
      <c r="C4089" t="s">
        <v>7088</v>
      </c>
      <c r="D4089" t="s">
        <v>7089</v>
      </c>
      <c r="E4089" t="str">
        <f>HYPERLINK("https://patents.google.com/patent/CN105691482A/en")</f>
        <v>https://patents.google.com/patent/CN105691482A/en</v>
      </c>
    </row>
    <row r="4090" spans="3:5" x14ac:dyDescent="0.25">
      <c r="C4090" t="s">
        <v>7090</v>
      </c>
      <c r="D4090" t="s">
        <v>7091</v>
      </c>
      <c r="E4090" t="str">
        <f>HYPERLINK("https://patents.google.com/patent/CN206914529U/en")</f>
        <v>https://patents.google.com/patent/CN206914529U/en</v>
      </c>
    </row>
    <row r="4091" spans="3:5" x14ac:dyDescent="0.25">
      <c r="C4091" t="s">
        <v>7092</v>
      </c>
      <c r="D4091" t="s">
        <v>7093</v>
      </c>
      <c r="E4091" t="str">
        <f>HYPERLINK("https://patents.google.com/patent/CN205166931U/en")</f>
        <v>https://patents.google.com/patent/CN205166931U/en</v>
      </c>
    </row>
    <row r="4092" spans="3:5" x14ac:dyDescent="0.25">
      <c r="C4092" t="s">
        <v>7094</v>
      </c>
      <c r="D4092" t="s">
        <v>7095</v>
      </c>
      <c r="E4092" t="str">
        <f>HYPERLINK("https://patents.google.com/patent/CN103264763A/en")</f>
        <v>https://patents.google.com/patent/CN103264763A/en</v>
      </c>
    </row>
    <row r="4093" spans="3:5" x14ac:dyDescent="0.25">
      <c r="C4093" t="s">
        <v>7096</v>
      </c>
      <c r="D4093" t="s">
        <v>7097</v>
      </c>
      <c r="E4093" t="str">
        <f>HYPERLINK("https://patents.google.com/patent/CN102853759A/en")</f>
        <v>https://patents.google.com/patent/CN102853759A/en</v>
      </c>
    </row>
    <row r="4094" spans="3:5" x14ac:dyDescent="0.25">
      <c r="C4094" t="s">
        <v>7098</v>
      </c>
      <c r="D4094" t="s">
        <v>7099</v>
      </c>
      <c r="E4094" t="str">
        <f>HYPERLINK("https://patents.google.com/patent/CN205087089U/en")</f>
        <v>https://patents.google.com/patent/CN205087089U/en</v>
      </c>
    </row>
    <row r="4095" spans="3:5" x14ac:dyDescent="0.25">
      <c r="C4095" t="s">
        <v>7100</v>
      </c>
      <c r="D4095" t="s">
        <v>7101</v>
      </c>
      <c r="E4095" t="str">
        <f>HYPERLINK("https://patents.google.com/patent/CN206048258U/en")</f>
        <v>https://patents.google.com/patent/CN206048258U/en</v>
      </c>
    </row>
    <row r="4096" spans="3:5" x14ac:dyDescent="0.25">
      <c r="C4096" t="s">
        <v>7102</v>
      </c>
      <c r="D4096" t="s">
        <v>7103</v>
      </c>
      <c r="E4096" t="str">
        <f>HYPERLINK("https://patents.google.com/patent/FR2781709A1/en")</f>
        <v>https://patents.google.com/patent/FR2781709A1/en</v>
      </c>
    </row>
    <row r="4097" spans="3:5" x14ac:dyDescent="0.25">
      <c r="C4097" t="s">
        <v>7104</v>
      </c>
      <c r="D4097" t="s">
        <v>7105</v>
      </c>
      <c r="E4097" t="str">
        <f>HYPERLINK("https://patents.google.com/patent/CN101513911A/en")</f>
        <v>https://patents.google.com/patent/CN101513911A/en</v>
      </c>
    </row>
    <row r="4098" spans="3:5" x14ac:dyDescent="0.25">
      <c r="C4098" t="s">
        <v>7106</v>
      </c>
      <c r="D4098" t="s">
        <v>7107</v>
      </c>
      <c r="E4098" t="str">
        <f>HYPERLINK("https://patents.google.com/patent/CN105235774B/en")</f>
        <v>https://patents.google.com/patent/CN105235774B/en</v>
      </c>
    </row>
    <row r="4099" spans="3:5" x14ac:dyDescent="0.25">
      <c r="C4099" t="s">
        <v>7108</v>
      </c>
      <c r="D4099" t="s">
        <v>7109</v>
      </c>
      <c r="E4099" t="str">
        <f>HYPERLINK("https://patents.google.com/patent/KR20120116046A/en")</f>
        <v>https://patents.google.com/patent/KR20120116046A/en</v>
      </c>
    </row>
    <row r="4100" spans="3:5" x14ac:dyDescent="0.25">
      <c r="C4100" t="s">
        <v>6072</v>
      </c>
      <c r="D4100" t="s">
        <v>7110</v>
      </c>
      <c r="E4100" t="str">
        <f>HYPERLINK("https://patents.google.com/patent/CN205969039U/en")</f>
        <v>https://patents.google.com/patent/CN205969039U/en</v>
      </c>
    </row>
    <row r="4101" spans="3:5" x14ac:dyDescent="0.25">
      <c r="C4101" t="s">
        <v>7111</v>
      </c>
      <c r="D4101" t="s">
        <v>7112</v>
      </c>
      <c r="E4101" t="str">
        <f>HYPERLINK("https://patents.google.com/patent/CN105234935B/en")</f>
        <v>https://patents.google.com/patent/CN105234935B/en</v>
      </c>
    </row>
    <row r="4102" spans="3:5" x14ac:dyDescent="0.25">
      <c r="C4102" t="s">
        <v>7113</v>
      </c>
      <c r="D4102" t="s">
        <v>7114</v>
      </c>
      <c r="E4102" t="str">
        <f>HYPERLINK("https://patents.google.com/patent/CN106374394A/en")</f>
        <v>https://patents.google.com/patent/CN106374394A/en</v>
      </c>
    </row>
    <row r="4103" spans="3:5" x14ac:dyDescent="0.25">
      <c r="C4103" t="s">
        <v>7115</v>
      </c>
      <c r="D4103" t="s">
        <v>7116</v>
      </c>
      <c r="E4103" t="str">
        <f>HYPERLINK("https://patents.google.com/patent/CN104493049A/en")</f>
        <v>https://patents.google.com/patent/CN104493049A/en</v>
      </c>
    </row>
    <row r="4104" spans="3:5" x14ac:dyDescent="0.25">
      <c r="C4104" t="s">
        <v>7117</v>
      </c>
      <c r="D4104" t="s">
        <v>7118</v>
      </c>
      <c r="E4104" t="str">
        <f>HYPERLINK("https://patents.google.com/patent/CN108571220A/en")</f>
        <v>https://patents.google.com/patent/CN108571220A/en</v>
      </c>
    </row>
    <row r="4105" spans="3:5" x14ac:dyDescent="0.25">
      <c r="C4105" t="s">
        <v>7119</v>
      </c>
      <c r="D4105" t="s">
        <v>7120</v>
      </c>
      <c r="E4105" t="str">
        <f>HYPERLINK("https://patents.google.com/patent/CN203888925U/en")</f>
        <v>https://patents.google.com/patent/CN203888925U/en</v>
      </c>
    </row>
    <row r="4106" spans="3:5" x14ac:dyDescent="0.25">
      <c r="C4106" t="s">
        <v>7121</v>
      </c>
      <c r="D4106" t="s">
        <v>7122</v>
      </c>
      <c r="E4106" t="str">
        <f>HYPERLINK("https://patents.google.com/patent/CN104670359A/en")</f>
        <v>https://patents.google.com/patent/CN104670359A/en</v>
      </c>
    </row>
    <row r="4107" spans="3:5" x14ac:dyDescent="0.25">
      <c r="C4107" t="s">
        <v>7123</v>
      </c>
      <c r="D4107" t="s">
        <v>7124</v>
      </c>
      <c r="E4107" t="str">
        <f>HYPERLINK("https://patents.google.com/patent/CN103170976B/en")</f>
        <v>https://patents.google.com/patent/CN103170976B/en</v>
      </c>
    </row>
    <row r="4108" spans="3:5" x14ac:dyDescent="0.25">
      <c r="C4108" t="s">
        <v>7125</v>
      </c>
      <c r="D4108" t="s">
        <v>7126</v>
      </c>
      <c r="E4108" t="str">
        <f>HYPERLINK("https://patents.google.com/patent/CN206780416U/en")</f>
        <v>https://patents.google.com/patent/CN206780416U/en</v>
      </c>
    </row>
    <row r="4109" spans="3:5" x14ac:dyDescent="0.25">
      <c r="C4109" t="s">
        <v>7127</v>
      </c>
      <c r="D4109" t="s">
        <v>7128</v>
      </c>
      <c r="E4109" t="str">
        <f>HYPERLINK("https://patents.google.com/patent/CN1472044A/en")</f>
        <v>https://patents.google.com/patent/CN1472044A/en</v>
      </c>
    </row>
    <row r="4110" spans="3:5" x14ac:dyDescent="0.25">
      <c r="C4110" t="s">
        <v>7129</v>
      </c>
      <c r="D4110" t="s">
        <v>7130</v>
      </c>
      <c r="E4110" t="str">
        <f>HYPERLINK("https://patents.google.com/patent/WO2012160400A1/en")</f>
        <v>https://patents.google.com/patent/WO2012160400A1/en</v>
      </c>
    </row>
    <row r="4111" spans="3:5" x14ac:dyDescent="0.25">
      <c r="C4111" t="s">
        <v>7131</v>
      </c>
      <c r="D4111" t="s">
        <v>7132</v>
      </c>
      <c r="E4111" t="str">
        <f>HYPERLINK("https://patents.google.com/patent/CN207736292U/en")</f>
        <v>https://patents.google.com/patent/CN207736292U/en</v>
      </c>
    </row>
    <row r="4112" spans="3:5" x14ac:dyDescent="0.25">
      <c r="C4112" t="s">
        <v>7133</v>
      </c>
      <c r="D4112" t="s">
        <v>7134</v>
      </c>
      <c r="E4112" t="str">
        <f>HYPERLINK("https://patents.google.com/patent/CN103010360A/en")</f>
        <v>https://patents.google.com/patent/CN103010360A/en</v>
      </c>
    </row>
    <row r="4113" spans="3:5" x14ac:dyDescent="0.25">
      <c r="C4113" t="s">
        <v>7135</v>
      </c>
      <c r="D4113" t="s">
        <v>7136</v>
      </c>
      <c r="E4113" t="str">
        <f>HYPERLINK("https://patents.google.com/patent/CN207747033U/en")</f>
        <v>https://patents.google.com/patent/CN207747033U/en</v>
      </c>
    </row>
    <row r="4114" spans="3:5" x14ac:dyDescent="0.25">
      <c r="C4114" t="s">
        <v>7137</v>
      </c>
      <c r="D4114" t="s">
        <v>7138</v>
      </c>
      <c r="E4114" t="str">
        <f>HYPERLINK("https://patents.google.com/patent/CN202181177U/en")</f>
        <v>https://patents.google.com/patent/CN202181177U/en</v>
      </c>
    </row>
    <row r="4115" spans="3:5" x14ac:dyDescent="0.25">
      <c r="C4115" t="s">
        <v>7139</v>
      </c>
      <c r="D4115" t="s">
        <v>7140</v>
      </c>
      <c r="E4115" t="str">
        <f>HYPERLINK("https://patents.google.com/patent/JP2004314216A/en")</f>
        <v>https://patents.google.com/patent/JP2004314216A/en</v>
      </c>
    </row>
    <row r="4116" spans="3:5" x14ac:dyDescent="0.25">
      <c r="C4116" t="s">
        <v>7141</v>
      </c>
      <c r="D4116" t="s">
        <v>7142</v>
      </c>
      <c r="E4116" t="str">
        <f>HYPERLINK("https://patents.google.com/patent/CN203901299U/en")</f>
        <v>https://patents.google.com/patent/CN203901299U/en</v>
      </c>
    </row>
    <row r="4117" spans="3:5" x14ac:dyDescent="0.25">
      <c r="C4117" t="s">
        <v>7143</v>
      </c>
      <c r="D4117" t="s">
        <v>7144</v>
      </c>
      <c r="E4117" t="str">
        <f>HYPERLINK("https://patents.google.com/patent/CN105402417A/en")</f>
        <v>https://patents.google.com/patent/CN105402417A/en</v>
      </c>
    </row>
    <row r="4118" spans="3:5" x14ac:dyDescent="0.25">
      <c r="C4118" t="s">
        <v>7145</v>
      </c>
      <c r="D4118" t="s">
        <v>7146</v>
      </c>
      <c r="E4118" t="str">
        <f>HYPERLINK("https://patents.google.com/patent/CN104608859A/en")</f>
        <v>https://patents.google.com/patent/CN104608859A/en</v>
      </c>
    </row>
    <row r="4119" spans="3:5" x14ac:dyDescent="0.25">
      <c r="C4119" t="s">
        <v>7147</v>
      </c>
      <c r="D4119" t="s">
        <v>7148</v>
      </c>
      <c r="E4119" t="str">
        <f>HYPERLINK("https://patents.google.com/patent/CN103162738A/en")</f>
        <v>https://patents.google.com/patent/CN103162738A/en</v>
      </c>
    </row>
    <row r="4120" spans="3:5" x14ac:dyDescent="0.25">
      <c r="C4120" t="s">
        <v>7149</v>
      </c>
      <c r="D4120" t="s">
        <v>7150</v>
      </c>
      <c r="E4120" t="str">
        <f>HYPERLINK("https://patents.google.com/patent/CN201914376U/en")</f>
        <v>https://patents.google.com/patent/CN201914376U/en</v>
      </c>
    </row>
    <row r="4121" spans="3:5" x14ac:dyDescent="0.25">
      <c r="C4121" t="s">
        <v>7151</v>
      </c>
      <c r="D4121" t="s">
        <v>7152</v>
      </c>
      <c r="E4121" t="str">
        <f>HYPERLINK("https://patents.google.com/patent/CN207240224U/en")</f>
        <v>https://patents.google.com/patent/CN207240224U/en</v>
      </c>
    </row>
    <row r="4122" spans="3:5" x14ac:dyDescent="0.25">
      <c r="C4122" t="s">
        <v>7153</v>
      </c>
      <c r="D4122" t="s">
        <v>7154</v>
      </c>
      <c r="E4122" t="str">
        <f>HYPERLINK("https://patents.google.com/patent/CN204953167U/en")</f>
        <v>https://patents.google.com/patent/CN204953167U/en</v>
      </c>
    </row>
    <row r="4123" spans="3:5" x14ac:dyDescent="0.25">
      <c r="C4123" t="s">
        <v>7155</v>
      </c>
      <c r="D4123" t="s">
        <v>7156</v>
      </c>
      <c r="E4123" t="str">
        <f>HYPERLINK("https://patents.google.com/patent/CN203740058U/en")</f>
        <v>https://patents.google.com/patent/CN203740058U/en</v>
      </c>
    </row>
    <row r="4124" spans="3:5" x14ac:dyDescent="0.25">
      <c r="C4124" t="s">
        <v>7157</v>
      </c>
      <c r="D4124" t="s">
        <v>7158</v>
      </c>
      <c r="E4124" t="str">
        <f>HYPERLINK("https://patents.google.com/patent/CN102849156A/en")</f>
        <v>https://patents.google.com/patent/CN102849156A/en</v>
      </c>
    </row>
    <row r="4125" spans="3:5" x14ac:dyDescent="0.25">
      <c r="C4125" t="s">
        <v>7159</v>
      </c>
      <c r="D4125" t="s">
        <v>7160</v>
      </c>
      <c r="E4125" t="str">
        <f>HYPERLINK("https://patents.google.com/patent/CN203714124U/en")</f>
        <v>https://patents.google.com/patent/CN203714124U/en</v>
      </c>
    </row>
    <row r="4126" spans="3:5" x14ac:dyDescent="0.25">
      <c r="C4126" t="s">
        <v>7161</v>
      </c>
      <c r="D4126" t="s">
        <v>7162</v>
      </c>
      <c r="E4126" t="str">
        <f>HYPERLINK("https://patents.google.com/patent/CN202080392U/en")</f>
        <v>https://patents.google.com/patent/CN202080392U/en</v>
      </c>
    </row>
    <row r="4127" spans="3:5" x14ac:dyDescent="0.25">
      <c r="C4127" t="s">
        <v>7163</v>
      </c>
      <c r="D4127" t="s">
        <v>7164</v>
      </c>
      <c r="E4127" t="str">
        <f>HYPERLINK("https://patents.google.com/patent/CN104648497A/en")</f>
        <v>https://patents.google.com/patent/CN104648497A/en</v>
      </c>
    </row>
    <row r="4128" spans="3:5" x14ac:dyDescent="0.25">
      <c r="C4128" t="s">
        <v>7165</v>
      </c>
      <c r="D4128" t="s">
        <v>7166</v>
      </c>
      <c r="E4128" t="str">
        <f>HYPERLINK("https://patents.google.com/patent/CN103926448A/en")</f>
        <v>https://patents.google.com/patent/CN103926448A/en</v>
      </c>
    </row>
    <row r="4129" spans="3:5" x14ac:dyDescent="0.25">
      <c r="C4129" t="s">
        <v>7167</v>
      </c>
      <c r="D4129" t="s">
        <v>7168</v>
      </c>
      <c r="E4129" t="str">
        <f>HYPERLINK("https://patents.google.com/patent/CN204021082U/en")</f>
        <v>https://patents.google.com/patent/CN204021082U/en</v>
      </c>
    </row>
    <row r="4130" spans="3:5" x14ac:dyDescent="0.25">
      <c r="C4130" t="s">
        <v>7169</v>
      </c>
      <c r="D4130" t="s">
        <v>7170</v>
      </c>
      <c r="E4130" t="str">
        <f>HYPERLINK("https://patents.google.com/patent/US8083013B2/en")</f>
        <v>https://patents.google.com/patent/US8083013B2/en</v>
      </c>
    </row>
    <row r="4131" spans="3:5" x14ac:dyDescent="0.25">
      <c r="C4131" t="s">
        <v>7171</v>
      </c>
      <c r="D4131" t="s">
        <v>7172</v>
      </c>
      <c r="E4131" t="str">
        <f>HYPERLINK("https://patents.google.com/patent/CN202827911U/en")</f>
        <v>https://patents.google.com/patent/CN202827911U/en</v>
      </c>
    </row>
    <row r="4132" spans="3:5" x14ac:dyDescent="0.25">
      <c r="C4132" t="s">
        <v>7173</v>
      </c>
      <c r="D4132" t="s">
        <v>7174</v>
      </c>
      <c r="E4132" t="str">
        <f>HYPERLINK("https://patents.google.com/patent/CN202953118U/en")</f>
        <v>https://patents.google.com/patent/CN202953118U/en</v>
      </c>
    </row>
    <row r="4133" spans="3:5" x14ac:dyDescent="0.25">
      <c r="C4133" t="s">
        <v>6396</v>
      </c>
      <c r="D4133" t="s">
        <v>7175</v>
      </c>
      <c r="E4133" t="str">
        <f>HYPERLINK("https://patents.google.com/patent/CN106044534A/en")</f>
        <v>https://patents.google.com/patent/CN106044534A/en</v>
      </c>
    </row>
    <row r="4134" spans="3:5" x14ac:dyDescent="0.25">
      <c r="C4134" t="s">
        <v>7176</v>
      </c>
      <c r="D4134" t="s">
        <v>7177</v>
      </c>
      <c r="E4134" t="str">
        <f>HYPERLINK("https://patents.google.com/patent/CN202080376U/en")</f>
        <v>https://patents.google.com/patent/CN202080376U/en</v>
      </c>
    </row>
    <row r="4135" spans="3:5" x14ac:dyDescent="0.25">
      <c r="C4135" t="s">
        <v>7178</v>
      </c>
      <c r="D4135" t="s">
        <v>7179</v>
      </c>
      <c r="E4135" t="str">
        <f>HYPERLINK("https://patents.google.com/patent/US20140343567A1/en")</f>
        <v>https://patents.google.com/patent/US20140343567A1/en</v>
      </c>
    </row>
    <row r="4136" spans="3:5" x14ac:dyDescent="0.25">
      <c r="C4136" t="s">
        <v>7180</v>
      </c>
      <c r="D4136" t="s">
        <v>7181</v>
      </c>
      <c r="E4136" t="str">
        <f>HYPERLINK("https://patents.google.com/patent/CN202657171U/en")</f>
        <v>https://patents.google.com/patent/CN202657171U/en</v>
      </c>
    </row>
    <row r="4137" spans="3:5" x14ac:dyDescent="0.25">
      <c r="C4137" t="s">
        <v>7182</v>
      </c>
      <c r="D4137" t="s">
        <v>7183</v>
      </c>
      <c r="E4137" t="str">
        <f>HYPERLINK("https://patents.google.com/patent/CN103287537A/en")</f>
        <v>https://patents.google.com/patent/CN103287537A/en</v>
      </c>
    </row>
    <row r="4138" spans="3:5" x14ac:dyDescent="0.25">
      <c r="C4138" t="s">
        <v>7184</v>
      </c>
      <c r="D4138" t="s">
        <v>7185</v>
      </c>
      <c r="E4138" t="str">
        <f>HYPERLINK("https://patents.google.com/patent/CN103558034A/en")</f>
        <v>https://patents.google.com/patent/CN103558034A/en</v>
      </c>
    </row>
    <row r="4139" spans="3:5" x14ac:dyDescent="0.25">
      <c r="C4139" t="s">
        <v>7186</v>
      </c>
      <c r="D4139" t="s">
        <v>7187</v>
      </c>
      <c r="E4139" t="str">
        <f>HYPERLINK("https://patents.google.com/patent/CN103693146A/en")</f>
        <v>https://patents.google.com/patent/CN103693146A/en</v>
      </c>
    </row>
    <row r="4140" spans="3:5" x14ac:dyDescent="0.25">
      <c r="C4140" t="s">
        <v>7188</v>
      </c>
      <c r="D4140" t="s">
        <v>7189</v>
      </c>
      <c r="E4140" t="str">
        <f>HYPERLINK("https://patents.google.com/patent/DE102014113278B4/en")</f>
        <v>https://patents.google.com/patent/DE102014113278B4/en</v>
      </c>
    </row>
    <row r="4141" spans="3:5" x14ac:dyDescent="0.25">
      <c r="C4141" t="s">
        <v>7190</v>
      </c>
      <c r="D4141" t="s">
        <v>7191</v>
      </c>
      <c r="E4141" t="str">
        <f>HYPERLINK("https://patents.google.com/patent/CN105015673A/en")</f>
        <v>https://patents.google.com/patent/CN105015673A/en</v>
      </c>
    </row>
    <row r="4142" spans="3:5" x14ac:dyDescent="0.25">
      <c r="C4142" t="s">
        <v>7192</v>
      </c>
      <c r="D4142" t="s">
        <v>7193</v>
      </c>
      <c r="E4142" t="str">
        <f>HYPERLINK("https://patents.google.com/patent/CN204432279U/en")</f>
        <v>https://patents.google.com/patent/CN204432279U/en</v>
      </c>
    </row>
    <row r="4143" spans="3:5" x14ac:dyDescent="0.25">
      <c r="C4143" t="s">
        <v>7194</v>
      </c>
      <c r="D4143" t="s">
        <v>7195</v>
      </c>
      <c r="E4143" t="str">
        <f>HYPERLINK("https://patents.google.com/patent/US5158493A/en")</f>
        <v>https://patents.google.com/patent/US5158493A/en</v>
      </c>
    </row>
    <row r="4144" spans="3:5" x14ac:dyDescent="0.25">
      <c r="C4144" t="s">
        <v>7196</v>
      </c>
      <c r="D4144" t="s">
        <v>7197</v>
      </c>
      <c r="E4144" t="str">
        <f>HYPERLINK("https://patents.google.com/patent/CN104908964A/en")</f>
        <v>https://patents.google.com/patent/CN104908964A/en</v>
      </c>
    </row>
    <row r="4145" spans="3:5" x14ac:dyDescent="0.25">
      <c r="C4145" t="s">
        <v>7198</v>
      </c>
      <c r="D4145" t="s">
        <v>7199</v>
      </c>
      <c r="E4145" t="str">
        <f>HYPERLINK("https://patents.google.com/patent/CN102826148A/en")</f>
        <v>https://patents.google.com/patent/CN102826148A/en</v>
      </c>
    </row>
    <row r="4146" spans="3:5" x14ac:dyDescent="0.25">
      <c r="C4146" t="s">
        <v>7200</v>
      </c>
      <c r="D4146" t="s">
        <v>7201</v>
      </c>
      <c r="E4146" t="str">
        <f>HYPERLINK("https://patents.google.com/patent/CN202916679U/en")</f>
        <v>https://patents.google.com/patent/CN202916679U/en</v>
      </c>
    </row>
    <row r="4147" spans="3:5" x14ac:dyDescent="0.25">
      <c r="C4147" t="s">
        <v>7202</v>
      </c>
      <c r="D4147" t="s">
        <v>7203</v>
      </c>
      <c r="E4147" t="str">
        <f>HYPERLINK("https://patents.google.com/patent/CN202260530U/en")</f>
        <v>https://patents.google.com/patent/CN202260530U/en</v>
      </c>
    </row>
    <row r="4148" spans="3:5" x14ac:dyDescent="0.25">
      <c r="C4148" t="s">
        <v>7204</v>
      </c>
      <c r="D4148" t="s">
        <v>7205</v>
      </c>
      <c r="E4148" t="str">
        <f>HYPERLINK("https://patents.google.com/patent/CN105892558B/en")</f>
        <v>https://patents.google.com/patent/CN105892558B/en</v>
      </c>
    </row>
    <row r="4149" spans="3:5" x14ac:dyDescent="0.25">
      <c r="C4149" t="s">
        <v>7206</v>
      </c>
      <c r="D4149" t="s">
        <v>7207</v>
      </c>
      <c r="E4149" t="str">
        <f>HYPERLINK("https://patents.google.com/patent/CN206456452U/en")</f>
        <v>https://patents.google.com/patent/CN206456452U/en</v>
      </c>
    </row>
    <row r="4150" spans="3:5" x14ac:dyDescent="0.25">
      <c r="C4150" t="s">
        <v>7208</v>
      </c>
      <c r="D4150" t="s">
        <v>7209</v>
      </c>
      <c r="E4150" t="str">
        <f>HYPERLINK("https://patents.google.com/patent/CN102826121B/en")</f>
        <v>https://patents.google.com/patent/CN102826121B/en</v>
      </c>
    </row>
    <row r="4151" spans="3:5" x14ac:dyDescent="0.25">
      <c r="C4151" t="s">
        <v>7210</v>
      </c>
      <c r="D4151" t="s">
        <v>7211</v>
      </c>
      <c r="E4151" t="str">
        <f>HYPERLINK("https://patents.google.com/patent/CN103778770A/en")</f>
        <v>https://patents.google.com/patent/CN103778770A/en</v>
      </c>
    </row>
    <row r="4152" spans="3:5" x14ac:dyDescent="0.25">
      <c r="C4152" t="s">
        <v>7212</v>
      </c>
      <c r="D4152" t="s">
        <v>7213</v>
      </c>
      <c r="E4152" t="str">
        <f>HYPERLINK("https://patents.google.com/patent/CN102672719A/en")</f>
        <v>https://patents.google.com/patent/CN102672719A/en</v>
      </c>
    </row>
    <row r="4153" spans="3:5" x14ac:dyDescent="0.25">
      <c r="C4153" t="s">
        <v>7214</v>
      </c>
      <c r="D4153" t="s">
        <v>7215</v>
      </c>
      <c r="E4153" t="str">
        <f>HYPERLINK("https://patents.google.com/patent/CN203859165U/en")</f>
        <v>https://patents.google.com/patent/CN203859165U/en</v>
      </c>
    </row>
    <row r="4154" spans="3:5" x14ac:dyDescent="0.25">
      <c r="C4154" t="s">
        <v>7216</v>
      </c>
      <c r="D4154" t="s">
        <v>7217</v>
      </c>
      <c r="E4154" t="str">
        <f>HYPERLINK("https://patents.google.com/patent/US9302393B1/en")</f>
        <v>https://patents.google.com/patent/US9302393B1/en</v>
      </c>
    </row>
    <row r="4155" spans="3:5" x14ac:dyDescent="0.25">
      <c r="C4155" t="s">
        <v>7218</v>
      </c>
      <c r="D4155" t="s">
        <v>7219</v>
      </c>
      <c r="E4155" t="str">
        <f>HYPERLINK("https://patents.google.com/patent/CN104149913A/en")</f>
        <v>https://patents.google.com/patent/CN104149913A/en</v>
      </c>
    </row>
    <row r="4156" spans="3:5" x14ac:dyDescent="0.25">
      <c r="C4156" t="s">
        <v>7220</v>
      </c>
      <c r="D4156" t="s">
        <v>7221</v>
      </c>
      <c r="E4156" t="str">
        <f>HYPERLINK("https://patents.google.com/patent/CN102069872A/en")</f>
        <v>https://patents.google.com/patent/CN102069872A/en</v>
      </c>
    </row>
    <row r="4157" spans="3:5" x14ac:dyDescent="0.25">
      <c r="C4157" t="s">
        <v>7222</v>
      </c>
      <c r="D4157" t="s">
        <v>7223</v>
      </c>
      <c r="E4157" t="str">
        <f>HYPERLINK("https://patents.google.com/patent/CN103615508A/en")</f>
        <v>https://patents.google.com/patent/CN103615508A/en</v>
      </c>
    </row>
    <row r="4158" spans="3:5" x14ac:dyDescent="0.25">
      <c r="C4158" t="s">
        <v>7224</v>
      </c>
      <c r="D4158" t="s">
        <v>7225</v>
      </c>
      <c r="E4158" t="str">
        <f>HYPERLINK("https://patents.google.com/patent/CN104691674A/en")</f>
        <v>https://patents.google.com/patent/CN104691674A/en</v>
      </c>
    </row>
    <row r="4159" spans="3:5" x14ac:dyDescent="0.25">
      <c r="C4159" t="s">
        <v>7226</v>
      </c>
      <c r="D4159" t="s">
        <v>7227</v>
      </c>
      <c r="E4159" t="str">
        <f>HYPERLINK("https://patents.google.com/patent/CN203391922U/en")</f>
        <v>https://patents.google.com/patent/CN203391922U/en</v>
      </c>
    </row>
    <row r="4160" spans="3:5" x14ac:dyDescent="0.25">
      <c r="C4160" t="s">
        <v>7228</v>
      </c>
      <c r="D4160" t="s">
        <v>7229</v>
      </c>
      <c r="E4160" t="str">
        <f>HYPERLINK("https://patents.google.com/patent/US20030004777A1/en")</f>
        <v>https://patents.google.com/patent/US20030004777A1/en</v>
      </c>
    </row>
    <row r="4161" spans="3:5" x14ac:dyDescent="0.25">
      <c r="C4161" t="s">
        <v>7230</v>
      </c>
      <c r="D4161" t="s">
        <v>7231</v>
      </c>
      <c r="E4161" t="str">
        <f>HYPERLINK("https://patents.google.com/patent/CN201198136Y/en")</f>
        <v>https://patents.google.com/patent/CN201198136Y/en</v>
      </c>
    </row>
    <row r="4162" spans="3:5" x14ac:dyDescent="0.25">
      <c r="C4162" t="s">
        <v>7232</v>
      </c>
      <c r="D4162" t="s">
        <v>7233</v>
      </c>
      <c r="E4162" t="str">
        <f>HYPERLINK("https://patents.google.com/patent/CN105196284A/en")</f>
        <v>https://patents.google.com/patent/CN105196284A/en</v>
      </c>
    </row>
    <row r="4163" spans="3:5" x14ac:dyDescent="0.25">
      <c r="C4163" t="s">
        <v>7234</v>
      </c>
      <c r="D4163" t="s">
        <v>7235</v>
      </c>
      <c r="E4163" t="str">
        <f>HYPERLINK("https://patents.google.com/patent/CN201049464Y/en")</f>
        <v>https://patents.google.com/patent/CN201049464Y/en</v>
      </c>
    </row>
    <row r="4164" spans="3:5" x14ac:dyDescent="0.25">
      <c r="C4164" t="s">
        <v>7236</v>
      </c>
      <c r="D4164" t="s">
        <v>7237</v>
      </c>
      <c r="E4164" t="str">
        <f>HYPERLINK("https://patents.google.com/patent/CN101168372A/en")</f>
        <v>https://patents.google.com/patent/CN101168372A/en</v>
      </c>
    </row>
    <row r="4165" spans="3:5" x14ac:dyDescent="0.25">
      <c r="C4165" t="s">
        <v>7238</v>
      </c>
      <c r="D4165" t="s">
        <v>7239</v>
      </c>
      <c r="E4165" t="str">
        <f>HYPERLINK("https://patents.google.com/patent/CN102923204A/en")</f>
        <v>https://patents.google.com/patent/CN102923204A/en</v>
      </c>
    </row>
    <row r="4166" spans="3:5" x14ac:dyDescent="0.25">
      <c r="C4166" t="s">
        <v>7240</v>
      </c>
      <c r="D4166" t="s">
        <v>7241</v>
      </c>
      <c r="E4166" t="str">
        <f>HYPERLINK("https://patents.google.com/patent/CN203138895U/en")</f>
        <v>https://patents.google.com/patent/CN203138895U/en</v>
      </c>
    </row>
    <row r="4167" spans="3:5" x14ac:dyDescent="0.25">
      <c r="C4167" t="s">
        <v>7242</v>
      </c>
      <c r="D4167" t="s">
        <v>7243</v>
      </c>
      <c r="E4167" t="str">
        <f>HYPERLINK("https://patents.google.com/patent/CN103110487A/en")</f>
        <v>https://patents.google.com/patent/CN103110487A/en</v>
      </c>
    </row>
    <row r="4168" spans="3:5" x14ac:dyDescent="0.25">
      <c r="C4168" t="s">
        <v>7244</v>
      </c>
      <c r="D4168" t="s">
        <v>7245</v>
      </c>
      <c r="E4168" t="str">
        <f>HYPERLINK("https://patents.google.com/patent/US8924021B2/en")</f>
        <v>https://patents.google.com/patent/US8924021B2/en</v>
      </c>
    </row>
    <row r="4169" spans="3:5" x14ac:dyDescent="0.25">
      <c r="C4169" t="s">
        <v>7246</v>
      </c>
      <c r="D4169" t="s">
        <v>7247</v>
      </c>
      <c r="E4169" t="str">
        <f>HYPERLINK("https://patents.google.com/patent/CN101758867A/en")</f>
        <v>https://patents.google.com/patent/CN101758867A/en</v>
      </c>
    </row>
    <row r="4170" spans="3:5" x14ac:dyDescent="0.25">
      <c r="C4170" t="s">
        <v>7248</v>
      </c>
      <c r="D4170" t="s">
        <v>7249</v>
      </c>
      <c r="E4170" t="str">
        <f>HYPERLINK("https://patents.google.com/patent/CN102890890A/en")</f>
        <v>https://patents.google.com/patent/CN102890890A/en</v>
      </c>
    </row>
    <row r="4171" spans="3:5" x14ac:dyDescent="0.25">
      <c r="C4171" t="s">
        <v>7250</v>
      </c>
      <c r="D4171" t="s">
        <v>7251</v>
      </c>
      <c r="E4171" t="str">
        <f>HYPERLINK("https://patents.google.com/patent/DE102007014461B4/en")</f>
        <v>https://patents.google.com/patent/DE102007014461B4/en</v>
      </c>
    </row>
    <row r="4172" spans="3:5" x14ac:dyDescent="0.25">
      <c r="C4172" t="s">
        <v>7252</v>
      </c>
      <c r="D4172" t="s">
        <v>7253</v>
      </c>
      <c r="E4172" t="str">
        <f>HYPERLINK("https://patents.google.com/patent/US5038089A/en")</f>
        <v>https://patents.google.com/patent/US5038089A/en</v>
      </c>
    </row>
    <row r="4173" spans="3:5" x14ac:dyDescent="0.25">
      <c r="C4173" t="s">
        <v>7254</v>
      </c>
      <c r="D4173" t="s">
        <v>7255</v>
      </c>
      <c r="E4173" t="str">
        <f>HYPERLINK("https://patents.google.com/patent/US4756204A/en")</f>
        <v>https://patents.google.com/patent/US4756204A/en</v>
      </c>
    </row>
    <row r="4174" spans="3:5" x14ac:dyDescent="0.25">
      <c r="C4174" t="s">
        <v>7256</v>
      </c>
      <c r="D4174" t="s">
        <v>7257</v>
      </c>
      <c r="E4174" t="str">
        <f>HYPERLINK("https://patents.google.com/patent/US6074271A/en")</f>
        <v>https://patents.google.com/patent/US6074271A/en</v>
      </c>
    </row>
    <row r="4175" spans="3:5" x14ac:dyDescent="0.25">
      <c r="C4175" t="s">
        <v>7258</v>
      </c>
      <c r="D4175" t="s">
        <v>7259</v>
      </c>
      <c r="E4175" t="str">
        <f>HYPERLINK("https://patents.google.com/patent/US5351626A/en")</f>
        <v>https://patents.google.com/patent/US5351626A/en</v>
      </c>
    </row>
    <row r="4176" spans="3:5" x14ac:dyDescent="0.25">
      <c r="C4176" t="s">
        <v>7260</v>
      </c>
      <c r="D4176" t="s">
        <v>7261</v>
      </c>
      <c r="E4176" t="str">
        <f>HYPERLINK("https://patents.google.com/patent/US6741911B2/en")</f>
        <v>https://patents.google.com/patent/US6741911B2/en</v>
      </c>
    </row>
    <row r="4177" spans="3:5" x14ac:dyDescent="0.25">
      <c r="C4177" t="s">
        <v>7262</v>
      </c>
      <c r="D4177" t="s">
        <v>7263</v>
      </c>
      <c r="E4177" t="str">
        <f>HYPERLINK("https://patents.google.com/patent/US5155423A/en")</f>
        <v>https://patents.google.com/patent/US5155423A/en</v>
      </c>
    </row>
    <row r="4178" spans="3:5" x14ac:dyDescent="0.25">
      <c r="C4178" t="s">
        <v>7264</v>
      </c>
      <c r="D4178" t="s">
        <v>7265</v>
      </c>
      <c r="E4178" t="str">
        <f>HYPERLINK("https://patents.google.com/patent/US6560511B1/en")</f>
        <v>https://patents.google.com/patent/US6560511B1/en</v>
      </c>
    </row>
    <row r="4179" spans="3:5" x14ac:dyDescent="0.25">
      <c r="C4179" t="s">
        <v>7266</v>
      </c>
      <c r="D4179" t="s">
        <v>7267</v>
      </c>
      <c r="E4179" t="str">
        <f>HYPERLINK("https://patents.google.com/patent/US5947788A/en")</f>
        <v>https://patents.google.com/patent/US5947788A/en</v>
      </c>
    </row>
    <row r="4180" spans="3:5" x14ac:dyDescent="0.25">
      <c r="C4180" t="s">
        <v>7268</v>
      </c>
      <c r="D4180" t="s">
        <v>7269</v>
      </c>
      <c r="E4180" t="str">
        <f>HYPERLINK("https://patents.google.com/patent/US7328196B2/en")</f>
        <v>https://patents.google.com/patent/US7328196B2/en</v>
      </c>
    </row>
    <row r="4181" spans="3:5" x14ac:dyDescent="0.25">
      <c r="C4181" t="s">
        <v>7270</v>
      </c>
      <c r="D4181" t="s">
        <v>7271</v>
      </c>
      <c r="E4181" t="str">
        <f>HYPERLINK("https://patents.google.com/patent/US4975856A/en")</f>
        <v>https://patents.google.com/patent/US4975856A/en</v>
      </c>
    </row>
    <row r="4182" spans="3:5" x14ac:dyDescent="0.25">
      <c r="C4182" t="s">
        <v>7272</v>
      </c>
      <c r="D4182" t="s">
        <v>7273</v>
      </c>
      <c r="E4182" t="str">
        <f>HYPERLINK("https://patents.google.com/patent/US4937759A/en")</f>
        <v>https://patents.google.com/patent/US4937759A/en</v>
      </c>
    </row>
    <row r="4183" spans="3:5" x14ac:dyDescent="0.25">
      <c r="C4183" t="s">
        <v>7274</v>
      </c>
      <c r="D4183" t="s">
        <v>7275</v>
      </c>
      <c r="E4183" t="str">
        <f>HYPERLINK("https://patents.google.com/patent/US6357385B1/en")</f>
        <v>https://patents.google.com/patent/US6357385B1/en</v>
      </c>
    </row>
    <row r="4184" spans="3:5" x14ac:dyDescent="0.25">
      <c r="C4184" t="s">
        <v>7276</v>
      </c>
      <c r="D4184" t="s">
        <v>7277</v>
      </c>
      <c r="E4184" t="str">
        <f>HYPERLINK("https://patents.google.com/patent/US5820623A/en")</f>
        <v>https://patents.google.com/patent/US5820623A/en</v>
      </c>
    </row>
    <row r="4185" spans="3:5" x14ac:dyDescent="0.25">
      <c r="C4185" t="s">
        <v>7278</v>
      </c>
      <c r="D4185" t="s">
        <v>7279</v>
      </c>
      <c r="E4185" t="str">
        <f>HYPERLINK("https://patents.google.com/patent/US7106850B2/en")</f>
        <v>https://patents.google.com/patent/US7106850B2/en</v>
      </c>
    </row>
    <row r="4186" spans="3:5" x14ac:dyDescent="0.25">
      <c r="C4186" t="s">
        <v>7280</v>
      </c>
      <c r="D4186" t="s">
        <v>7281</v>
      </c>
      <c r="E4186" t="str">
        <f>HYPERLINK("https://patents.google.com/patent/US5983251A/en")</f>
        <v>https://patents.google.com/patent/US5983251A/en</v>
      </c>
    </row>
    <row r="4187" spans="3:5" x14ac:dyDescent="0.25">
      <c r="C4187" t="s">
        <v>7282</v>
      </c>
      <c r="D4187" t="s">
        <v>7283</v>
      </c>
      <c r="E4187" t="str">
        <f>HYPERLINK("https://patents.google.com/patent/US5241875A/en")</f>
        <v>https://patents.google.com/patent/US5241875A/en</v>
      </c>
    </row>
    <row r="4188" spans="3:5" x14ac:dyDescent="0.25">
      <c r="C4188" t="s">
        <v>7284</v>
      </c>
      <c r="D4188" t="s">
        <v>7285</v>
      </c>
      <c r="E4188" t="str">
        <f>HYPERLINK("https://patents.google.com/patent/US4932826A/en")</f>
        <v>https://patents.google.com/patent/US4932826A/en</v>
      </c>
    </row>
    <row r="4189" spans="3:5" x14ac:dyDescent="0.25">
      <c r="C4189" t="s">
        <v>7286</v>
      </c>
      <c r="D4189" t="s">
        <v>7287</v>
      </c>
      <c r="E4189" t="str">
        <f>HYPERLINK("https://patents.google.com/patent/US5355435A/en")</f>
        <v>https://patents.google.com/patent/US5355435A/en</v>
      </c>
    </row>
    <row r="4190" spans="3:5" x14ac:dyDescent="0.25">
      <c r="C4190" t="s">
        <v>6621</v>
      </c>
      <c r="D4190" t="s">
        <v>7288</v>
      </c>
      <c r="E4190" t="str">
        <f>HYPERLINK("https://patents.google.com/patent/US7858706B2/en")</f>
        <v>https://patents.google.com/patent/US7858706B2/en</v>
      </c>
    </row>
    <row r="4191" spans="3:5" x14ac:dyDescent="0.25">
      <c r="C4191" t="s">
        <v>7289</v>
      </c>
      <c r="D4191" t="s">
        <v>7290</v>
      </c>
      <c r="E4191" t="str">
        <f>HYPERLINK("https://patents.google.com/patent/US4974191A/en")</f>
        <v>https://patents.google.com/patent/US4974191A/en</v>
      </c>
    </row>
    <row r="4192" spans="3:5" x14ac:dyDescent="0.25">
      <c r="C4192" t="s">
        <v>7291</v>
      </c>
      <c r="D4192" t="s">
        <v>7292</v>
      </c>
      <c r="E4192" t="str">
        <f>HYPERLINK("https://patents.google.com/patent/US6083763A/en")</f>
        <v>https://patents.google.com/patent/US6083763A/en</v>
      </c>
    </row>
    <row r="4193" spans="3:5" x14ac:dyDescent="0.25">
      <c r="C4193" t="s">
        <v>7293</v>
      </c>
      <c r="D4193" t="s">
        <v>7294</v>
      </c>
      <c r="E4193" t="str">
        <f>HYPERLINK("https://patents.google.com/patent/US5740326A/en")</f>
        <v>https://patents.google.com/patent/US5740326A/en</v>
      </c>
    </row>
    <row r="4194" spans="3:5" x14ac:dyDescent="0.25">
      <c r="C4194" t="s">
        <v>7295</v>
      </c>
      <c r="D4194" t="s">
        <v>7296</v>
      </c>
      <c r="E4194" t="str">
        <f>HYPERLINK("https://patents.google.com/patent/US6069420A/en")</f>
        <v>https://patents.google.com/patent/US6069420A/en</v>
      </c>
    </row>
    <row r="4195" spans="3:5" x14ac:dyDescent="0.25">
      <c r="C4195" t="s">
        <v>7297</v>
      </c>
      <c r="D4195" t="s">
        <v>7298</v>
      </c>
      <c r="E4195" t="str">
        <f>HYPERLINK("https://patents.google.com/patent/US5621863A/en")</f>
        <v>https://patents.google.com/patent/US5621863A/en</v>
      </c>
    </row>
    <row r="4196" spans="3:5" x14ac:dyDescent="0.25">
      <c r="C4196" t="s">
        <v>7299</v>
      </c>
      <c r="D4196" t="s">
        <v>7300</v>
      </c>
      <c r="E4196" t="str">
        <f>HYPERLINK("https://patents.google.com/patent/CN204021158U/en")</f>
        <v>https://patents.google.com/patent/CN204021158U/en</v>
      </c>
    </row>
    <row r="4197" spans="3:5" x14ac:dyDescent="0.25">
      <c r="C4197" t="s">
        <v>7301</v>
      </c>
      <c r="D4197" t="s">
        <v>7302</v>
      </c>
      <c r="E4197" t="str">
        <f>HYPERLINK("https://patents.google.com/patent/US4852018A/en")</f>
        <v>https://patents.google.com/patent/US4852018A/en</v>
      </c>
    </row>
    <row r="4198" spans="3:5" x14ac:dyDescent="0.25">
      <c r="C4198" t="s">
        <v>7284</v>
      </c>
      <c r="D4198" t="s">
        <v>7303</v>
      </c>
      <c r="E4198" t="str">
        <f>HYPERLINK("https://patents.google.com/patent/US4928245A/en")</f>
        <v>https://patents.google.com/patent/US4928245A/en</v>
      </c>
    </row>
    <row r="4199" spans="3:5" x14ac:dyDescent="0.25">
      <c r="C4199" t="s">
        <v>7304</v>
      </c>
      <c r="D4199" t="s">
        <v>7305</v>
      </c>
      <c r="E4199" t="str">
        <f>HYPERLINK("https://patents.google.com/patent/EP2610523A1/en")</f>
        <v>https://patents.google.com/patent/EP2610523A1/en</v>
      </c>
    </row>
    <row r="4200" spans="3:5" x14ac:dyDescent="0.25">
      <c r="C4200" t="s">
        <v>7306</v>
      </c>
      <c r="D4200" t="s">
        <v>7307</v>
      </c>
      <c r="E4200" t="str">
        <f>HYPERLINK("https://patents.google.com/patent/US4300198A/en")</f>
        <v>https://patents.google.com/patent/US4300198A/en</v>
      </c>
    </row>
    <row r="4201" spans="3:5" x14ac:dyDescent="0.25">
      <c r="C4201" t="s">
        <v>7308</v>
      </c>
      <c r="D4201" t="s">
        <v>7309</v>
      </c>
      <c r="E4201" t="str">
        <f>HYPERLINK("https://patents.google.com/patent/US6655631B2/en")</f>
        <v>https://patents.google.com/patent/US6655631B2/en</v>
      </c>
    </row>
    <row r="4202" spans="3:5" x14ac:dyDescent="0.25">
      <c r="C4202" t="s">
        <v>7284</v>
      </c>
      <c r="D4202" t="s">
        <v>7310</v>
      </c>
      <c r="E4202" t="str">
        <f>HYPERLINK("https://patents.google.com/patent/US4864511A/en")</f>
        <v>https://patents.google.com/patent/US4864511A/en</v>
      </c>
    </row>
    <row r="4203" spans="3:5" x14ac:dyDescent="0.25">
      <c r="C4203" t="s">
        <v>7311</v>
      </c>
      <c r="D4203" t="s">
        <v>7312</v>
      </c>
      <c r="E4203" t="str">
        <f>HYPERLINK("https://patents.google.com/patent/US5848859A/en")</f>
        <v>https://patents.google.com/patent/US5848859A/en</v>
      </c>
    </row>
    <row r="4204" spans="3:5" x14ac:dyDescent="0.25">
      <c r="C4204" t="s">
        <v>7313</v>
      </c>
      <c r="D4204" t="s">
        <v>7314</v>
      </c>
      <c r="E4204" t="str">
        <f>HYPERLINK("https://patents.google.com/patent/US7375304B2/en")</f>
        <v>https://patents.google.com/patent/US7375304B2/en</v>
      </c>
    </row>
    <row r="4205" spans="3:5" x14ac:dyDescent="0.25">
      <c r="C4205" t="s">
        <v>6442</v>
      </c>
      <c r="D4205" t="s">
        <v>7315</v>
      </c>
      <c r="E4205" t="str">
        <f>HYPERLINK("https://patents.google.com/patent/US7854108B2/en")</f>
        <v>https://patents.google.com/patent/US7854108B2/en</v>
      </c>
    </row>
    <row r="4206" spans="3:5" x14ac:dyDescent="0.25">
      <c r="C4206" t="s">
        <v>7316</v>
      </c>
      <c r="D4206" t="s">
        <v>7317</v>
      </c>
      <c r="E4206" t="str">
        <f>HYPERLINK("https://patents.google.com/patent/US5710869A/en")</f>
        <v>https://patents.google.com/patent/US5710869A/en</v>
      </c>
    </row>
    <row r="4207" spans="3:5" x14ac:dyDescent="0.25">
      <c r="C4207" t="s">
        <v>7318</v>
      </c>
      <c r="D4207" t="s">
        <v>7319</v>
      </c>
      <c r="E4207" t="str">
        <f>HYPERLINK("https://patents.google.com/patent/US8529630B2/en")</f>
        <v>https://patents.google.com/patent/US8529630B2/en</v>
      </c>
    </row>
    <row r="4208" spans="3:5" x14ac:dyDescent="0.25">
      <c r="C4208" t="s">
        <v>7320</v>
      </c>
      <c r="D4208" t="s">
        <v>7321</v>
      </c>
      <c r="E4208" t="str">
        <f>HYPERLINK("https://patents.google.com/patent/US6678583B2/en")</f>
        <v>https://patents.google.com/patent/US6678583B2/en</v>
      </c>
    </row>
    <row r="4209" spans="3:5" x14ac:dyDescent="0.25">
      <c r="C4209" t="s">
        <v>7322</v>
      </c>
      <c r="D4209" t="s">
        <v>7323</v>
      </c>
      <c r="E4209" t="str">
        <f>HYPERLINK("https://patents.google.com/patent/CN102601803A/en")</f>
        <v>https://patents.google.com/patent/CN102601803A/en</v>
      </c>
    </row>
    <row r="4210" spans="3:5" x14ac:dyDescent="0.25">
      <c r="C4210" t="s">
        <v>7324</v>
      </c>
      <c r="D4210" t="s">
        <v>7325</v>
      </c>
      <c r="E4210" t="str">
        <f>HYPERLINK("https://patents.google.com/patent/CN104242411A/en")</f>
        <v>https://patents.google.com/patent/CN104242411A/en</v>
      </c>
    </row>
    <row r="4211" spans="3:5" x14ac:dyDescent="0.25">
      <c r="C4211" t="s">
        <v>7320</v>
      </c>
      <c r="D4211" t="s">
        <v>7326</v>
      </c>
      <c r="E4211" t="str">
        <f>HYPERLINK("https://patents.google.com/patent/US7039499B1/en")</f>
        <v>https://patents.google.com/patent/US7039499B1/en</v>
      </c>
    </row>
    <row r="4212" spans="3:5" x14ac:dyDescent="0.25">
      <c r="C4212" t="s">
        <v>7327</v>
      </c>
      <c r="D4212" t="s">
        <v>7328</v>
      </c>
      <c r="E4212" t="str">
        <f>HYPERLINK("https://patents.google.com/patent/US7462138B2/en")</f>
        <v>https://patents.google.com/patent/US7462138B2/en</v>
      </c>
    </row>
    <row r="4213" spans="3:5" x14ac:dyDescent="0.25">
      <c r="C4213" t="s">
        <v>7329</v>
      </c>
      <c r="D4213" t="s">
        <v>7330</v>
      </c>
      <c r="E4213" t="str">
        <f>HYPERLINK("https://patents.google.com/patent/US6427096B1/en")</f>
        <v>https://patents.google.com/patent/US6427096B1/en</v>
      </c>
    </row>
    <row r="4214" spans="3:5" x14ac:dyDescent="0.25">
      <c r="C4214" t="s">
        <v>7331</v>
      </c>
      <c r="D4214" t="s">
        <v>7332</v>
      </c>
      <c r="E4214" t="str">
        <f>HYPERLINK("https://patents.google.com/patent/US20060184276A1/en")</f>
        <v>https://patents.google.com/patent/US20060184276A1/en</v>
      </c>
    </row>
    <row r="4215" spans="3:5" x14ac:dyDescent="0.25">
      <c r="C4215" t="s">
        <v>7333</v>
      </c>
      <c r="D4215" t="s">
        <v>7334</v>
      </c>
      <c r="E4215" t="str">
        <f>HYPERLINK("https://patents.google.com/patent/US5701397A/en")</f>
        <v>https://patents.google.com/patent/US5701397A/en</v>
      </c>
    </row>
    <row r="4216" spans="3:5" x14ac:dyDescent="0.25">
      <c r="C4216" t="s">
        <v>7335</v>
      </c>
      <c r="D4216" t="s">
        <v>7336</v>
      </c>
      <c r="E4216" t="str">
        <f>HYPERLINK("https://patents.google.com/patent/US6442450B1/en")</f>
        <v>https://patents.google.com/patent/US6442450B1/en</v>
      </c>
    </row>
    <row r="4217" spans="3:5" x14ac:dyDescent="0.25">
      <c r="C4217" t="s">
        <v>7337</v>
      </c>
      <c r="D4217" t="s">
        <v>7338</v>
      </c>
      <c r="E4217" t="str">
        <f>HYPERLINK("https://patents.google.com/patent/CN103050047A/en")</f>
        <v>https://patents.google.com/patent/CN103050047A/en</v>
      </c>
    </row>
    <row r="4218" spans="3:5" x14ac:dyDescent="0.25">
      <c r="C4218" t="s">
        <v>7339</v>
      </c>
      <c r="D4218" t="s">
        <v>7340</v>
      </c>
      <c r="E4218" t="str">
        <f>HYPERLINK("https://patents.google.com/patent/CN102615638B/en")</f>
        <v>https://patents.google.com/patent/CN102615638B/en</v>
      </c>
    </row>
    <row r="4219" spans="3:5" x14ac:dyDescent="0.25">
      <c r="C4219" t="s">
        <v>7341</v>
      </c>
      <c r="D4219" t="s">
        <v>7342</v>
      </c>
      <c r="E4219" t="str">
        <f>HYPERLINK("https://patents.google.com/patent/CN103029123A/en")</f>
        <v>https://patents.google.com/patent/CN103029123A/en</v>
      </c>
    </row>
    <row r="4220" spans="3:5" x14ac:dyDescent="0.25">
      <c r="C4220" t="s">
        <v>7343</v>
      </c>
      <c r="D4220" t="s">
        <v>7344</v>
      </c>
      <c r="E4220" t="str">
        <f>HYPERLINK("https://patents.google.com/patent/US6793552B2/en")</f>
        <v>https://patents.google.com/patent/US6793552B2/en</v>
      </c>
    </row>
    <row r="4221" spans="3:5" x14ac:dyDescent="0.25">
      <c r="C4221" t="s">
        <v>7345</v>
      </c>
      <c r="D4221" t="s">
        <v>7346</v>
      </c>
      <c r="E4221" t="str">
        <f>HYPERLINK("https://patents.google.com/patent/US20130025085A1/en")</f>
        <v>https://patents.google.com/patent/US20130025085A1/en</v>
      </c>
    </row>
    <row r="4222" spans="3:5" x14ac:dyDescent="0.25">
      <c r="C4222" t="s">
        <v>7347</v>
      </c>
      <c r="D4222" t="s">
        <v>7348</v>
      </c>
      <c r="E4222" t="str">
        <f>HYPERLINK("https://patents.google.com/patent/US20130310979A1/en")</f>
        <v>https://patents.google.com/patent/US20130310979A1/en</v>
      </c>
    </row>
    <row r="4223" spans="3:5" x14ac:dyDescent="0.25">
      <c r="C4223" t="s">
        <v>7349</v>
      </c>
      <c r="D4223" t="s">
        <v>7350</v>
      </c>
      <c r="E4223" t="str">
        <f>HYPERLINK("https://patents.google.com/patent/US20070089557A1/en")</f>
        <v>https://patents.google.com/patent/US20070089557A1/en</v>
      </c>
    </row>
    <row r="4224" spans="3:5" x14ac:dyDescent="0.25">
      <c r="C4224" t="s">
        <v>7351</v>
      </c>
      <c r="D4224" t="s">
        <v>7352</v>
      </c>
      <c r="E4224" t="str">
        <f>HYPERLINK("https://patents.google.com/patent/US20100324699A1/en")</f>
        <v>https://patents.google.com/patent/US20100324699A1/en</v>
      </c>
    </row>
    <row r="4225" spans="3:5" x14ac:dyDescent="0.25">
      <c r="C4225" t="s">
        <v>7353</v>
      </c>
      <c r="D4225" t="s">
        <v>7354</v>
      </c>
      <c r="E4225" t="str">
        <f>HYPERLINK("https://patents.google.com/patent/CN101752804A/en")</f>
        <v>https://patents.google.com/patent/CN101752804A/en</v>
      </c>
    </row>
    <row r="4226" spans="3:5" x14ac:dyDescent="0.25">
      <c r="C4226" t="s">
        <v>7355</v>
      </c>
      <c r="D4226" t="s">
        <v>7356</v>
      </c>
      <c r="E4226" t="str">
        <f>HYPERLINK("https://patents.google.com/patent/CN101934525A/en")</f>
        <v>https://patents.google.com/patent/CN101934525A/en</v>
      </c>
    </row>
    <row r="4227" spans="3:5" x14ac:dyDescent="0.25">
      <c r="C4227" t="s">
        <v>7357</v>
      </c>
      <c r="D4227" t="s">
        <v>7358</v>
      </c>
      <c r="E4227" t="str">
        <f>HYPERLINK("https://patents.google.com/patent/US20050038564A1/en")</f>
        <v>https://patents.google.com/patent/US20050038564A1/en</v>
      </c>
    </row>
    <row r="4228" spans="3:5" x14ac:dyDescent="0.25">
      <c r="C4228" t="s">
        <v>7359</v>
      </c>
      <c r="D4228" t="s">
        <v>7360</v>
      </c>
      <c r="E4228" t="str">
        <f>HYPERLINK("https://patents.google.com/patent/US8566928B2/en")</f>
        <v>https://patents.google.com/patent/US8566928B2/en</v>
      </c>
    </row>
    <row r="4229" spans="3:5" x14ac:dyDescent="0.25">
      <c r="C4229" t="s">
        <v>7361</v>
      </c>
      <c r="D4229" t="s">
        <v>7362</v>
      </c>
      <c r="E4229" t="str">
        <f>HYPERLINK("https://patents.google.com/patent/US4534006A/en")</f>
        <v>https://patents.google.com/patent/US4534006A/en</v>
      </c>
    </row>
    <row r="4230" spans="3:5" x14ac:dyDescent="0.25">
      <c r="C4230" t="s">
        <v>7363</v>
      </c>
      <c r="D4230" t="s">
        <v>7364</v>
      </c>
      <c r="E4230" t="str">
        <f>HYPERLINK("https://patents.google.com/patent/US6697707B2/en")</f>
        <v>https://patents.google.com/patent/US6697707B2/en</v>
      </c>
    </row>
    <row r="4231" spans="3:5" x14ac:dyDescent="0.25">
      <c r="C4231" t="s">
        <v>6513</v>
      </c>
      <c r="D4231" t="s">
        <v>7365</v>
      </c>
      <c r="E4231" t="str">
        <f>HYPERLINK("https://patents.google.com/patent/US20070250119A1/en")</f>
        <v>https://patents.google.com/patent/US20070250119A1/en</v>
      </c>
    </row>
    <row r="4232" spans="3:5" x14ac:dyDescent="0.25">
      <c r="C4232" t="s">
        <v>7366</v>
      </c>
      <c r="D4232" t="s">
        <v>7367</v>
      </c>
      <c r="E4232" t="str">
        <f>HYPERLINK("https://patents.google.com/patent/US20020112742A1/en")</f>
        <v>https://patents.google.com/patent/US20020112742A1/en</v>
      </c>
    </row>
    <row r="4233" spans="3:5" x14ac:dyDescent="0.25">
      <c r="C4233" t="s">
        <v>7368</v>
      </c>
      <c r="D4233" t="s">
        <v>7369</v>
      </c>
      <c r="E4233" t="str">
        <f>HYPERLINK("https://patents.google.com/patent/US20100295383A1/en")</f>
        <v>https://patents.google.com/patent/US20100295383A1/en</v>
      </c>
    </row>
    <row r="4234" spans="3:5" x14ac:dyDescent="0.25">
      <c r="C4234" t="s">
        <v>7370</v>
      </c>
      <c r="D4234" t="s">
        <v>7371</v>
      </c>
      <c r="E4234" t="str">
        <f>HYPERLINK("https://patents.google.com/patent/US20090221928A1/en")</f>
        <v>https://patents.google.com/patent/US20090221928A1/en</v>
      </c>
    </row>
    <row r="4235" spans="3:5" x14ac:dyDescent="0.25">
      <c r="C4235" t="s">
        <v>7372</v>
      </c>
      <c r="D4235" t="s">
        <v>7373</v>
      </c>
      <c r="E4235" t="str">
        <f>HYPERLINK("https://patents.google.com/patent/US20070289786A1/en")</f>
        <v>https://patents.google.com/patent/US20070289786A1/en</v>
      </c>
    </row>
    <row r="4236" spans="3:5" x14ac:dyDescent="0.25">
      <c r="C4236" t="s">
        <v>7374</v>
      </c>
      <c r="D4236" t="s">
        <v>7375</v>
      </c>
      <c r="E4236" t="str">
        <f>HYPERLINK("https://patents.google.com/patent/US20050158212A1/en")</f>
        <v>https://patents.google.com/patent/US20050158212A1/en</v>
      </c>
    </row>
    <row r="4237" spans="3:5" x14ac:dyDescent="0.25">
      <c r="C4237" t="s">
        <v>7376</v>
      </c>
      <c r="D4237" t="s">
        <v>7377</v>
      </c>
      <c r="E4237" t="str">
        <f>HYPERLINK("https://patents.google.com/patent/US20100212654A1/en")</f>
        <v>https://patents.google.com/patent/US20100212654A1/en</v>
      </c>
    </row>
    <row r="4238" spans="3:5" x14ac:dyDescent="0.25">
      <c r="C4238" t="s">
        <v>7378</v>
      </c>
      <c r="D4238" t="s">
        <v>7379</v>
      </c>
      <c r="E4238" t="str">
        <f>HYPERLINK("https://patents.google.com/patent/US20090262455A1/en")</f>
        <v>https://patents.google.com/patent/US20090262455A1/en</v>
      </c>
    </row>
    <row r="4239" spans="3:5" x14ac:dyDescent="0.25">
      <c r="C4239" t="s">
        <v>7380</v>
      </c>
      <c r="D4239" t="s">
        <v>7381</v>
      </c>
      <c r="E4239" t="str">
        <f>HYPERLINK("https://patents.google.com/patent/US20040230863A1/en")</f>
        <v>https://patents.google.com/patent/US20040230863A1/en</v>
      </c>
    </row>
    <row r="4240" spans="3:5" x14ac:dyDescent="0.25">
      <c r="C4240" t="s">
        <v>7382</v>
      </c>
      <c r="D4240" t="s">
        <v>7383</v>
      </c>
      <c r="E4240" t="str">
        <f>HYPERLINK("https://patents.google.com/patent/US20090265043A1/en")</f>
        <v>https://patents.google.com/patent/US20090265043A1/en</v>
      </c>
    </row>
    <row r="4241" spans="3:5" x14ac:dyDescent="0.25">
      <c r="C4241" t="s">
        <v>7384</v>
      </c>
      <c r="D4241" t="s">
        <v>7385</v>
      </c>
      <c r="E4241" t="str">
        <f>HYPERLINK("https://patents.google.com/patent/US20070146371A1/en")</f>
        <v>https://patents.google.com/patent/US20070146371A1/en</v>
      </c>
    </row>
    <row r="4242" spans="3:5" x14ac:dyDescent="0.25">
      <c r="C4242" t="s">
        <v>7386</v>
      </c>
      <c r="D4242" t="s">
        <v>7387</v>
      </c>
      <c r="E4242" t="str">
        <f>HYPERLINK("https://patents.google.com/patent/US20070162164A1/en")</f>
        <v>https://patents.google.com/patent/US20070162164A1/en</v>
      </c>
    </row>
    <row r="4243" spans="3:5" x14ac:dyDescent="0.25">
      <c r="C4243" t="s">
        <v>6296</v>
      </c>
      <c r="D4243" t="s">
        <v>7388</v>
      </c>
      <c r="E4243" t="str">
        <f>HYPERLINK("https://patents.google.com/patent/US20070124144A1/en")</f>
        <v>https://patents.google.com/patent/US20070124144A1/en</v>
      </c>
    </row>
    <row r="4244" spans="3:5" x14ac:dyDescent="0.25">
      <c r="C4244" t="s">
        <v>7378</v>
      </c>
      <c r="D4244" t="s">
        <v>7389</v>
      </c>
      <c r="E4244" t="str">
        <f>HYPERLINK("https://patents.google.com/patent/US20090261228A1/en")</f>
        <v>https://patents.google.com/patent/US20090261228A1/en</v>
      </c>
    </row>
    <row r="4245" spans="3:5" x14ac:dyDescent="0.25">
      <c r="C4245" t="s">
        <v>7390</v>
      </c>
      <c r="D4245" t="s">
        <v>7391</v>
      </c>
      <c r="E4245" t="str">
        <f>HYPERLINK("https://patents.google.com/patent/CN102320040A/en")</f>
        <v>https://patents.google.com/patent/CN102320040A/en</v>
      </c>
    </row>
    <row r="4246" spans="3:5" x14ac:dyDescent="0.25">
      <c r="C4246" t="s">
        <v>7392</v>
      </c>
      <c r="D4246" t="s">
        <v>7393</v>
      </c>
      <c r="E4246" t="str">
        <f>HYPERLINK("https://patents.google.com/patent/US20160327847A1/en")</f>
        <v>https://patents.google.com/patent/US20160327847A1/en</v>
      </c>
    </row>
    <row r="4247" spans="3:5" x14ac:dyDescent="0.25">
      <c r="C4247" t="s">
        <v>7394</v>
      </c>
      <c r="D4247" t="s">
        <v>7395</v>
      </c>
      <c r="E4247" t="str">
        <f>HYPERLINK("https://patents.google.com/patent/EP2071343A1/en")</f>
        <v>https://patents.google.com/patent/EP2071343A1/en</v>
      </c>
    </row>
    <row r="4248" spans="3:5" x14ac:dyDescent="0.25">
      <c r="C4248" t="s">
        <v>7396</v>
      </c>
      <c r="D4248" t="s">
        <v>7397</v>
      </c>
      <c r="E4248" t="str">
        <f>HYPERLINK("https://patents.google.com/patent/CN202668545U/en")</f>
        <v>https://patents.google.com/patent/CN202668545U/en</v>
      </c>
    </row>
    <row r="4249" spans="3:5" x14ac:dyDescent="0.25">
      <c r="C4249" t="s">
        <v>7378</v>
      </c>
      <c r="D4249" t="s">
        <v>7398</v>
      </c>
      <c r="E4249" t="str">
        <f>HYPERLINK("https://patents.google.com/patent/US20090262454A1/en")</f>
        <v>https://patents.google.com/patent/US20090262454A1/en</v>
      </c>
    </row>
    <row r="4250" spans="3:5" x14ac:dyDescent="0.25">
      <c r="C4250" t="s">
        <v>7399</v>
      </c>
      <c r="D4250" t="s">
        <v>7400</v>
      </c>
      <c r="E4250" t="str">
        <f>HYPERLINK("https://patents.google.com/patent/WO1993015452A1/en")</f>
        <v>https://patents.google.com/patent/WO1993015452A1/en</v>
      </c>
    </row>
    <row r="4251" spans="3:5" x14ac:dyDescent="0.25">
      <c r="C4251" t="s">
        <v>7401</v>
      </c>
      <c r="D4251" t="s">
        <v>7402</v>
      </c>
      <c r="E4251" t="str">
        <f>HYPERLINK("https://patents.google.com/patent/US20090261047A1/en")</f>
        <v>https://patents.google.com/patent/US20090261047A1/en</v>
      </c>
    </row>
    <row r="4252" spans="3:5" x14ac:dyDescent="0.25">
      <c r="C4252" t="s">
        <v>7403</v>
      </c>
      <c r="D4252" t="s">
        <v>7404</v>
      </c>
      <c r="E4252" t="str">
        <f>HYPERLINK("https://patents.google.com/patent/US20120116568A1/en")</f>
        <v>https://patents.google.com/patent/US20120116568A1/en</v>
      </c>
    </row>
    <row r="4253" spans="3:5" x14ac:dyDescent="0.25">
      <c r="C4253" t="s">
        <v>7405</v>
      </c>
      <c r="D4253" t="s">
        <v>7406</v>
      </c>
      <c r="E4253" t="str">
        <f>HYPERLINK("https://patents.google.com/patent/US20090302626A1/en")</f>
        <v>https://patents.google.com/patent/US20090302626A1/en</v>
      </c>
    </row>
    <row r="4254" spans="3:5" x14ac:dyDescent="0.25">
      <c r="C4254" t="s">
        <v>7407</v>
      </c>
      <c r="D4254" t="s">
        <v>7408</v>
      </c>
      <c r="E4254" t="str">
        <f>HYPERLINK("https://patents.google.com/patent/US5336982A/en")</f>
        <v>https://patents.google.com/patent/US5336982A/en</v>
      </c>
    </row>
    <row r="4255" spans="3:5" x14ac:dyDescent="0.25">
      <c r="C4255" t="s">
        <v>7409</v>
      </c>
      <c r="D4255" t="s">
        <v>7410</v>
      </c>
      <c r="E4255" t="str">
        <f>HYPERLINK("https://patents.google.com/patent/US20110191013A1/en")</f>
        <v>https://patents.google.com/patent/US20110191013A1/en</v>
      </c>
    </row>
    <row r="4256" spans="3:5" x14ac:dyDescent="0.25">
      <c r="C4256" t="s">
        <v>7411</v>
      </c>
      <c r="D4256" t="s">
        <v>7412</v>
      </c>
      <c r="E4256" t="str">
        <f>HYPERLINK("https://patents.google.com/patent/US20060088196A1/en")</f>
        <v>https://patents.google.com/patent/US20060088196A1/en</v>
      </c>
    </row>
    <row r="4257" spans="3:5" x14ac:dyDescent="0.25">
      <c r="C4257" t="s">
        <v>7413</v>
      </c>
      <c r="D4257" t="s">
        <v>7414</v>
      </c>
      <c r="E4257" t="str">
        <f>HYPERLINK("https://patents.google.com/patent/US20040143559A1/en")</f>
        <v>https://patents.google.com/patent/US20040143559A1/en</v>
      </c>
    </row>
    <row r="4258" spans="3:5" x14ac:dyDescent="0.25">
      <c r="C4258" t="s">
        <v>7415</v>
      </c>
      <c r="D4258" t="s">
        <v>7416</v>
      </c>
      <c r="E4258" t="str">
        <f>HYPERLINK("https://patents.google.com/patent/US4517853A/en")</f>
        <v>https://patents.google.com/patent/US4517853A/en</v>
      </c>
    </row>
    <row r="4259" spans="3:5" x14ac:dyDescent="0.25">
      <c r="C4259" t="s">
        <v>7417</v>
      </c>
      <c r="D4259" t="s">
        <v>7418</v>
      </c>
      <c r="E4259" t="str">
        <f>HYPERLINK("https://patents.google.com/patent/US6856863B1/en")</f>
        <v>https://patents.google.com/patent/US6856863B1/en</v>
      </c>
    </row>
    <row r="4260" spans="3:5" x14ac:dyDescent="0.25">
      <c r="C4260" t="s">
        <v>7419</v>
      </c>
      <c r="D4260" t="s">
        <v>7420</v>
      </c>
      <c r="E4260" t="str">
        <f>HYPERLINK("https://patents.google.com/patent/CN103976739A/en")</f>
        <v>https://patents.google.com/patent/CN103976739A/en</v>
      </c>
    </row>
    <row r="4261" spans="3:5" x14ac:dyDescent="0.25">
      <c r="C4261" t="s">
        <v>7421</v>
      </c>
      <c r="D4261" t="s">
        <v>7422</v>
      </c>
      <c r="E4261" t="str">
        <f>HYPERLINK("https://patents.google.com/patent/US20160227193A1/en")</f>
        <v>https://patents.google.com/patent/US20160227193A1/en</v>
      </c>
    </row>
    <row r="4262" spans="3:5" x14ac:dyDescent="0.25">
      <c r="C4262" t="s">
        <v>7423</v>
      </c>
      <c r="D4262" t="s">
        <v>7424</v>
      </c>
      <c r="E4262" t="str">
        <f>HYPERLINK("https://patents.google.com/patent/CN104118508A/en")</f>
        <v>https://patents.google.com/patent/CN104118508A/en</v>
      </c>
    </row>
    <row r="4263" spans="3:5" x14ac:dyDescent="0.25">
      <c r="C4263" t="s">
        <v>7425</v>
      </c>
      <c r="D4263" t="s">
        <v>7426</v>
      </c>
      <c r="E4263" t="str">
        <f>HYPERLINK("https://patents.google.com/patent/US20150037445A1/en")</f>
        <v>https://patents.google.com/patent/US20150037445A1/en</v>
      </c>
    </row>
    <row r="4264" spans="3:5" x14ac:dyDescent="0.25">
      <c r="C4264" t="s">
        <v>7427</v>
      </c>
      <c r="D4264" t="s">
        <v>7428</v>
      </c>
      <c r="E4264" t="str">
        <f>HYPERLINK("https://patents.google.com/patent/US20080139087A1/en")</f>
        <v>https://patents.google.com/patent/US20080139087A1/en</v>
      </c>
    </row>
    <row r="4265" spans="3:5" x14ac:dyDescent="0.25">
      <c r="C4265" t="s">
        <v>7429</v>
      </c>
      <c r="D4265" t="s">
        <v>7430</v>
      </c>
      <c r="E4265" t="str">
        <f>HYPERLINK("https://patents.google.com/patent/US6453541B1/en")</f>
        <v>https://patents.google.com/patent/US6453541B1/en</v>
      </c>
    </row>
    <row r="4266" spans="3:5" x14ac:dyDescent="0.25">
      <c r="C4266" t="s">
        <v>7431</v>
      </c>
      <c r="D4266" t="s">
        <v>7432</v>
      </c>
      <c r="E4266" t="str">
        <f>HYPERLINK("https://patents.google.com/patent/US6866255B2/en")</f>
        <v>https://patents.google.com/patent/US6866255B2/en</v>
      </c>
    </row>
    <row r="4267" spans="3:5" x14ac:dyDescent="0.25">
      <c r="C4267" t="s">
        <v>7433</v>
      </c>
      <c r="D4267" t="s">
        <v>7434</v>
      </c>
      <c r="E4267" t="str">
        <f>HYPERLINK("https://patents.google.com/patent/US6792956B2/en")</f>
        <v>https://patents.google.com/patent/US6792956B2/en</v>
      </c>
    </row>
    <row r="4268" spans="3:5" x14ac:dyDescent="0.25">
      <c r="C4268" t="s">
        <v>7435</v>
      </c>
      <c r="D4268" t="s">
        <v>7436</v>
      </c>
      <c r="E4268" t="str">
        <f>HYPERLINK("https://patents.google.com/patent/US20160025756A1/en")</f>
        <v>https://patents.google.com/patent/US20160025756A1/en</v>
      </c>
    </row>
    <row r="4269" spans="3:5" x14ac:dyDescent="0.25">
      <c r="C4269" t="s">
        <v>7437</v>
      </c>
      <c r="D4269" t="s">
        <v>7438</v>
      </c>
      <c r="E4269" t="str">
        <f>HYPERLINK("https://patents.google.com/patent/US20040040805A1/en")</f>
        <v>https://patents.google.com/patent/US20040040805A1/en</v>
      </c>
    </row>
    <row r="4270" spans="3:5" x14ac:dyDescent="0.25">
      <c r="C4270" t="s">
        <v>7439</v>
      </c>
      <c r="D4270" t="s">
        <v>7440</v>
      </c>
      <c r="E4270" t="str">
        <f>HYPERLINK("https://patents.google.com/patent/US20140093932A1/en")</f>
        <v>https://patents.google.com/patent/US20140093932A1/en</v>
      </c>
    </row>
    <row r="4271" spans="3:5" x14ac:dyDescent="0.25">
      <c r="C4271" t="s">
        <v>7441</v>
      </c>
      <c r="D4271" t="s">
        <v>7442</v>
      </c>
      <c r="E4271" t="str">
        <f>HYPERLINK("https://patents.google.com/patent/WO1997025834A2/en")</f>
        <v>https://patents.google.com/patent/WO1997025834A2/en</v>
      </c>
    </row>
    <row r="4272" spans="3:5" x14ac:dyDescent="0.25">
      <c r="C4272" t="s">
        <v>7443</v>
      </c>
      <c r="D4272" t="s">
        <v>7444</v>
      </c>
      <c r="E4272" t="str">
        <f>HYPERLINK("https://patents.google.com/patent/US20100245541A1/en")</f>
        <v>https://patents.google.com/patent/US20100245541A1/en</v>
      </c>
    </row>
    <row r="4273" spans="3:5" x14ac:dyDescent="0.25">
      <c r="C4273" t="s">
        <v>7445</v>
      </c>
      <c r="D4273" t="s">
        <v>7446</v>
      </c>
      <c r="E4273" t="str">
        <f>HYPERLINK("https://patents.google.com/patent/US6599482B1/en")</f>
        <v>https://patents.google.com/patent/US6599482B1/en</v>
      </c>
    </row>
    <row r="4274" spans="3:5" x14ac:dyDescent="0.25">
      <c r="C4274" t="s">
        <v>7447</v>
      </c>
      <c r="D4274" t="s">
        <v>7448</v>
      </c>
      <c r="E4274" t="str">
        <f>HYPERLINK("https://patents.google.com/patent/CN102390498A/en")</f>
        <v>https://patents.google.com/patent/CN102390498A/en</v>
      </c>
    </row>
    <row r="4275" spans="3:5" x14ac:dyDescent="0.25">
      <c r="C4275" t="s">
        <v>7449</v>
      </c>
      <c r="D4275" t="s">
        <v>7450</v>
      </c>
      <c r="E4275" t="str">
        <f>HYPERLINK("https://patents.google.com/patent/US6648720B1/en")</f>
        <v>https://patents.google.com/patent/US6648720B1/en</v>
      </c>
    </row>
    <row r="4276" spans="3:5" x14ac:dyDescent="0.25">
      <c r="C4276" t="s">
        <v>7451</v>
      </c>
      <c r="D4276" t="s">
        <v>7452</v>
      </c>
      <c r="E4276" t="str">
        <f>HYPERLINK("https://patents.google.com/patent/JP2005081447A/en")</f>
        <v>https://patents.google.com/patent/JP2005081447A/en</v>
      </c>
    </row>
    <row r="4277" spans="3:5" x14ac:dyDescent="0.25">
      <c r="C4277" t="s">
        <v>7453</v>
      </c>
      <c r="D4277" t="s">
        <v>7454</v>
      </c>
      <c r="E4277" t="str">
        <f>HYPERLINK("https://patents.google.com/patent/US20120316684A1/en")</f>
        <v>https://patents.google.com/patent/US20120316684A1/en</v>
      </c>
    </row>
    <row r="4278" spans="3:5" x14ac:dyDescent="0.25">
      <c r="C4278" t="s">
        <v>7455</v>
      </c>
      <c r="D4278" t="s">
        <v>7456</v>
      </c>
      <c r="E4278" t="str">
        <f>HYPERLINK("https://patents.google.com/patent/CN102303700A/en")</f>
        <v>https://patents.google.com/patent/CN102303700A/en</v>
      </c>
    </row>
    <row r="4279" spans="3:5" x14ac:dyDescent="0.25">
      <c r="C4279" t="s">
        <v>7457</v>
      </c>
      <c r="D4279" t="s">
        <v>7458</v>
      </c>
      <c r="E4279" t="str">
        <f>HYPERLINK("https://patents.google.com/patent/CN101914893A/en")</f>
        <v>https://patents.google.com/patent/CN101914893A/en</v>
      </c>
    </row>
    <row r="4280" spans="3:5" x14ac:dyDescent="0.25">
      <c r="C4280" t="s">
        <v>7459</v>
      </c>
      <c r="D4280" t="s">
        <v>7460</v>
      </c>
      <c r="E4280" t="str">
        <f>HYPERLINK("https://patents.google.com/patent/CN102029501A/en")</f>
        <v>https://patents.google.com/patent/CN102029501A/en</v>
      </c>
    </row>
    <row r="4281" spans="3:5" x14ac:dyDescent="0.25">
      <c r="C4281" t="s">
        <v>7461</v>
      </c>
      <c r="D4281" t="s">
        <v>7462</v>
      </c>
      <c r="E4281" t="str">
        <f>HYPERLINK("https://patents.google.com/patent/DE19922085A1/en")</f>
        <v>https://patents.google.com/patent/DE19922085A1/en</v>
      </c>
    </row>
    <row r="4282" spans="3:5" x14ac:dyDescent="0.25">
      <c r="C4282" t="s">
        <v>7463</v>
      </c>
      <c r="D4282" t="s">
        <v>7464</v>
      </c>
      <c r="E4282" t="str">
        <f>HYPERLINK("https://patents.google.com/patent/CN1339348A/en")</f>
        <v>https://patents.google.com/patent/CN1339348A/en</v>
      </c>
    </row>
    <row r="4283" spans="3:5" x14ac:dyDescent="0.25">
      <c r="C4283" t="s">
        <v>7465</v>
      </c>
      <c r="D4283" t="s">
        <v>7466</v>
      </c>
      <c r="E4283" t="str">
        <f>HYPERLINK("https://patents.google.com/patent/US20070249457A1/en")</f>
        <v>https://patents.google.com/patent/US20070249457A1/en</v>
      </c>
    </row>
    <row r="4284" spans="3:5" x14ac:dyDescent="0.25">
      <c r="C4284" t="s">
        <v>5967</v>
      </c>
      <c r="D4284" t="s">
        <v>7467</v>
      </c>
      <c r="E4284" t="str">
        <f>HYPERLINK("https://patents.google.com/patent/US6959231B2/en")</f>
        <v>https://patents.google.com/patent/US6959231B2/en</v>
      </c>
    </row>
    <row r="4285" spans="3:5" x14ac:dyDescent="0.25">
      <c r="C4285" t="s">
        <v>7468</v>
      </c>
      <c r="D4285" t="s">
        <v>7469</v>
      </c>
      <c r="E4285" t="str">
        <f>HYPERLINK("https://patents.google.com/patent/US20100138366A1/en")</f>
        <v>https://patents.google.com/patent/US20100138366A1/en</v>
      </c>
    </row>
    <row r="4286" spans="3:5" x14ac:dyDescent="0.25">
      <c r="C4286" t="s">
        <v>7470</v>
      </c>
      <c r="D4286" t="s">
        <v>7471</v>
      </c>
      <c r="E4286" t="str">
        <f>HYPERLINK("https://patents.google.com/patent/CN201988822U/en")</f>
        <v>https://patents.google.com/patent/CN201988822U/en</v>
      </c>
    </row>
    <row r="4287" spans="3:5" x14ac:dyDescent="0.25">
      <c r="C4287" t="s">
        <v>7472</v>
      </c>
      <c r="D4287" t="s">
        <v>7473</v>
      </c>
      <c r="E4287" t="str">
        <f>HYPERLINK("https://patents.google.com/patent/CN103263339A/en")</f>
        <v>https://patents.google.com/patent/CN103263339A/en</v>
      </c>
    </row>
    <row r="4288" spans="3:5" x14ac:dyDescent="0.25">
      <c r="C4288" t="s">
        <v>7262</v>
      </c>
      <c r="D4288" t="s">
        <v>7474</v>
      </c>
      <c r="E4288" t="str">
        <f>HYPERLINK("https://patents.google.com/patent/EP0233712A2/en")</f>
        <v>https://patents.google.com/patent/EP0233712A2/en</v>
      </c>
    </row>
    <row r="4289" spans="3:5" x14ac:dyDescent="0.25">
      <c r="C4289" t="s">
        <v>7475</v>
      </c>
      <c r="D4289" t="s">
        <v>7476</v>
      </c>
      <c r="E4289" t="str">
        <f>HYPERLINK("https://patents.google.com/patent/DE102005003827A1/en")</f>
        <v>https://patents.google.com/patent/DE102005003827A1/en</v>
      </c>
    </row>
    <row r="4290" spans="3:5" x14ac:dyDescent="0.25">
      <c r="C4290" t="s">
        <v>7477</v>
      </c>
      <c r="D4290" t="s">
        <v>7478</v>
      </c>
      <c r="E4290" t="str">
        <f>HYPERLINK("https://patents.google.com/patent/US20110114080A1/en")</f>
        <v>https://patents.google.com/patent/US20110114080A1/en</v>
      </c>
    </row>
    <row r="4291" spans="3:5" x14ac:dyDescent="0.25">
      <c r="C4291" t="s">
        <v>7479</v>
      </c>
      <c r="D4291" t="s">
        <v>7480</v>
      </c>
      <c r="E4291" t="str">
        <f>HYPERLINK("https://patents.google.com/patent/US20160145884A1/en")</f>
        <v>https://patents.google.com/patent/US20160145884A1/en</v>
      </c>
    </row>
    <row r="4292" spans="3:5" x14ac:dyDescent="0.25">
      <c r="C4292" t="s">
        <v>7481</v>
      </c>
      <c r="D4292" t="s">
        <v>7482</v>
      </c>
      <c r="E4292" t="str">
        <f>HYPERLINK("https://patents.google.com/patent/US8413752B2/en")</f>
        <v>https://patents.google.com/patent/US8413752B2/en</v>
      </c>
    </row>
    <row r="4293" spans="3:5" x14ac:dyDescent="0.25">
      <c r="C4293" t="s">
        <v>7483</v>
      </c>
      <c r="D4293" t="s">
        <v>7484</v>
      </c>
      <c r="E4293" t="str">
        <f>HYPERLINK("https://patents.google.com/patent/CN201511364U/en")</f>
        <v>https://patents.google.com/patent/CN201511364U/en</v>
      </c>
    </row>
    <row r="4294" spans="3:5" x14ac:dyDescent="0.25">
      <c r="C4294" t="s">
        <v>7485</v>
      </c>
      <c r="D4294" t="s">
        <v>7486</v>
      </c>
      <c r="E4294" t="str">
        <f>HYPERLINK("https://patents.google.com/patent/CN1760900A/en")</f>
        <v>https://patents.google.com/patent/CN1760900A/en</v>
      </c>
    </row>
    <row r="4295" spans="3:5" x14ac:dyDescent="0.25">
      <c r="C4295" t="s">
        <v>7487</v>
      </c>
      <c r="D4295" t="s">
        <v>7488</v>
      </c>
      <c r="E4295" t="str">
        <f>HYPERLINK("https://patents.google.com/patent/US20150276775A1/en")</f>
        <v>https://patents.google.com/patent/US20150276775A1/en</v>
      </c>
    </row>
    <row r="4296" spans="3:5" x14ac:dyDescent="0.25">
      <c r="C4296" t="s">
        <v>7489</v>
      </c>
      <c r="D4296" t="s">
        <v>7490</v>
      </c>
      <c r="E4296" t="str">
        <f>HYPERLINK("https://patents.google.com/patent/US20060076167A1/en")</f>
        <v>https://patents.google.com/patent/US20060076167A1/en</v>
      </c>
    </row>
    <row r="4297" spans="3:5" x14ac:dyDescent="0.25">
      <c r="C4297" t="s">
        <v>7322</v>
      </c>
      <c r="D4297" t="s">
        <v>7491</v>
      </c>
      <c r="E4297" t="str">
        <f>HYPERLINK("https://patents.google.com/patent/EP0320498A2/en")</f>
        <v>https://patents.google.com/patent/EP0320498A2/en</v>
      </c>
    </row>
    <row r="4298" spans="3:5" x14ac:dyDescent="0.25">
      <c r="C4298" t="s">
        <v>7492</v>
      </c>
      <c r="D4298" t="s">
        <v>7493</v>
      </c>
      <c r="E4298" t="str">
        <f>HYPERLINK("https://patents.google.com/patent/CN200987756Y/en")</f>
        <v>https://patents.google.com/patent/CN200987756Y/en</v>
      </c>
    </row>
    <row r="4299" spans="3:5" x14ac:dyDescent="0.25">
      <c r="C4299" t="s">
        <v>7494</v>
      </c>
      <c r="D4299" t="s">
        <v>7495</v>
      </c>
      <c r="E4299" t="str">
        <f>HYPERLINK("https://patents.google.com/patent/US20140373747A1/en")</f>
        <v>https://patents.google.com/patent/US20140373747A1/en</v>
      </c>
    </row>
    <row r="4300" spans="3:5" x14ac:dyDescent="0.25">
      <c r="C4300" t="s">
        <v>7496</v>
      </c>
      <c r="D4300" t="s">
        <v>7497</v>
      </c>
      <c r="E4300" t="str">
        <f>HYPERLINK("https://patents.google.com/patent/JP2003181789A/en")</f>
        <v>https://patents.google.com/patent/JP2003181789A/en</v>
      </c>
    </row>
    <row r="4301" spans="3:5" x14ac:dyDescent="0.25">
      <c r="C4301" t="s">
        <v>7498</v>
      </c>
      <c r="D4301" t="s">
        <v>7499</v>
      </c>
      <c r="E4301" t="str">
        <f>HYPERLINK("https://patents.google.com/patent/US6871893B2/en")</f>
        <v>https://patents.google.com/patent/US6871893B2/en</v>
      </c>
    </row>
    <row r="4302" spans="3:5" x14ac:dyDescent="0.25">
      <c r="C4302" t="s">
        <v>7500</v>
      </c>
      <c r="D4302" t="s">
        <v>7501</v>
      </c>
      <c r="E4302" t="str">
        <f>HYPERLINK("https://patents.google.com/patent/US20060096050A1/en")</f>
        <v>https://patents.google.com/patent/US20060096050A1/en</v>
      </c>
    </row>
    <row r="4303" spans="3:5" x14ac:dyDescent="0.25">
      <c r="C4303" t="s">
        <v>7502</v>
      </c>
      <c r="D4303" t="s">
        <v>7503</v>
      </c>
      <c r="E4303" t="str">
        <f>HYPERLINK("https://patents.google.com/patent/US20120245734A1/en")</f>
        <v>https://patents.google.com/patent/US20120245734A1/en</v>
      </c>
    </row>
    <row r="4304" spans="3:5" x14ac:dyDescent="0.25">
      <c r="C4304" t="s">
        <v>7504</v>
      </c>
      <c r="D4304" t="s">
        <v>7505</v>
      </c>
      <c r="E4304" t="str">
        <f>HYPERLINK("https://patents.google.com/patent/US20090044833A1/en")</f>
        <v>https://patents.google.com/patent/US20090044833A1/en</v>
      </c>
    </row>
    <row r="4305" spans="3:5" x14ac:dyDescent="0.25">
      <c r="C4305" t="s">
        <v>7506</v>
      </c>
      <c r="D4305" t="s">
        <v>7507</v>
      </c>
      <c r="E4305" t="str">
        <f>HYPERLINK("https://patents.google.com/patent/WO2014059134A1/en")</f>
        <v>https://patents.google.com/patent/WO2014059134A1/en</v>
      </c>
    </row>
    <row r="4306" spans="3:5" x14ac:dyDescent="0.25">
      <c r="C4306" t="s">
        <v>7508</v>
      </c>
      <c r="D4306" t="s">
        <v>7509</v>
      </c>
      <c r="E4306" t="str">
        <f>HYPERLINK("https://patents.google.com/patent/US20040102274A1/en")</f>
        <v>https://patents.google.com/patent/US20040102274A1/en</v>
      </c>
    </row>
    <row r="4307" spans="3:5" x14ac:dyDescent="0.25">
      <c r="C4307" t="s">
        <v>7510</v>
      </c>
      <c r="D4307" t="s">
        <v>7511</v>
      </c>
      <c r="E4307" t="str">
        <f>HYPERLINK("https://patents.google.com/patent/WO1998006043A1/en")</f>
        <v>https://patents.google.com/patent/WO1998006043A1/en</v>
      </c>
    </row>
    <row r="4308" spans="3:5" x14ac:dyDescent="0.25">
      <c r="C4308" t="s">
        <v>7512</v>
      </c>
      <c r="D4308" t="s">
        <v>7513</v>
      </c>
      <c r="E4308" t="str">
        <f>HYPERLINK("https://patents.google.com/patent/US6651867B2/en")</f>
        <v>https://patents.google.com/patent/US6651867B2/en</v>
      </c>
    </row>
    <row r="4309" spans="3:5" x14ac:dyDescent="0.25">
      <c r="C4309" t="s">
        <v>6612</v>
      </c>
      <c r="D4309" t="s">
        <v>7514</v>
      </c>
      <c r="E4309" t="str">
        <f>HYPERLINK("https://patents.google.com/patent/JP2002307354A/en")</f>
        <v>https://patents.google.com/patent/JP2002307354A/en</v>
      </c>
    </row>
    <row r="4310" spans="3:5" x14ac:dyDescent="0.25">
      <c r="C4310" t="s">
        <v>7515</v>
      </c>
      <c r="D4310" t="s">
        <v>7516</v>
      </c>
      <c r="E4310" t="str">
        <f>HYPERLINK("https://patents.google.com/patent/US20140305227A1/en")</f>
        <v>https://patents.google.com/patent/US20140305227A1/en</v>
      </c>
    </row>
    <row r="4311" spans="3:5" x14ac:dyDescent="0.25">
      <c r="C4311" t="s">
        <v>7306</v>
      </c>
      <c r="D4311" t="s">
        <v>7517</v>
      </c>
      <c r="E4311" t="str">
        <f>HYPERLINK("https://patents.google.com/patent/EP0019596A1/en")</f>
        <v>https://patents.google.com/patent/EP0019596A1/en</v>
      </c>
    </row>
    <row r="4312" spans="3:5" x14ac:dyDescent="0.25">
      <c r="C4312" t="s">
        <v>7518</v>
      </c>
      <c r="D4312" t="s">
        <v>7519</v>
      </c>
      <c r="E4312" t="str">
        <f>HYPERLINK("https://patents.google.com/patent/WO2004005575A2/en")</f>
        <v>https://patents.google.com/patent/WO2004005575A2/en</v>
      </c>
    </row>
    <row r="4313" spans="3:5" x14ac:dyDescent="0.25">
      <c r="C4313" t="s">
        <v>7520</v>
      </c>
      <c r="D4313" t="s">
        <v>7521</v>
      </c>
      <c r="E4313" t="str">
        <f>HYPERLINK("https://patents.google.com/patent/CN101623864A/en")</f>
        <v>https://patents.google.com/patent/CN101623864A/en</v>
      </c>
    </row>
    <row r="4314" spans="3:5" x14ac:dyDescent="0.25">
      <c r="C4314" t="s">
        <v>7522</v>
      </c>
      <c r="D4314" t="s">
        <v>7523</v>
      </c>
      <c r="E4314" t="str">
        <f>HYPERLINK("https://patents.google.com/patent/US4842475A/en")</f>
        <v>https://patents.google.com/patent/US4842475A/en</v>
      </c>
    </row>
    <row r="4315" spans="3:5" x14ac:dyDescent="0.25">
      <c r="C4315" t="s">
        <v>7524</v>
      </c>
      <c r="D4315" t="s">
        <v>7525</v>
      </c>
      <c r="E4315" t="str">
        <f>HYPERLINK("https://patents.google.com/patent/CN101746431A/en")</f>
        <v>https://patents.google.com/patent/CN101746431A/en</v>
      </c>
    </row>
    <row r="4316" spans="3:5" x14ac:dyDescent="0.25">
      <c r="C4316" t="s">
        <v>7526</v>
      </c>
      <c r="D4316" t="s">
        <v>7527</v>
      </c>
      <c r="E4316" t="str">
        <f>HYPERLINK("https://patents.google.com/patent/CN201217501Y/en")</f>
        <v>https://patents.google.com/patent/CN201217501Y/en</v>
      </c>
    </row>
    <row r="4317" spans="3:5" x14ac:dyDescent="0.25">
      <c r="C4317" t="s">
        <v>7528</v>
      </c>
      <c r="D4317" t="s">
        <v>7529</v>
      </c>
      <c r="E4317" t="str">
        <f>HYPERLINK("https://patents.google.com/patent/CN102128705A/en")</f>
        <v>https://patents.google.com/patent/CN102128705A/en</v>
      </c>
    </row>
    <row r="4318" spans="3:5" x14ac:dyDescent="0.25">
      <c r="C4318" t="s">
        <v>7530</v>
      </c>
      <c r="D4318" t="s">
        <v>7531</v>
      </c>
      <c r="E4318" t="str">
        <f>HYPERLINK("https://patents.google.com/patent/CN201935783U/en")</f>
        <v>https://patents.google.com/patent/CN201935783U/en</v>
      </c>
    </row>
    <row r="4319" spans="3:5" x14ac:dyDescent="0.25">
      <c r="C4319" t="s">
        <v>7532</v>
      </c>
      <c r="D4319" t="s">
        <v>7533</v>
      </c>
      <c r="E4319" t="str">
        <f>HYPERLINK("https://patents.google.com/patent/US20130330162A1/en")</f>
        <v>https://patents.google.com/patent/US20130330162A1/en</v>
      </c>
    </row>
    <row r="4320" spans="3:5" x14ac:dyDescent="0.25">
      <c r="C4320" t="s">
        <v>7534</v>
      </c>
      <c r="D4320" t="s">
        <v>7535</v>
      </c>
      <c r="E4320" t="str">
        <f>HYPERLINK("https://patents.google.com/patent/US20150136012A1/en")</f>
        <v>https://patents.google.com/patent/US20150136012A1/en</v>
      </c>
    </row>
    <row r="4321" spans="3:5" x14ac:dyDescent="0.25">
      <c r="C4321" t="s">
        <v>7536</v>
      </c>
      <c r="D4321" t="s">
        <v>7537</v>
      </c>
      <c r="E4321" t="str">
        <f>HYPERLINK("https://patents.google.com/patent/EP0862113A2/en")</f>
        <v>https://patents.google.com/patent/EP0862113A2/en</v>
      </c>
    </row>
    <row r="4322" spans="3:5" x14ac:dyDescent="0.25">
      <c r="C4322" t="s">
        <v>7538</v>
      </c>
      <c r="D4322" t="s">
        <v>7539</v>
      </c>
      <c r="E4322" t="str">
        <f>HYPERLINK("https://patents.google.com/patent/CN201136150Y/en")</f>
        <v>https://patents.google.com/patent/CN201136150Y/en</v>
      </c>
    </row>
    <row r="4323" spans="3:5" x14ac:dyDescent="0.25">
      <c r="C4323" t="s">
        <v>7540</v>
      </c>
      <c r="D4323" t="s">
        <v>7541</v>
      </c>
      <c r="E4323" t="str">
        <f>HYPERLINK("https://patents.google.com/patent/US6842246B2/en")</f>
        <v>https://patents.google.com/patent/US6842246B2/en</v>
      </c>
    </row>
    <row r="4324" spans="3:5" x14ac:dyDescent="0.25">
      <c r="C4324" t="s">
        <v>7542</v>
      </c>
      <c r="D4324" t="s">
        <v>7543</v>
      </c>
      <c r="E4324" t="str">
        <f>HYPERLINK("https://patents.google.com/patent/US20090014500A1/en")</f>
        <v>https://patents.google.com/patent/US20090014500A1/en</v>
      </c>
    </row>
    <row r="4325" spans="3:5" x14ac:dyDescent="0.25">
      <c r="C4325" t="s">
        <v>7368</v>
      </c>
      <c r="D4325" t="s">
        <v>7544</v>
      </c>
      <c r="E4325" t="str">
        <f>HYPERLINK("https://patents.google.com/patent/US20140319916A1/en")</f>
        <v>https://patents.google.com/patent/US20140319916A1/en</v>
      </c>
    </row>
    <row r="4326" spans="3:5" x14ac:dyDescent="0.25">
      <c r="C4326" t="s">
        <v>7545</v>
      </c>
      <c r="D4326" t="s">
        <v>7546</v>
      </c>
      <c r="E4326" t="str">
        <f>HYPERLINK("https://patents.google.com/patent/US20100219920A1/en")</f>
        <v>https://patents.google.com/patent/US20100219920A1/en</v>
      </c>
    </row>
    <row r="4327" spans="3:5" x14ac:dyDescent="0.25">
      <c r="C4327" t="s">
        <v>7547</v>
      </c>
      <c r="D4327" t="s">
        <v>7548</v>
      </c>
      <c r="E4327" t="str">
        <f>HYPERLINK("https://patents.google.com/patent/US20110185556A1/en")</f>
        <v>https://patents.google.com/patent/US20110185556A1/en</v>
      </c>
    </row>
    <row r="4328" spans="3:5" x14ac:dyDescent="0.25">
      <c r="C4328" t="s">
        <v>7549</v>
      </c>
      <c r="D4328" t="s">
        <v>7550</v>
      </c>
      <c r="E4328" t="str">
        <f>HYPERLINK("https://patents.google.com/patent/DE102010027248A1/en")</f>
        <v>https://patents.google.com/patent/DE102010027248A1/en</v>
      </c>
    </row>
    <row r="4329" spans="3:5" x14ac:dyDescent="0.25">
      <c r="C4329" t="s">
        <v>7551</v>
      </c>
      <c r="D4329" t="s">
        <v>7552</v>
      </c>
      <c r="E4329" t="str">
        <f>HYPERLINK("https://patents.google.com/patent/US7421314B2/en")</f>
        <v>https://patents.google.com/patent/US7421314B2/en</v>
      </c>
    </row>
    <row r="4330" spans="3:5" x14ac:dyDescent="0.25">
      <c r="C4330" t="s">
        <v>7553</v>
      </c>
      <c r="D4330" t="s">
        <v>7554</v>
      </c>
      <c r="E4330" t="str">
        <f>HYPERLINK("https://patents.google.com/patent/CN103640022A/en")</f>
        <v>https://patents.google.com/patent/CN103640022A/en</v>
      </c>
    </row>
    <row r="4331" spans="3:5" x14ac:dyDescent="0.25">
      <c r="C4331" t="s">
        <v>7555</v>
      </c>
      <c r="D4331" t="s">
        <v>7556</v>
      </c>
      <c r="E4331" t="str">
        <f>HYPERLINK("https://patents.google.com/patent/CN203698535U/en")</f>
        <v>https://patents.google.com/patent/CN203698535U/en</v>
      </c>
    </row>
    <row r="4332" spans="3:5" x14ac:dyDescent="0.25">
      <c r="C4332" t="s">
        <v>7557</v>
      </c>
      <c r="D4332" t="s">
        <v>7558</v>
      </c>
      <c r="E4332" t="str">
        <f>HYPERLINK("https://patents.google.com/patent/CN204182538U/en")</f>
        <v>https://patents.google.com/patent/CN204182538U/en</v>
      </c>
    </row>
    <row r="4333" spans="3:5" x14ac:dyDescent="0.25">
      <c r="C4333" t="s">
        <v>7559</v>
      </c>
      <c r="D4333" t="s">
        <v>7560</v>
      </c>
      <c r="E4333" t="str">
        <f>HYPERLINK("https://patents.google.com/patent/US20070061038A1/en")</f>
        <v>https://patents.google.com/patent/US20070061038A1/en</v>
      </c>
    </row>
    <row r="4334" spans="3:5" x14ac:dyDescent="0.25">
      <c r="C4334" t="s">
        <v>7561</v>
      </c>
      <c r="D4334" t="s">
        <v>7562</v>
      </c>
      <c r="E4334" t="str">
        <f>HYPERLINK("https://patents.google.com/patent/US20110175274A1/en")</f>
        <v>https://patents.google.com/patent/US20110175274A1/en</v>
      </c>
    </row>
    <row r="4335" spans="3:5" x14ac:dyDescent="0.25">
      <c r="C4335" t="s">
        <v>7563</v>
      </c>
      <c r="D4335" t="s">
        <v>7564</v>
      </c>
      <c r="E4335" t="str">
        <f>HYPERLINK("https://patents.google.com/patent/US20140277715A1/en")</f>
        <v>https://patents.google.com/patent/US20140277715A1/en</v>
      </c>
    </row>
    <row r="4336" spans="3:5" x14ac:dyDescent="0.25">
      <c r="C4336" t="s">
        <v>7565</v>
      </c>
      <c r="D4336" t="s">
        <v>7566</v>
      </c>
      <c r="E4336" t="str">
        <f>HYPERLINK("https://patents.google.com/patent/US7366585B2/en")</f>
        <v>https://patents.google.com/patent/US7366585B2/en</v>
      </c>
    </row>
    <row r="4337" spans="3:5" x14ac:dyDescent="0.25">
      <c r="C4337" t="s">
        <v>7567</v>
      </c>
      <c r="D4337" t="s">
        <v>7568</v>
      </c>
      <c r="E4337" t="str">
        <f>HYPERLINK("https://patents.google.com/patent/CN101462595A/en")</f>
        <v>https://patents.google.com/patent/CN101462595A/en</v>
      </c>
    </row>
    <row r="4338" spans="3:5" x14ac:dyDescent="0.25">
      <c r="C4338" t="s">
        <v>7569</v>
      </c>
      <c r="D4338" t="s">
        <v>7570</v>
      </c>
      <c r="E4338" t="str">
        <f>HYPERLINK("https://patents.google.com/patent/US20130006421A1/en")</f>
        <v>https://patents.google.com/patent/US20130006421A1/en</v>
      </c>
    </row>
    <row r="4339" spans="3:5" x14ac:dyDescent="0.25">
      <c r="C4339" t="s">
        <v>7571</v>
      </c>
      <c r="D4339" t="s">
        <v>7572</v>
      </c>
      <c r="E4339" t="str">
        <f>HYPERLINK("https://patents.google.com/patent/EP2666064B1/en")</f>
        <v>https://patents.google.com/patent/EP2666064B1/en</v>
      </c>
    </row>
    <row r="4340" spans="3:5" x14ac:dyDescent="0.25">
      <c r="C4340" t="s">
        <v>7573</v>
      </c>
      <c r="D4340" t="s">
        <v>7574</v>
      </c>
      <c r="E4340" t="str">
        <f>HYPERLINK("https://patents.google.com/patent/US10039219B1/en")</f>
        <v>https://patents.google.com/patent/US10039219B1/en</v>
      </c>
    </row>
    <row r="4341" spans="3:5" x14ac:dyDescent="0.25">
      <c r="C4341" t="s">
        <v>7575</v>
      </c>
      <c r="D4341" t="s">
        <v>7576</v>
      </c>
      <c r="E4341" t="str">
        <f>HYPERLINK("https://patents.google.com/patent/KR950002357B1/en")</f>
        <v>https://patents.google.com/patent/KR950002357B1/en</v>
      </c>
    </row>
    <row r="4342" spans="3:5" x14ac:dyDescent="0.25">
      <c r="C4342" t="s">
        <v>7577</v>
      </c>
      <c r="D4342" t="s">
        <v>7578</v>
      </c>
      <c r="E4342" t="str">
        <f>HYPERLINK("https://patents.google.com/patent/EP3086909A1/en")</f>
        <v>https://patents.google.com/patent/EP3086909A1/en</v>
      </c>
    </row>
    <row r="4343" spans="3:5" x14ac:dyDescent="0.25">
      <c r="C4343" t="s">
        <v>7579</v>
      </c>
      <c r="D4343" t="s">
        <v>7580</v>
      </c>
      <c r="E4343" t="str">
        <f>HYPERLINK("https://patents.google.com/patent/CN106078710A/en")</f>
        <v>https://patents.google.com/patent/CN106078710A/en</v>
      </c>
    </row>
    <row r="4344" spans="3:5" x14ac:dyDescent="0.25">
      <c r="C4344" t="s">
        <v>7581</v>
      </c>
      <c r="D4344" t="s">
        <v>7582</v>
      </c>
      <c r="E4344" t="str">
        <f>HYPERLINK("https://patents.google.com/patent/WO2017036519A1/en")</f>
        <v>https://patents.google.com/patent/WO2017036519A1/en</v>
      </c>
    </row>
    <row r="4345" spans="3:5" x14ac:dyDescent="0.25">
      <c r="C4345" t="s">
        <v>5967</v>
      </c>
      <c r="D4345" t="s">
        <v>7583</v>
      </c>
      <c r="E4345" t="str">
        <f>HYPERLINK("https://patents.google.com/patent/WO2015075778A1/en")</f>
        <v>https://patents.google.com/patent/WO2015075778A1/en</v>
      </c>
    </row>
    <row r="4346" spans="3:5" x14ac:dyDescent="0.25">
      <c r="C4346" t="s">
        <v>7584</v>
      </c>
      <c r="D4346" t="s">
        <v>7585</v>
      </c>
      <c r="E4346" t="str">
        <f>HYPERLINK("https://patents.google.com/patent/US20180012789A1/en")</f>
        <v>https://patents.google.com/patent/US20180012789A1/en</v>
      </c>
    </row>
    <row r="4347" spans="3:5" x14ac:dyDescent="0.25">
      <c r="C4347" t="s">
        <v>7586</v>
      </c>
      <c r="D4347" t="s">
        <v>7587</v>
      </c>
      <c r="E4347" t="str">
        <f>HYPERLINK("https://patents.google.com/patent/WO2017153504A1/en")</f>
        <v>https://patents.google.com/patent/WO2017153504A1/en</v>
      </c>
    </row>
    <row r="4348" spans="3:5" x14ac:dyDescent="0.25">
      <c r="C4348" t="s">
        <v>7588</v>
      </c>
      <c r="D4348" t="s">
        <v>7589</v>
      </c>
      <c r="E4348" t="str">
        <f>HYPERLINK("https://patents.google.com/patent/CN108311835A/en")</f>
        <v>https://patents.google.com/patent/CN108311835A/en</v>
      </c>
    </row>
    <row r="4349" spans="3:5" x14ac:dyDescent="0.25">
      <c r="C4349" t="s">
        <v>7590</v>
      </c>
      <c r="D4349" t="s">
        <v>7591</v>
      </c>
      <c r="E4349" t="str">
        <f>HYPERLINK("https://patents.google.com/patent/JP2002113676A/en")</f>
        <v>https://patents.google.com/patent/JP2002113676A/en</v>
      </c>
    </row>
    <row r="4350" spans="3:5" x14ac:dyDescent="0.25">
      <c r="C4350" t="s">
        <v>7592</v>
      </c>
      <c r="D4350" t="s">
        <v>7593</v>
      </c>
      <c r="E4350" t="str">
        <f>HYPERLINK("https://patents.google.com/patent/WO2009018812A1/en")</f>
        <v>https://patents.google.com/patent/WO2009018812A1/en</v>
      </c>
    </row>
    <row r="4351" spans="3:5" x14ac:dyDescent="0.25">
      <c r="C4351" t="s">
        <v>7594</v>
      </c>
      <c r="D4351" t="s">
        <v>7595</v>
      </c>
      <c r="E4351" t="str">
        <f>HYPERLINK("https://patents.google.com/patent/US20180072523A1/en")</f>
        <v>https://patents.google.com/patent/US20180072523A1/en</v>
      </c>
    </row>
    <row r="4352" spans="3:5" x14ac:dyDescent="0.25">
      <c r="C4352" t="s">
        <v>7596</v>
      </c>
      <c r="D4352" t="s">
        <v>7597</v>
      </c>
      <c r="E4352" t="str">
        <f>HYPERLINK("https://patents.google.com/patent/CN103495977B/en")</f>
        <v>https://patents.google.com/patent/CN103495977B/en</v>
      </c>
    </row>
    <row r="4353" spans="1:5" x14ac:dyDescent="0.25">
      <c r="C4353" t="s">
        <v>7598</v>
      </c>
      <c r="D4353" t="s">
        <v>7599</v>
      </c>
      <c r="E4353" t="str">
        <f>HYPERLINK("https://patents.google.com/patent/JPWO2017085897A1/en")</f>
        <v>https://patents.google.com/patent/JPWO2017085897A1/en</v>
      </c>
    </row>
    <row r="4354" spans="1:5" x14ac:dyDescent="0.25">
      <c r="A4354" t="s">
        <v>1149</v>
      </c>
      <c r="B4354">
        <v>656</v>
      </c>
    </row>
    <row r="4355" spans="1:5" x14ac:dyDescent="0.25">
      <c r="C4355" t="s">
        <v>7600</v>
      </c>
      <c r="D4355" t="s">
        <v>7601</v>
      </c>
      <c r="E4355" t="str">
        <f>HYPERLINK("https://patents.google.com/patent/US3506210A/en")</f>
        <v>https://patents.google.com/patent/US3506210A/en</v>
      </c>
    </row>
    <row r="4356" spans="1:5" x14ac:dyDescent="0.25">
      <c r="C4356" t="s">
        <v>7602</v>
      </c>
      <c r="D4356" t="s">
        <v>7603</v>
      </c>
      <c r="E4356" t="str">
        <f>HYPERLINK("https://patents.google.com/patent/US6067538A/en")</f>
        <v>https://patents.google.com/patent/US6067538A/en</v>
      </c>
    </row>
    <row r="4357" spans="1:5" x14ac:dyDescent="0.25">
      <c r="C4357" t="s">
        <v>7604</v>
      </c>
      <c r="D4357" t="s">
        <v>7605</v>
      </c>
      <c r="E4357" t="str">
        <f>HYPERLINK("https://patents.google.com/patent/US6550057B1/en")</f>
        <v>https://patents.google.com/patent/US6550057B1/en</v>
      </c>
    </row>
    <row r="4358" spans="1:5" x14ac:dyDescent="0.25">
      <c r="C4358" t="s">
        <v>7606</v>
      </c>
      <c r="D4358" t="s">
        <v>7607</v>
      </c>
      <c r="E4358" t="str">
        <f>HYPERLINK("https://patents.google.com/patent/US6731625B1/en")</f>
        <v>https://patents.google.com/patent/US6731625B1/en</v>
      </c>
    </row>
    <row r="4359" spans="1:5" x14ac:dyDescent="0.25">
      <c r="C4359" t="s">
        <v>7608</v>
      </c>
      <c r="D4359" t="s">
        <v>7609</v>
      </c>
      <c r="E4359" t="str">
        <f>HYPERLINK("https://patents.google.com/patent/US6332163B1/en")</f>
        <v>https://patents.google.com/patent/US6332163B1/en</v>
      </c>
    </row>
    <row r="4360" spans="1:5" x14ac:dyDescent="0.25">
      <c r="C4360" t="s">
        <v>7610</v>
      </c>
      <c r="D4360" t="s">
        <v>7611</v>
      </c>
      <c r="E4360" t="str">
        <f>HYPERLINK("https://patents.google.com/patent/US5416861A/en")</f>
        <v>https://patents.google.com/patent/US5416861A/en</v>
      </c>
    </row>
    <row r="4361" spans="1:5" x14ac:dyDescent="0.25">
      <c r="C4361" t="s">
        <v>7612</v>
      </c>
      <c r="D4361" t="s">
        <v>7613</v>
      </c>
      <c r="E4361" t="str">
        <f>HYPERLINK("https://patents.google.com/patent/US6227862B1/en")</f>
        <v>https://patents.google.com/patent/US6227862B1/en</v>
      </c>
    </row>
    <row r="4362" spans="1:5" x14ac:dyDescent="0.25">
      <c r="C4362" t="s">
        <v>7614</v>
      </c>
      <c r="D4362" t="s">
        <v>7615</v>
      </c>
      <c r="E4362" t="str">
        <f>HYPERLINK("https://patents.google.com/patent/US8157731B2/en")</f>
        <v>https://patents.google.com/patent/US8157731B2/en</v>
      </c>
    </row>
    <row r="4363" spans="1:5" x14ac:dyDescent="0.25">
      <c r="C4363" t="s">
        <v>7616</v>
      </c>
      <c r="D4363" t="s">
        <v>7617</v>
      </c>
      <c r="E4363" t="str">
        <f>HYPERLINK("https://patents.google.com/patent/US8116749B2/en")</f>
        <v>https://patents.google.com/patent/US8116749B2/en</v>
      </c>
    </row>
    <row r="4364" spans="1:5" x14ac:dyDescent="0.25">
      <c r="C4364" t="s">
        <v>7618</v>
      </c>
      <c r="D4364" t="s">
        <v>7619</v>
      </c>
      <c r="E4364" t="str">
        <f>HYPERLINK("https://patents.google.com/patent/US7627658B2/en")</f>
        <v>https://patents.google.com/patent/US7627658B2/en</v>
      </c>
    </row>
    <row r="4365" spans="1:5" x14ac:dyDescent="0.25">
      <c r="C4365" t="s">
        <v>7620</v>
      </c>
      <c r="D4365" t="s">
        <v>7621</v>
      </c>
      <c r="E4365" t="str">
        <f>HYPERLINK("https://patents.google.com/patent/US6434568B1/en")</f>
        <v>https://patents.google.com/patent/US6434568B1/en</v>
      </c>
    </row>
    <row r="4366" spans="1:5" x14ac:dyDescent="0.25">
      <c r="C4366" t="s">
        <v>7622</v>
      </c>
      <c r="D4366" t="s">
        <v>7623</v>
      </c>
      <c r="E4366" t="str">
        <f>HYPERLINK("https://patents.google.com/patent/US7013290B2/en")</f>
        <v>https://patents.google.com/patent/US7013290B2/en</v>
      </c>
    </row>
    <row r="4367" spans="1:5" x14ac:dyDescent="0.25">
      <c r="C4367" t="s">
        <v>7624</v>
      </c>
      <c r="D4367" t="s">
        <v>7625</v>
      </c>
      <c r="E4367" t="str">
        <f>HYPERLINK("https://patents.google.com/patent/US5576951A/en")</f>
        <v>https://patents.google.com/patent/US5576951A/en</v>
      </c>
    </row>
    <row r="4368" spans="1:5" x14ac:dyDescent="0.25">
      <c r="C4368" t="s">
        <v>7626</v>
      </c>
      <c r="D4368" t="s">
        <v>7627</v>
      </c>
      <c r="E4368" t="str">
        <f>HYPERLINK("https://patents.google.com/patent/US6944596B1/en")</f>
        <v>https://patents.google.com/patent/US6944596B1/en</v>
      </c>
    </row>
    <row r="4369" spans="3:5" x14ac:dyDescent="0.25">
      <c r="C4369" t="s">
        <v>7628</v>
      </c>
      <c r="D4369" t="s">
        <v>7629</v>
      </c>
      <c r="E4369" t="str">
        <f>HYPERLINK("https://patents.google.com/patent/US5679075A/en")</f>
        <v>https://patents.google.com/patent/US5679075A/en</v>
      </c>
    </row>
    <row r="4370" spans="3:5" x14ac:dyDescent="0.25">
      <c r="C4370" t="s">
        <v>7630</v>
      </c>
      <c r="D4370" t="s">
        <v>7631</v>
      </c>
      <c r="E4370" t="str">
        <f>HYPERLINK("https://patents.google.com/patent/US7093004B2/en")</f>
        <v>https://patents.google.com/patent/US7093004B2/en</v>
      </c>
    </row>
    <row r="4371" spans="3:5" x14ac:dyDescent="0.25">
      <c r="C4371" t="s">
        <v>7632</v>
      </c>
      <c r="D4371" t="s">
        <v>7633</v>
      </c>
      <c r="E4371" t="str">
        <f>HYPERLINK("https://patents.google.com/patent/US8398546B2/en")</f>
        <v>https://patents.google.com/patent/US8398546B2/en</v>
      </c>
    </row>
    <row r="4372" spans="3:5" x14ac:dyDescent="0.25">
      <c r="C4372" t="s">
        <v>7634</v>
      </c>
      <c r="D4372" t="s">
        <v>7635</v>
      </c>
      <c r="E4372" t="str">
        <f>HYPERLINK("https://patents.google.com/patent/US5931917A/en")</f>
        <v>https://patents.google.com/patent/US5931917A/en</v>
      </c>
    </row>
    <row r="4373" spans="3:5" x14ac:dyDescent="0.25">
      <c r="C4373" t="s">
        <v>7636</v>
      </c>
      <c r="D4373" t="s">
        <v>7637</v>
      </c>
      <c r="E4373" t="str">
        <f>HYPERLINK("https://patents.google.com/patent/US5978840A/en")</f>
        <v>https://patents.google.com/patent/US5978840A/en</v>
      </c>
    </row>
    <row r="4374" spans="3:5" x14ac:dyDescent="0.25">
      <c r="C4374" t="s">
        <v>7638</v>
      </c>
      <c r="D4374" t="s">
        <v>7639</v>
      </c>
      <c r="E4374" t="str">
        <f>HYPERLINK("https://patents.google.com/patent/US4968873A/en")</f>
        <v>https://patents.google.com/patent/US4968873A/en</v>
      </c>
    </row>
    <row r="4375" spans="3:5" x14ac:dyDescent="0.25">
      <c r="C4375" t="s">
        <v>7640</v>
      </c>
      <c r="D4375" t="s">
        <v>7641</v>
      </c>
      <c r="E4375" t="str">
        <f>HYPERLINK("https://patents.google.com/patent/US7489303B1/en")</f>
        <v>https://patents.google.com/patent/US7489303B1/en</v>
      </c>
    </row>
    <row r="4376" spans="3:5" x14ac:dyDescent="0.25">
      <c r="C4376" t="s">
        <v>7642</v>
      </c>
      <c r="D4376" t="s">
        <v>7643</v>
      </c>
      <c r="E4376" t="str">
        <f>HYPERLINK("https://patents.google.com/patent/US5722418A/en")</f>
        <v>https://patents.google.com/patent/US5722418A/en</v>
      </c>
    </row>
    <row r="4377" spans="3:5" x14ac:dyDescent="0.25">
      <c r="C4377" t="s">
        <v>7644</v>
      </c>
      <c r="D4377" t="s">
        <v>7645</v>
      </c>
      <c r="E4377" t="str">
        <f>HYPERLINK("https://patents.google.com/patent/US8863245B1/en")</f>
        <v>https://patents.google.com/patent/US8863245B1/en</v>
      </c>
    </row>
    <row r="4378" spans="3:5" x14ac:dyDescent="0.25">
      <c r="C4378" t="s">
        <v>7646</v>
      </c>
      <c r="D4378" t="s">
        <v>7647</v>
      </c>
      <c r="E4378" t="str">
        <f>HYPERLINK("https://patents.google.com/patent/US6658568B1/en")</f>
        <v>https://patents.google.com/patent/US6658568B1/en</v>
      </c>
    </row>
    <row r="4379" spans="3:5" x14ac:dyDescent="0.25">
      <c r="C4379" t="s">
        <v>7648</v>
      </c>
      <c r="D4379" t="s">
        <v>7649</v>
      </c>
      <c r="E4379" t="str">
        <f>HYPERLINK("https://patents.google.com/patent/US4837422A/en")</f>
        <v>https://patents.google.com/patent/US4837422A/en</v>
      </c>
    </row>
    <row r="4380" spans="3:5" x14ac:dyDescent="0.25">
      <c r="C4380" t="s">
        <v>7650</v>
      </c>
      <c r="D4380" t="s">
        <v>7651</v>
      </c>
      <c r="E4380" t="str">
        <f>HYPERLINK("https://patents.google.com/patent/US7174031B2/en")</f>
        <v>https://patents.google.com/patent/US7174031B2/en</v>
      </c>
    </row>
    <row r="4381" spans="3:5" x14ac:dyDescent="0.25">
      <c r="C4381" t="s">
        <v>7652</v>
      </c>
      <c r="D4381" t="s">
        <v>7653</v>
      </c>
      <c r="E4381" t="str">
        <f>HYPERLINK("https://patents.google.com/patent/US6003021A/en")</f>
        <v>https://patents.google.com/patent/US6003021A/en</v>
      </c>
    </row>
    <row r="4382" spans="3:5" x14ac:dyDescent="0.25">
      <c r="C4382" t="s">
        <v>7654</v>
      </c>
      <c r="D4382" t="s">
        <v>7655</v>
      </c>
      <c r="E4382" t="str">
        <f>HYPERLINK("https://patents.google.com/patent/US6556696B1/en")</f>
        <v>https://patents.google.com/patent/US6556696B1/en</v>
      </c>
    </row>
    <row r="4383" spans="3:5" x14ac:dyDescent="0.25">
      <c r="C4383" t="s">
        <v>7656</v>
      </c>
      <c r="D4383" t="s">
        <v>7657</v>
      </c>
      <c r="E4383" t="str">
        <f>HYPERLINK("https://patents.google.com/patent/US7002265B2/en")</f>
        <v>https://patents.google.com/patent/US7002265B2/en</v>
      </c>
    </row>
    <row r="4384" spans="3:5" x14ac:dyDescent="0.25">
      <c r="C4384" t="s">
        <v>7658</v>
      </c>
      <c r="D4384" t="s">
        <v>7659</v>
      </c>
      <c r="E4384" t="str">
        <f>HYPERLINK("https://patents.google.com/patent/US5987443A/en")</f>
        <v>https://patents.google.com/patent/US5987443A/en</v>
      </c>
    </row>
    <row r="4385" spans="3:5" x14ac:dyDescent="0.25">
      <c r="C4385" t="s">
        <v>7660</v>
      </c>
      <c r="D4385" t="s">
        <v>7661</v>
      </c>
      <c r="E4385" t="str">
        <f>HYPERLINK("https://patents.google.com/patent/US6125358A/en")</f>
        <v>https://patents.google.com/patent/US6125358A/en</v>
      </c>
    </row>
    <row r="4386" spans="3:5" x14ac:dyDescent="0.25">
      <c r="C4386" t="s">
        <v>7662</v>
      </c>
      <c r="D4386" t="s">
        <v>7663</v>
      </c>
      <c r="E4386" t="str">
        <f>HYPERLINK("https://patents.google.com/patent/US6934684B2/en")</f>
        <v>https://patents.google.com/patent/US6934684B2/en</v>
      </c>
    </row>
    <row r="4387" spans="3:5" x14ac:dyDescent="0.25">
      <c r="C4387" t="s">
        <v>7664</v>
      </c>
      <c r="D4387" t="s">
        <v>7665</v>
      </c>
      <c r="E4387" t="str">
        <f>HYPERLINK("https://patents.google.com/patent/US7406214B2/en")</f>
        <v>https://patents.google.com/patent/US7406214B2/en</v>
      </c>
    </row>
    <row r="4388" spans="3:5" x14ac:dyDescent="0.25">
      <c r="C4388" t="s">
        <v>7666</v>
      </c>
      <c r="D4388" t="s">
        <v>7667</v>
      </c>
      <c r="E4388" t="str">
        <f>HYPERLINK("https://patents.google.com/patent/US7415617B2/en")</f>
        <v>https://patents.google.com/patent/US7415617B2/en</v>
      </c>
    </row>
    <row r="4389" spans="3:5" x14ac:dyDescent="0.25">
      <c r="C4389" t="s">
        <v>7668</v>
      </c>
      <c r="D4389" t="s">
        <v>7669</v>
      </c>
      <c r="E4389" t="str">
        <f>HYPERLINK("https://patents.google.com/patent/US7760905B2/en")</f>
        <v>https://patents.google.com/patent/US7760905B2/en</v>
      </c>
    </row>
    <row r="4390" spans="3:5" x14ac:dyDescent="0.25">
      <c r="C4390" t="s">
        <v>7670</v>
      </c>
      <c r="D4390" t="s">
        <v>7671</v>
      </c>
      <c r="E4390" t="str">
        <f>HYPERLINK("https://patents.google.com/patent/US5609597A/en")</f>
        <v>https://patents.google.com/patent/US5609597A/en</v>
      </c>
    </row>
    <row r="4391" spans="3:5" x14ac:dyDescent="0.25">
      <c r="C4391" t="s">
        <v>7672</v>
      </c>
      <c r="D4391" t="s">
        <v>7673</v>
      </c>
      <c r="E4391" t="str">
        <f>HYPERLINK("https://patents.google.com/patent/US6842906B1/en")</f>
        <v>https://patents.google.com/patent/US6842906B1/en</v>
      </c>
    </row>
    <row r="4392" spans="3:5" x14ac:dyDescent="0.25">
      <c r="C4392" t="s">
        <v>7674</v>
      </c>
      <c r="D4392" t="s">
        <v>7675</v>
      </c>
      <c r="E4392" t="str">
        <f>HYPERLINK("https://patents.google.com/patent/US6335927B1/en")</f>
        <v>https://patents.google.com/patent/US6335927B1/en</v>
      </c>
    </row>
    <row r="4393" spans="3:5" x14ac:dyDescent="0.25">
      <c r="C4393" t="s">
        <v>7676</v>
      </c>
      <c r="D4393" t="s">
        <v>7677</v>
      </c>
      <c r="E4393" t="str">
        <f>HYPERLINK("https://patents.google.com/patent/US6767284B1/en")</f>
        <v>https://patents.google.com/patent/US6767284B1/en</v>
      </c>
    </row>
    <row r="4394" spans="3:5" x14ac:dyDescent="0.25">
      <c r="C4394" t="s">
        <v>7678</v>
      </c>
      <c r="D4394" t="s">
        <v>7679</v>
      </c>
      <c r="E4394" t="str">
        <f>HYPERLINK("https://patents.google.com/patent/US6018730A/en")</f>
        <v>https://patents.google.com/patent/US6018730A/en</v>
      </c>
    </row>
    <row r="4395" spans="3:5" x14ac:dyDescent="0.25">
      <c r="C4395" t="s">
        <v>7680</v>
      </c>
      <c r="D4395" t="s">
        <v>7681</v>
      </c>
      <c r="E4395" t="str">
        <f>HYPERLINK("https://patents.google.com/patent/US5740801A/en")</f>
        <v>https://patents.google.com/patent/US5740801A/en</v>
      </c>
    </row>
    <row r="4396" spans="3:5" x14ac:dyDescent="0.25">
      <c r="C4396" t="s">
        <v>7682</v>
      </c>
      <c r="D4396" t="s">
        <v>7683</v>
      </c>
      <c r="E4396" t="str">
        <f>HYPERLINK("https://patents.google.com/patent/US5438433A/en")</f>
        <v>https://patents.google.com/patent/US5438433A/en</v>
      </c>
    </row>
    <row r="4397" spans="3:5" x14ac:dyDescent="0.25">
      <c r="C4397" t="s">
        <v>7684</v>
      </c>
      <c r="D4397" t="s">
        <v>7685</v>
      </c>
      <c r="E4397" t="str">
        <f>HYPERLINK("https://patents.google.com/patent/US7133846B1/en")</f>
        <v>https://patents.google.com/patent/US7133846B1/en</v>
      </c>
    </row>
    <row r="4398" spans="3:5" x14ac:dyDescent="0.25">
      <c r="C4398" t="s">
        <v>7686</v>
      </c>
      <c r="D4398" t="s">
        <v>7687</v>
      </c>
      <c r="E4398" t="str">
        <f>HYPERLINK("https://patents.google.com/patent/US6909708B1/en")</f>
        <v>https://patents.google.com/patent/US6909708B1/en</v>
      </c>
    </row>
    <row r="4399" spans="3:5" x14ac:dyDescent="0.25">
      <c r="C4399" t="s">
        <v>5993</v>
      </c>
      <c r="D4399" t="s">
        <v>7688</v>
      </c>
      <c r="E4399" t="str">
        <f>HYPERLINK("https://patents.google.com/patent/US7720572B2/en")</f>
        <v>https://patents.google.com/patent/US7720572B2/en</v>
      </c>
    </row>
    <row r="4400" spans="3:5" x14ac:dyDescent="0.25">
      <c r="C4400" t="s">
        <v>7689</v>
      </c>
      <c r="D4400" t="s">
        <v>7690</v>
      </c>
      <c r="E4400" t="str">
        <f>HYPERLINK("https://patents.google.com/patent/US6073127A/en")</f>
        <v>https://patents.google.com/patent/US6073127A/en</v>
      </c>
    </row>
    <row r="4401" spans="3:5" x14ac:dyDescent="0.25">
      <c r="C4401" t="s">
        <v>7691</v>
      </c>
      <c r="D4401" t="s">
        <v>7692</v>
      </c>
      <c r="E4401" t="str">
        <f>HYPERLINK("https://patents.google.com/patent/US7676034B1/en")</f>
        <v>https://patents.google.com/patent/US7676034B1/en</v>
      </c>
    </row>
    <row r="4402" spans="3:5" x14ac:dyDescent="0.25">
      <c r="C4402" t="s">
        <v>7693</v>
      </c>
      <c r="D4402" t="s">
        <v>7694</v>
      </c>
      <c r="E4402" t="str">
        <f>HYPERLINK("https://patents.google.com/patent/US7023979B1/en")</f>
        <v>https://patents.google.com/patent/US7023979B1/en</v>
      </c>
    </row>
    <row r="4403" spans="3:5" x14ac:dyDescent="0.25">
      <c r="C4403" t="s">
        <v>7695</v>
      </c>
      <c r="D4403" t="s">
        <v>7696</v>
      </c>
      <c r="E4403" t="str">
        <f>HYPERLINK("https://patents.google.com/patent/US6085976A/en")</f>
        <v>https://patents.google.com/patent/US6085976A/en</v>
      </c>
    </row>
    <row r="4404" spans="3:5" x14ac:dyDescent="0.25">
      <c r="C4404" t="s">
        <v>7697</v>
      </c>
      <c r="D4404" t="s">
        <v>7698</v>
      </c>
      <c r="E4404" t="str">
        <f>HYPERLINK("https://patents.google.com/patent/US6571282B1/en")</f>
        <v>https://patents.google.com/patent/US6571282B1/en</v>
      </c>
    </row>
    <row r="4405" spans="3:5" x14ac:dyDescent="0.25">
      <c r="C4405" t="s">
        <v>7699</v>
      </c>
      <c r="D4405" t="s">
        <v>7700</v>
      </c>
      <c r="E4405" t="str">
        <f>HYPERLINK("https://patents.google.com/patent/US6501832B1/en")</f>
        <v>https://patents.google.com/patent/US6501832B1/en</v>
      </c>
    </row>
    <row r="4406" spans="3:5" x14ac:dyDescent="0.25">
      <c r="C4406" t="s">
        <v>7701</v>
      </c>
      <c r="D4406" t="s">
        <v>7702</v>
      </c>
      <c r="E4406" t="str">
        <f>HYPERLINK("https://patents.google.com/patent/US6792086B1/en")</f>
        <v>https://patents.google.com/patent/US6792086B1/en</v>
      </c>
    </row>
    <row r="4407" spans="3:5" x14ac:dyDescent="0.25">
      <c r="C4407" t="s">
        <v>7703</v>
      </c>
      <c r="D4407" t="s">
        <v>7704</v>
      </c>
      <c r="E4407" t="str">
        <f>HYPERLINK("https://patents.google.com/patent/US6888929B1/en")</f>
        <v>https://patents.google.com/patent/US6888929B1/en</v>
      </c>
    </row>
    <row r="4408" spans="3:5" x14ac:dyDescent="0.25">
      <c r="C4408" t="s">
        <v>7705</v>
      </c>
      <c r="D4408" t="s">
        <v>7706</v>
      </c>
      <c r="E4408" t="str">
        <f>HYPERLINK("https://patents.google.com/patent/US6707889B1/en")</f>
        <v>https://patents.google.com/patent/US6707889B1/en</v>
      </c>
    </row>
    <row r="4409" spans="3:5" x14ac:dyDescent="0.25">
      <c r="C4409" t="s">
        <v>7707</v>
      </c>
      <c r="D4409" t="s">
        <v>7708</v>
      </c>
      <c r="E4409" t="str">
        <f>HYPERLINK("https://patents.google.com/patent/US6716103B1/en")</f>
        <v>https://patents.google.com/patent/US6716103B1/en</v>
      </c>
    </row>
    <row r="4410" spans="3:5" x14ac:dyDescent="0.25">
      <c r="C4410" t="s">
        <v>7709</v>
      </c>
      <c r="D4410" t="s">
        <v>7710</v>
      </c>
      <c r="E4410" t="str">
        <f>HYPERLINK("https://patents.google.com/patent/US6158516A/en")</f>
        <v>https://patents.google.com/patent/US6158516A/en</v>
      </c>
    </row>
    <row r="4411" spans="3:5" x14ac:dyDescent="0.25">
      <c r="C4411" t="s">
        <v>7711</v>
      </c>
      <c r="D4411" t="s">
        <v>7712</v>
      </c>
      <c r="E4411" t="str">
        <f>HYPERLINK("https://patents.google.com/patent/US6611822B1/en")</f>
        <v>https://patents.google.com/patent/US6611822B1/en</v>
      </c>
    </row>
    <row r="4412" spans="3:5" x14ac:dyDescent="0.25">
      <c r="C4412" t="s">
        <v>7713</v>
      </c>
      <c r="D4412" t="s">
        <v>7714</v>
      </c>
      <c r="E4412" t="str">
        <f>HYPERLINK("https://patents.google.com/patent/US6754181B1/en")</f>
        <v>https://patents.google.com/patent/US6754181B1/en</v>
      </c>
    </row>
    <row r="4413" spans="3:5" x14ac:dyDescent="0.25">
      <c r="C4413" t="s">
        <v>7715</v>
      </c>
      <c r="D4413" t="s">
        <v>7716</v>
      </c>
      <c r="E4413" t="str">
        <f>HYPERLINK("https://patents.google.com/patent/US7152092B2/en")</f>
        <v>https://patents.google.com/patent/US7152092B2/en</v>
      </c>
    </row>
    <row r="4414" spans="3:5" x14ac:dyDescent="0.25">
      <c r="C4414" t="s">
        <v>7717</v>
      </c>
      <c r="D4414" t="s">
        <v>7718</v>
      </c>
      <c r="E4414" t="str">
        <f>HYPERLINK("https://patents.google.com/patent/US7047279B1/en")</f>
        <v>https://patents.google.com/patent/US7047279B1/en</v>
      </c>
    </row>
    <row r="4415" spans="3:5" x14ac:dyDescent="0.25">
      <c r="C4415" t="s">
        <v>7719</v>
      </c>
      <c r="D4415" t="s">
        <v>7720</v>
      </c>
      <c r="E4415" t="str">
        <f>HYPERLINK("https://patents.google.com/patent/US5959968A/en")</f>
        <v>https://patents.google.com/patent/US5959968A/en</v>
      </c>
    </row>
    <row r="4416" spans="3:5" x14ac:dyDescent="0.25">
      <c r="C4416" t="s">
        <v>7721</v>
      </c>
      <c r="D4416" t="s">
        <v>7722</v>
      </c>
      <c r="E4416" t="str">
        <f>HYPERLINK("https://patents.google.com/patent/US6711474B1/en")</f>
        <v>https://patents.google.com/patent/US6711474B1/en</v>
      </c>
    </row>
    <row r="4417" spans="3:5" x14ac:dyDescent="0.25">
      <c r="C4417" t="s">
        <v>7723</v>
      </c>
      <c r="D4417" t="s">
        <v>7724</v>
      </c>
      <c r="E4417" t="str">
        <f>HYPERLINK("https://patents.google.com/patent/US6477580B1/en")</f>
        <v>https://patents.google.com/patent/US6477580B1/en</v>
      </c>
    </row>
    <row r="4418" spans="3:5" x14ac:dyDescent="0.25">
      <c r="C4418" t="s">
        <v>7725</v>
      </c>
      <c r="D4418" t="s">
        <v>7726</v>
      </c>
      <c r="E4418" t="str">
        <f>HYPERLINK("https://patents.google.com/patent/US6957186B1/en")</f>
        <v>https://patents.google.com/patent/US6957186B1/en</v>
      </c>
    </row>
    <row r="4419" spans="3:5" x14ac:dyDescent="0.25">
      <c r="C4419" t="s">
        <v>7727</v>
      </c>
      <c r="D4419" t="s">
        <v>7728</v>
      </c>
      <c r="E4419" t="str">
        <f>HYPERLINK("https://patents.google.com/patent/US7165041B1/en")</f>
        <v>https://patents.google.com/patent/US7165041B1/en</v>
      </c>
    </row>
    <row r="4420" spans="3:5" x14ac:dyDescent="0.25">
      <c r="C4420" t="s">
        <v>7729</v>
      </c>
      <c r="D4420" t="s">
        <v>7730</v>
      </c>
      <c r="E4420" t="str">
        <f>HYPERLINK("https://patents.google.com/patent/US6477665B1/en")</f>
        <v>https://patents.google.com/patent/US6477665B1/en</v>
      </c>
    </row>
    <row r="4421" spans="3:5" x14ac:dyDescent="0.25">
      <c r="C4421" t="s">
        <v>7731</v>
      </c>
      <c r="D4421" t="s">
        <v>7732</v>
      </c>
      <c r="E4421" t="str">
        <f>HYPERLINK("https://patents.google.com/patent/US7315826B1/en")</f>
        <v>https://patents.google.com/patent/US7315826B1/en</v>
      </c>
    </row>
    <row r="4422" spans="3:5" x14ac:dyDescent="0.25">
      <c r="C4422" t="s">
        <v>7733</v>
      </c>
      <c r="D4422" t="s">
        <v>7734</v>
      </c>
      <c r="E4422" t="str">
        <f>HYPERLINK("https://patents.google.com/patent/US7379978B2/en")</f>
        <v>https://patents.google.com/patent/US7379978B2/en</v>
      </c>
    </row>
    <row r="4423" spans="3:5" x14ac:dyDescent="0.25">
      <c r="C4423" t="s">
        <v>7735</v>
      </c>
      <c r="D4423" t="s">
        <v>7736</v>
      </c>
      <c r="E4423" t="str">
        <f>HYPERLINK("https://patents.google.com/patent/US7599847B2/en")</f>
        <v>https://patents.google.com/patent/US7599847B2/en</v>
      </c>
    </row>
    <row r="4424" spans="3:5" x14ac:dyDescent="0.25">
      <c r="C4424" t="s">
        <v>7737</v>
      </c>
      <c r="D4424" t="s">
        <v>7738</v>
      </c>
      <c r="E4424" t="str">
        <f>HYPERLINK("https://patents.google.com/patent/US7778456B2/en")</f>
        <v>https://patents.google.com/patent/US7778456B2/en</v>
      </c>
    </row>
    <row r="4425" spans="3:5" x14ac:dyDescent="0.25">
      <c r="C4425" t="s">
        <v>7739</v>
      </c>
      <c r="D4425" t="s">
        <v>7740</v>
      </c>
      <c r="E4425" t="str">
        <f>HYPERLINK("https://patents.google.com/patent/US6536037B1/en")</f>
        <v>https://patents.google.com/patent/US6536037B1/en</v>
      </c>
    </row>
    <row r="4426" spans="3:5" x14ac:dyDescent="0.25">
      <c r="C4426" t="s">
        <v>7741</v>
      </c>
      <c r="D4426" t="s">
        <v>7742</v>
      </c>
      <c r="E4426" t="str">
        <f>HYPERLINK("https://patents.google.com/patent/US6721713B1/en")</f>
        <v>https://patents.google.com/patent/US6721713B1/en</v>
      </c>
    </row>
    <row r="4427" spans="3:5" x14ac:dyDescent="0.25">
      <c r="C4427" t="s">
        <v>7743</v>
      </c>
      <c r="D4427" t="s">
        <v>7744</v>
      </c>
      <c r="E4427" t="str">
        <f>HYPERLINK("https://patents.google.com/patent/US6615166B1/en")</f>
        <v>https://patents.google.com/patent/US6615166B1/en</v>
      </c>
    </row>
    <row r="4428" spans="3:5" x14ac:dyDescent="0.25">
      <c r="C4428" t="s">
        <v>7745</v>
      </c>
      <c r="D4428" t="s">
        <v>7746</v>
      </c>
      <c r="E4428" t="str">
        <f>HYPERLINK("https://patents.google.com/patent/US6519571B1/en")</f>
        <v>https://patents.google.com/patent/US6519571B1/en</v>
      </c>
    </row>
    <row r="4429" spans="3:5" x14ac:dyDescent="0.25">
      <c r="C4429" t="s">
        <v>7747</v>
      </c>
      <c r="D4429" t="s">
        <v>7748</v>
      </c>
      <c r="E4429" t="str">
        <f>HYPERLINK("https://patents.google.com/patent/US7729916B2/en")</f>
        <v>https://patents.google.com/patent/US7729916B2/en</v>
      </c>
    </row>
    <row r="4430" spans="3:5" x14ac:dyDescent="0.25">
      <c r="C4430" t="s">
        <v>7749</v>
      </c>
      <c r="D4430" t="s">
        <v>7750</v>
      </c>
      <c r="E4430" t="str">
        <f>HYPERLINK("https://patents.google.com/patent/US6760324B1/en")</f>
        <v>https://patents.google.com/patent/US6760324B1/en</v>
      </c>
    </row>
    <row r="4431" spans="3:5" x14ac:dyDescent="0.25">
      <c r="C4431" t="s">
        <v>7751</v>
      </c>
      <c r="D4431" t="s">
        <v>7752</v>
      </c>
      <c r="E4431" t="str">
        <f>HYPERLINK("https://patents.google.com/patent/US5867495A/en")</f>
        <v>https://patents.google.com/patent/US5867495A/en</v>
      </c>
    </row>
    <row r="4432" spans="3:5" x14ac:dyDescent="0.25">
      <c r="C4432" t="s">
        <v>7753</v>
      </c>
      <c r="D4432" t="s">
        <v>7754</v>
      </c>
      <c r="E4432" t="str">
        <f>HYPERLINK("https://patents.google.com/patent/US5881131A/en")</f>
        <v>https://patents.google.com/patent/US5881131A/en</v>
      </c>
    </row>
    <row r="4433" spans="3:5" x14ac:dyDescent="0.25">
      <c r="C4433" t="s">
        <v>7755</v>
      </c>
      <c r="D4433" t="s">
        <v>7756</v>
      </c>
      <c r="E4433" t="str">
        <f>HYPERLINK("https://patents.google.com/patent/US6915271B1/en")</f>
        <v>https://patents.google.com/patent/US6915271B1/en</v>
      </c>
    </row>
    <row r="4434" spans="3:5" x14ac:dyDescent="0.25">
      <c r="C4434" t="s">
        <v>7757</v>
      </c>
      <c r="D4434" t="s">
        <v>7758</v>
      </c>
      <c r="E4434" t="str">
        <f>HYPERLINK("https://patents.google.com/patent/US6473794B1/en")</f>
        <v>https://patents.google.com/patent/US6473794B1/en</v>
      </c>
    </row>
    <row r="4435" spans="3:5" x14ac:dyDescent="0.25">
      <c r="C4435" t="s">
        <v>7759</v>
      </c>
      <c r="D4435" t="s">
        <v>7760</v>
      </c>
      <c r="E4435" t="str">
        <f>HYPERLINK("https://patents.google.com/patent/US6408263B1/en")</f>
        <v>https://patents.google.com/patent/US6408263B1/en</v>
      </c>
    </row>
    <row r="4436" spans="3:5" x14ac:dyDescent="0.25">
      <c r="C4436" t="s">
        <v>7761</v>
      </c>
      <c r="D4436" t="s">
        <v>7762</v>
      </c>
      <c r="E4436" t="str">
        <f>HYPERLINK("https://patents.google.com/patent/US6715145B1/en")</f>
        <v>https://patents.google.com/patent/US6715145B1/en</v>
      </c>
    </row>
    <row r="4437" spans="3:5" x14ac:dyDescent="0.25">
      <c r="C4437" t="s">
        <v>7763</v>
      </c>
      <c r="D4437" t="s">
        <v>7764</v>
      </c>
      <c r="E4437" t="str">
        <f>HYPERLINK("https://patents.google.com/patent/US6539396B1/en")</f>
        <v>https://patents.google.com/patent/US6539396B1/en</v>
      </c>
    </row>
    <row r="4438" spans="3:5" x14ac:dyDescent="0.25">
      <c r="C4438" t="s">
        <v>7765</v>
      </c>
      <c r="D4438" t="s">
        <v>7766</v>
      </c>
      <c r="E4438" t="str">
        <f>HYPERLINK("https://patents.google.com/patent/US6640249B1/en")</f>
        <v>https://patents.google.com/patent/US6640249B1/en</v>
      </c>
    </row>
    <row r="4439" spans="3:5" x14ac:dyDescent="0.25">
      <c r="C4439" t="s">
        <v>7767</v>
      </c>
      <c r="D4439" t="s">
        <v>7768</v>
      </c>
      <c r="E4439" t="str">
        <f>HYPERLINK("https://patents.google.com/patent/US6289382B1/en")</f>
        <v>https://patents.google.com/patent/US6289382B1/en</v>
      </c>
    </row>
    <row r="4440" spans="3:5" x14ac:dyDescent="0.25">
      <c r="C4440" t="s">
        <v>7769</v>
      </c>
      <c r="D4440" t="s">
        <v>7770</v>
      </c>
      <c r="E4440" t="str">
        <f>HYPERLINK("https://patents.google.com/patent/US6442748B1/en")</f>
        <v>https://patents.google.com/patent/US6442748B1/en</v>
      </c>
    </row>
    <row r="4441" spans="3:5" x14ac:dyDescent="0.25">
      <c r="C4441" t="s">
        <v>7771</v>
      </c>
      <c r="D4441" t="s">
        <v>7772</v>
      </c>
      <c r="E4441" t="str">
        <f>HYPERLINK("https://patents.google.com/patent/US8350700B2/en")</f>
        <v>https://patents.google.com/patent/US8350700B2/en</v>
      </c>
    </row>
    <row r="4442" spans="3:5" x14ac:dyDescent="0.25">
      <c r="C4442" t="s">
        <v>7773</v>
      </c>
      <c r="D4442" t="s">
        <v>7774</v>
      </c>
      <c r="E4442" t="str">
        <f>HYPERLINK("https://patents.google.com/patent/US6438594B1/en")</f>
        <v>https://patents.google.com/patent/US6438594B1/en</v>
      </c>
    </row>
    <row r="4443" spans="3:5" x14ac:dyDescent="0.25">
      <c r="C4443" t="s">
        <v>7775</v>
      </c>
      <c r="D4443" t="s">
        <v>7776</v>
      </c>
      <c r="E4443" t="str">
        <f>HYPERLINK("https://patents.google.com/patent/US6636242B2/en")</f>
        <v>https://patents.google.com/patent/US6636242B2/en</v>
      </c>
    </row>
    <row r="4444" spans="3:5" x14ac:dyDescent="0.25">
      <c r="C4444" t="s">
        <v>7777</v>
      </c>
      <c r="D4444" t="s">
        <v>7778</v>
      </c>
      <c r="E4444" t="str">
        <f>HYPERLINK("https://patents.google.com/patent/US7457397B1/en")</f>
        <v>https://patents.google.com/patent/US7457397B1/en</v>
      </c>
    </row>
    <row r="4445" spans="3:5" x14ac:dyDescent="0.25">
      <c r="C4445" t="s">
        <v>7779</v>
      </c>
      <c r="D4445" t="s">
        <v>7780</v>
      </c>
      <c r="E4445" t="str">
        <f>HYPERLINK("https://patents.google.com/patent/US7914468B2/en")</f>
        <v>https://patents.google.com/patent/US7914468B2/en</v>
      </c>
    </row>
    <row r="4446" spans="3:5" x14ac:dyDescent="0.25">
      <c r="C4446" t="s">
        <v>7759</v>
      </c>
      <c r="D4446" t="s">
        <v>7781</v>
      </c>
      <c r="E4446" t="str">
        <f>HYPERLINK("https://patents.google.com/patent/US6236955B1/en")</f>
        <v>https://patents.google.com/patent/US6236955B1/en</v>
      </c>
    </row>
    <row r="4447" spans="3:5" x14ac:dyDescent="0.25">
      <c r="C4447" t="s">
        <v>7782</v>
      </c>
      <c r="D4447" t="s">
        <v>7783</v>
      </c>
      <c r="E4447" t="str">
        <f>HYPERLINK("https://patents.google.com/patent/US6339832B1/en")</f>
        <v>https://patents.google.com/patent/US6339832B1/en</v>
      </c>
    </row>
    <row r="4448" spans="3:5" x14ac:dyDescent="0.25">
      <c r="C4448" t="s">
        <v>7784</v>
      </c>
      <c r="D4448" t="s">
        <v>7785</v>
      </c>
      <c r="E4448" t="str">
        <f>HYPERLINK("https://patents.google.com/patent/US6742015B1/en")</f>
        <v>https://patents.google.com/patent/US6742015B1/en</v>
      </c>
    </row>
    <row r="4449" spans="3:5" x14ac:dyDescent="0.25">
      <c r="C4449" t="s">
        <v>7786</v>
      </c>
      <c r="D4449" t="s">
        <v>7787</v>
      </c>
      <c r="E4449" t="str">
        <f>HYPERLINK("https://patents.google.com/patent/US6549949B1/en")</f>
        <v>https://patents.google.com/patent/US6549949B1/en</v>
      </c>
    </row>
    <row r="4450" spans="3:5" x14ac:dyDescent="0.25">
      <c r="C4450" t="s">
        <v>7788</v>
      </c>
      <c r="D4450" t="s">
        <v>7789</v>
      </c>
      <c r="E4450" t="str">
        <f>HYPERLINK("https://patents.google.com/patent/US6615199B1/en")</f>
        <v>https://patents.google.com/patent/US6615199B1/en</v>
      </c>
    </row>
    <row r="4451" spans="3:5" x14ac:dyDescent="0.25">
      <c r="C4451" t="s">
        <v>7790</v>
      </c>
      <c r="D4451" t="s">
        <v>7791</v>
      </c>
      <c r="E4451" t="str">
        <f>HYPERLINK("https://patents.google.com/patent/US6640238B1/en")</f>
        <v>https://patents.google.com/patent/US6640238B1/en</v>
      </c>
    </row>
    <row r="4452" spans="3:5" x14ac:dyDescent="0.25">
      <c r="C4452" t="s">
        <v>7792</v>
      </c>
      <c r="D4452" t="s">
        <v>7793</v>
      </c>
      <c r="E4452" t="str">
        <f>HYPERLINK("https://patents.google.com/patent/US6615253B1/en")</f>
        <v>https://patents.google.com/patent/US6615253B1/en</v>
      </c>
    </row>
    <row r="4453" spans="3:5" x14ac:dyDescent="0.25">
      <c r="C4453" t="s">
        <v>7794</v>
      </c>
      <c r="D4453" t="s">
        <v>7795</v>
      </c>
      <c r="E4453" t="str">
        <f>HYPERLINK("https://patents.google.com/patent/US6502213B1/en")</f>
        <v>https://patents.google.com/patent/US6502213B1/en</v>
      </c>
    </row>
    <row r="4454" spans="3:5" x14ac:dyDescent="0.25">
      <c r="C4454" t="s">
        <v>7796</v>
      </c>
      <c r="D4454" t="s">
        <v>7797</v>
      </c>
      <c r="E4454" t="str">
        <f>HYPERLINK("https://patents.google.com/patent/US6606660B1/en")</f>
        <v>https://patents.google.com/patent/US6606660B1/en</v>
      </c>
    </row>
    <row r="4455" spans="3:5" x14ac:dyDescent="0.25">
      <c r="C4455" t="s">
        <v>7798</v>
      </c>
      <c r="D4455" t="s">
        <v>7799</v>
      </c>
      <c r="E4455" t="str">
        <f>HYPERLINK("https://patents.google.com/patent/US6640244B1/en")</f>
        <v>https://patents.google.com/patent/US6640244B1/en</v>
      </c>
    </row>
    <row r="4456" spans="3:5" x14ac:dyDescent="0.25">
      <c r="C4456" t="s">
        <v>7800</v>
      </c>
      <c r="D4456" t="s">
        <v>7801</v>
      </c>
      <c r="E4456" t="str">
        <f>HYPERLINK("https://patents.google.com/patent/US6529909B1/en")</f>
        <v>https://patents.google.com/patent/US6529909B1/en</v>
      </c>
    </row>
    <row r="4457" spans="3:5" x14ac:dyDescent="0.25">
      <c r="C4457" t="s">
        <v>7802</v>
      </c>
      <c r="D4457" t="s">
        <v>7803</v>
      </c>
      <c r="E4457" t="str">
        <f>HYPERLINK("https://patents.google.com/patent/US6578068B1/en")</f>
        <v>https://patents.google.com/patent/US6578068B1/en</v>
      </c>
    </row>
    <row r="4458" spans="3:5" x14ac:dyDescent="0.25">
      <c r="C4458" t="s">
        <v>7804</v>
      </c>
      <c r="D4458" t="s">
        <v>7805</v>
      </c>
      <c r="E4458" t="str">
        <f>HYPERLINK("https://patents.google.com/patent/US6601234B1/en")</f>
        <v>https://patents.google.com/patent/US6601234B1/en</v>
      </c>
    </row>
    <row r="4459" spans="3:5" x14ac:dyDescent="0.25">
      <c r="C4459" t="s">
        <v>7806</v>
      </c>
      <c r="D4459" t="s">
        <v>7807</v>
      </c>
      <c r="E4459" t="str">
        <f>HYPERLINK("https://patents.google.com/patent/US6601192B1/en")</f>
        <v>https://patents.google.com/patent/US6601192B1/en</v>
      </c>
    </row>
    <row r="4460" spans="3:5" x14ac:dyDescent="0.25">
      <c r="C4460" t="s">
        <v>7808</v>
      </c>
      <c r="D4460" t="s">
        <v>7809</v>
      </c>
      <c r="E4460" t="str">
        <f>HYPERLINK("https://patents.google.com/patent/US7289964B1/en")</f>
        <v>https://patents.google.com/patent/US7289964B1/en</v>
      </c>
    </row>
    <row r="4461" spans="3:5" x14ac:dyDescent="0.25">
      <c r="C4461" t="s">
        <v>7810</v>
      </c>
      <c r="D4461" t="s">
        <v>7811</v>
      </c>
      <c r="E4461" t="str">
        <f>HYPERLINK("https://patents.google.com/patent/US7145898B1/en")</f>
        <v>https://patents.google.com/patent/US7145898B1/en</v>
      </c>
    </row>
    <row r="4462" spans="3:5" x14ac:dyDescent="0.25">
      <c r="C4462" t="s">
        <v>7812</v>
      </c>
      <c r="D4462" t="s">
        <v>7813</v>
      </c>
      <c r="E4462" t="str">
        <f>HYPERLINK("https://patents.google.com/patent/US6529948B1/en")</f>
        <v>https://patents.google.com/patent/US6529948B1/en</v>
      </c>
    </row>
    <row r="4463" spans="3:5" x14ac:dyDescent="0.25">
      <c r="C4463" t="s">
        <v>7814</v>
      </c>
      <c r="D4463" t="s">
        <v>7815</v>
      </c>
      <c r="E4463" t="str">
        <f>HYPERLINK("https://patents.google.com/patent/US6434628B1/en")</f>
        <v>https://patents.google.com/patent/US6434628B1/en</v>
      </c>
    </row>
    <row r="4464" spans="3:5" x14ac:dyDescent="0.25">
      <c r="C4464" t="s">
        <v>7816</v>
      </c>
      <c r="D4464" t="s">
        <v>7817</v>
      </c>
      <c r="E4464" t="str">
        <f>HYPERLINK("https://patents.google.com/patent/US6496850B1/en")</f>
        <v>https://patents.google.com/patent/US6496850B1/en</v>
      </c>
    </row>
    <row r="4465" spans="3:5" x14ac:dyDescent="0.25">
      <c r="C4465" t="s">
        <v>7818</v>
      </c>
      <c r="D4465" t="s">
        <v>7819</v>
      </c>
      <c r="E4465" t="str">
        <f>HYPERLINK("https://patents.google.com/patent/US8121874B1/en")</f>
        <v>https://patents.google.com/patent/US8121874B1/en</v>
      </c>
    </row>
    <row r="4466" spans="3:5" x14ac:dyDescent="0.25">
      <c r="C4466" t="s">
        <v>7820</v>
      </c>
      <c r="D4466" t="s">
        <v>7821</v>
      </c>
      <c r="E4466" t="str">
        <f>HYPERLINK("https://patents.google.com/patent/US7234103B1/en")</f>
        <v>https://patents.google.com/patent/US7234103B1/en</v>
      </c>
    </row>
    <row r="4467" spans="3:5" x14ac:dyDescent="0.25">
      <c r="C4467" t="s">
        <v>7822</v>
      </c>
      <c r="D4467" t="s">
        <v>7823</v>
      </c>
      <c r="E4467" t="str">
        <f>HYPERLINK("https://patents.google.com/patent/US6085184A/en")</f>
        <v>https://patents.google.com/patent/US6085184A/en</v>
      </c>
    </row>
    <row r="4468" spans="3:5" x14ac:dyDescent="0.25">
      <c r="C4468" t="s">
        <v>7824</v>
      </c>
      <c r="D4468" t="s">
        <v>7825</v>
      </c>
      <c r="E4468" t="str">
        <f>HYPERLINK("https://patents.google.com/patent/US6926203B1/en")</f>
        <v>https://patents.google.com/patent/US6926203B1/en</v>
      </c>
    </row>
    <row r="4469" spans="3:5" x14ac:dyDescent="0.25">
      <c r="C4469" t="s">
        <v>7826</v>
      </c>
      <c r="D4469" t="s">
        <v>7827</v>
      </c>
      <c r="E4469" t="str">
        <f>HYPERLINK("https://patents.google.com/patent/US6635015B2/en")</f>
        <v>https://patents.google.com/patent/US6635015B2/en</v>
      </c>
    </row>
    <row r="4470" spans="3:5" x14ac:dyDescent="0.25">
      <c r="C4470" t="s">
        <v>7828</v>
      </c>
      <c r="D4470" t="s">
        <v>7829</v>
      </c>
      <c r="E4470" t="str">
        <f>HYPERLINK("https://patents.google.com/patent/US6067537A/en")</f>
        <v>https://patents.google.com/patent/US6067537A/en</v>
      </c>
    </row>
    <row r="4471" spans="3:5" x14ac:dyDescent="0.25">
      <c r="C4471" t="s">
        <v>7830</v>
      </c>
      <c r="D4471" t="s">
        <v>7831</v>
      </c>
      <c r="E4471" t="str">
        <f>HYPERLINK("https://patents.google.com/patent/US6032141A/en")</f>
        <v>https://patents.google.com/patent/US6032141A/en</v>
      </c>
    </row>
    <row r="4472" spans="3:5" x14ac:dyDescent="0.25">
      <c r="C4472" t="s">
        <v>7832</v>
      </c>
      <c r="D4472" t="s">
        <v>7833</v>
      </c>
      <c r="E4472" t="str">
        <f>HYPERLINK("https://patents.google.com/patent/US7769819B2/en")</f>
        <v>https://patents.google.com/patent/US7769819B2/en</v>
      </c>
    </row>
    <row r="4473" spans="3:5" x14ac:dyDescent="0.25">
      <c r="C4473" t="s">
        <v>7834</v>
      </c>
      <c r="D4473" t="s">
        <v>7835</v>
      </c>
      <c r="E4473" t="str">
        <f>HYPERLINK("https://patents.google.com/patent/US8275635B2/en")</f>
        <v>https://patents.google.com/patent/US8275635B2/en</v>
      </c>
    </row>
    <row r="4474" spans="3:5" x14ac:dyDescent="0.25">
      <c r="C4474" t="s">
        <v>7836</v>
      </c>
      <c r="D4474" t="s">
        <v>7837</v>
      </c>
      <c r="E4474" t="str">
        <f>HYPERLINK("https://patents.google.com/patent/US7660778B1/en")</f>
        <v>https://patents.google.com/patent/US7660778B1/en</v>
      </c>
    </row>
    <row r="4475" spans="3:5" x14ac:dyDescent="0.25">
      <c r="C4475" t="s">
        <v>7838</v>
      </c>
      <c r="D4475" t="s">
        <v>7839</v>
      </c>
      <c r="E4475" t="str">
        <f>HYPERLINK("https://patents.google.com/patent/US6316504B1/en")</f>
        <v>https://patents.google.com/patent/US6316504B1/en</v>
      </c>
    </row>
    <row r="4476" spans="3:5" x14ac:dyDescent="0.25">
      <c r="C4476" t="s">
        <v>7840</v>
      </c>
      <c r="D4476" t="s">
        <v>7841</v>
      </c>
      <c r="E4476" t="str">
        <f>HYPERLINK("https://patents.google.com/patent/US6101489A/en")</f>
        <v>https://patents.google.com/patent/US6101489A/en</v>
      </c>
    </row>
    <row r="4477" spans="3:5" x14ac:dyDescent="0.25">
      <c r="C4477" t="s">
        <v>7842</v>
      </c>
      <c r="D4477" t="s">
        <v>7843</v>
      </c>
      <c r="E4477" t="str">
        <f>HYPERLINK("https://patents.google.com/patent/US6134539A/en")</f>
        <v>https://patents.google.com/patent/US6134539A/en</v>
      </c>
    </row>
    <row r="4478" spans="3:5" x14ac:dyDescent="0.25">
      <c r="C4478" t="s">
        <v>7844</v>
      </c>
      <c r="D4478" t="s">
        <v>7845</v>
      </c>
      <c r="E4478" t="str">
        <f>HYPERLINK("https://patents.google.com/patent/US6910628B1/en")</f>
        <v>https://patents.google.com/patent/US6910628B1/en</v>
      </c>
    </row>
    <row r="4479" spans="3:5" x14ac:dyDescent="0.25">
      <c r="C4479" t="s">
        <v>7676</v>
      </c>
      <c r="D4479" t="s">
        <v>7846</v>
      </c>
      <c r="E4479" t="str">
        <f>HYPERLINK("https://patents.google.com/patent/US6964608B1/en")</f>
        <v>https://patents.google.com/patent/US6964608B1/en</v>
      </c>
    </row>
    <row r="4480" spans="3:5" x14ac:dyDescent="0.25">
      <c r="C4480" t="s">
        <v>7847</v>
      </c>
      <c r="D4480" t="s">
        <v>7848</v>
      </c>
      <c r="E4480" t="str">
        <f>HYPERLINK("https://patents.google.com/patent/US7280991B1/en")</f>
        <v>https://patents.google.com/patent/US7280991B1/en</v>
      </c>
    </row>
    <row r="4481" spans="3:5" x14ac:dyDescent="0.25">
      <c r="C4481" t="s">
        <v>7849</v>
      </c>
      <c r="D4481" t="s">
        <v>7850</v>
      </c>
      <c r="E4481" t="str">
        <f>HYPERLINK("https://patents.google.com/patent/US6023691A/en")</f>
        <v>https://patents.google.com/patent/US6023691A/en</v>
      </c>
    </row>
    <row r="4482" spans="3:5" x14ac:dyDescent="0.25">
      <c r="C4482" t="s">
        <v>7851</v>
      </c>
      <c r="D4482" t="s">
        <v>7852</v>
      </c>
      <c r="E4482" t="str">
        <f>HYPERLINK("https://patents.google.com/patent/US5893717A/en")</f>
        <v>https://patents.google.com/patent/US5893717A/en</v>
      </c>
    </row>
    <row r="4483" spans="3:5" x14ac:dyDescent="0.25">
      <c r="C4483" t="s">
        <v>7853</v>
      </c>
      <c r="D4483" t="s">
        <v>7854</v>
      </c>
      <c r="E4483" t="str">
        <f>HYPERLINK("https://patents.google.com/patent/US6029159A/en")</f>
        <v>https://patents.google.com/patent/US6029159A/en</v>
      </c>
    </row>
    <row r="4484" spans="3:5" x14ac:dyDescent="0.25">
      <c r="C4484" t="s">
        <v>7855</v>
      </c>
      <c r="D4484" t="s">
        <v>7856</v>
      </c>
      <c r="E4484" t="str">
        <f>HYPERLINK("https://patents.google.com/patent/US6018731A/en")</f>
        <v>https://patents.google.com/patent/US6018731A/en</v>
      </c>
    </row>
    <row r="4485" spans="3:5" x14ac:dyDescent="0.25">
      <c r="C4485" t="s">
        <v>7857</v>
      </c>
      <c r="D4485" t="s">
        <v>7858</v>
      </c>
      <c r="E4485" t="str">
        <f>HYPERLINK("https://patents.google.com/patent/US6023692A/en")</f>
        <v>https://patents.google.com/patent/US6023692A/en</v>
      </c>
    </row>
    <row r="4486" spans="3:5" x14ac:dyDescent="0.25">
      <c r="C4486" t="s">
        <v>7859</v>
      </c>
      <c r="D4486" t="s">
        <v>7860</v>
      </c>
      <c r="E4486" t="str">
        <f>HYPERLINK("https://patents.google.com/patent/US6064998A/en")</f>
        <v>https://patents.google.com/patent/US6064998A/en</v>
      </c>
    </row>
    <row r="4487" spans="3:5" x14ac:dyDescent="0.25">
      <c r="C4487" t="s">
        <v>7861</v>
      </c>
      <c r="D4487" t="s">
        <v>7862</v>
      </c>
      <c r="E4487" t="str">
        <f>HYPERLINK("https://patents.google.com/patent/US7777648B2/en")</f>
        <v>https://patents.google.com/patent/US7777648B2/en</v>
      </c>
    </row>
    <row r="4488" spans="3:5" x14ac:dyDescent="0.25">
      <c r="C4488" t="s">
        <v>7863</v>
      </c>
      <c r="D4488" t="s">
        <v>7864</v>
      </c>
      <c r="E4488" t="str">
        <f>HYPERLINK("https://patents.google.com/patent/US7137951B2/en")</f>
        <v>https://patents.google.com/patent/US7137951B2/en</v>
      </c>
    </row>
    <row r="4489" spans="3:5" x14ac:dyDescent="0.25">
      <c r="C4489" t="s">
        <v>7865</v>
      </c>
      <c r="D4489" t="s">
        <v>7866</v>
      </c>
      <c r="E4489" t="str">
        <f>HYPERLINK("https://patents.google.com/patent/US8103445B2/en")</f>
        <v>https://patents.google.com/patent/US8103445B2/en</v>
      </c>
    </row>
    <row r="4490" spans="3:5" x14ac:dyDescent="0.25">
      <c r="C4490" t="s">
        <v>7867</v>
      </c>
      <c r="D4490" t="s">
        <v>7868</v>
      </c>
      <c r="E4490" t="str">
        <f>HYPERLINK("https://patents.google.com/patent/US8430507B2/en")</f>
        <v>https://patents.google.com/patent/US8430507B2/en</v>
      </c>
    </row>
    <row r="4491" spans="3:5" x14ac:dyDescent="0.25">
      <c r="C4491" t="s">
        <v>7869</v>
      </c>
      <c r="D4491" t="s">
        <v>7870</v>
      </c>
      <c r="E4491" t="str">
        <f>HYPERLINK("https://patents.google.com/patent/US8909771B2/en")</f>
        <v>https://patents.google.com/patent/US8909771B2/en</v>
      </c>
    </row>
    <row r="4492" spans="3:5" x14ac:dyDescent="0.25">
      <c r="C4492" t="s">
        <v>7871</v>
      </c>
      <c r="D4492" t="s">
        <v>7872</v>
      </c>
      <c r="E4492" t="str">
        <f>HYPERLINK("https://patents.google.com/patent/US6029158A/en")</f>
        <v>https://patents.google.com/patent/US6029158A/en</v>
      </c>
    </row>
    <row r="4493" spans="3:5" x14ac:dyDescent="0.25">
      <c r="C4493" t="s">
        <v>7873</v>
      </c>
      <c r="D4493" t="s">
        <v>7874</v>
      </c>
      <c r="E4493" t="str">
        <f>HYPERLINK("https://patents.google.com/patent/US6133555A/en")</f>
        <v>https://patents.google.com/patent/US6133555A/en</v>
      </c>
    </row>
    <row r="4494" spans="3:5" x14ac:dyDescent="0.25">
      <c r="C4494" t="s">
        <v>7875</v>
      </c>
      <c r="D4494" t="s">
        <v>7876</v>
      </c>
      <c r="E4494" t="str">
        <f>HYPERLINK("https://patents.google.com/patent/US7212983B2/en")</f>
        <v>https://patents.google.com/patent/US7212983B2/en</v>
      </c>
    </row>
    <row r="4495" spans="3:5" x14ac:dyDescent="0.25">
      <c r="C4495" t="s">
        <v>7877</v>
      </c>
      <c r="D4495" t="s">
        <v>7878</v>
      </c>
      <c r="E4495" t="str">
        <f>HYPERLINK("https://patents.google.com/patent/US7466244B2/en")</f>
        <v>https://patents.google.com/patent/US7466244B2/en</v>
      </c>
    </row>
    <row r="4496" spans="3:5" x14ac:dyDescent="0.25">
      <c r="C4496" t="s">
        <v>7879</v>
      </c>
      <c r="D4496" t="s">
        <v>7880</v>
      </c>
      <c r="E4496" t="str">
        <f>HYPERLINK("https://patents.google.com/patent/US6029156A/en")</f>
        <v>https://patents.google.com/patent/US6029156A/en</v>
      </c>
    </row>
    <row r="4497" spans="3:5" x14ac:dyDescent="0.25">
      <c r="C4497" t="s">
        <v>7881</v>
      </c>
      <c r="D4497" t="s">
        <v>7882</v>
      </c>
      <c r="E4497" t="str">
        <f>HYPERLINK("https://patents.google.com/patent/US6016486A/en")</f>
        <v>https://patents.google.com/patent/US6016486A/en</v>
      </c>
    </row>
    <row r="4498" spans="3:5" x14ac:dyDescent="0.25">
      <c r="C4498" t="s">
        <v>7883</v>
      </c>
      <c r="D4498" t="s">
        <v>7884</v>
      </c>
      <c r="E4498" t="str">
        <f>HYPERLINK("https://patents.google.com/patent/US6026386A/en")</f>
        <v>https://patents.google.com/patent/US6026386A/en</v>
      </c>
    </row>
    <row r="4499" spans="3:5" x14ac:dyDescent="0.25">
      <c r="C4499" t="s">
        <v>7885</v>
      </c>
      <c r="D4499" t="s">
        <v>7886</v>
      </c>
      <c r="E4499" t="str">
        <f>HYPERLINK("https://patents.google.com/patent/US7177834B1/en")</f>
        <v>https://patents.google.com/patent/US7177834B1/en</v>
      </c>
    </row>
    <row r="4500" spans="3:5" x14ac:dyDescent="0.25">
      <c r="C4500" t="s">
        <v>7887</v>
      </c>
      <c r="D4500" t="s">
        <v>7888</v>
      </c>
      <c r="E4500" t="str">
        <f>HYPERLINK("https://patents.google.com/patent/US7056179B2/en")</f>
        <v>https://patents.google.com/patent/US7056179B2/en</v>
      </c>
    </row>
    <row r="4501" spans="3:5" x14ac:dyDescent="0.25">
      <c r="C4501" t="s">
        <v>7889</v>
      </c>
      <c r="D4501" t="s">
        <v>7890</v>
      </c>
      <c r="E4501" t="str">
        <f>HYPERLINK("https://patents.google.com/patent/US6018732A/en")</f>
        <v>https://patents.google.com/patent/US6018732A/en</v>
      </c>
    </row>
    <row r="4502" spans="3:5" x14ac:dyDescent="0.25">
      <c r="C4502" t="s">
        <v>7891</v>
      </c>
      <c r="D4502" t="s">
        <v>7892</v>
      </c>
      <c r="E4502" t="str">
        <f>HYPERLINK("https://patents.google.com/patent/US6224387B1/en")</f>
        <v>https://patents.google.com/patent/US6224387B1/en</v>
      </c>
    </row>
    <row r="4503" spans="3:5" x14ac:dyDescent="0.25">
      <c r="C4503" t="s">
        <v>7893</v>
      </c>
      <c r="D4503" t="s">
        <v>7894</v>
      </c>
      <c r="E4503" t="str">
        <f>HYPERLINK("https://patents.google.com/patent/US6798443B1/en")</f>
        <v>https://patents.google.com/patent/US6798443B1/en</v>
      </c>
    </row>
    <row r="4504" spans="3:5" x14ac:dyDescent="0.25">
      <c r="C4504" t="s">
        <v>7895</v>
      </c>
      <c r="D4504" t="s">
        <v>7896</v>
      </c>
      <c r="E4504" t="str">
        <f>HYPERLINK("https://patents.google.com/patent/US7210938B2/en")</f>
        <v>https://patents.google.com/patent/US7210938B2/en</v>
      </c>
    </row>
    <row r="4505" spans="3:5" x14ac:dyDescent="0.25">
      <c r="C4505" t="s">
        <v>7897</v>
      </c>
      <c r="D4505" t="s">
        <v>7898</v>
      </c>
      <c r="E4505" t="str">
        <f>HYPERLINK("https://patents.google.com/patent/US5867494A/en")</f>
        <v>https://patents.google.com/patent/US5867494A/en</v>
      </c>
    </row>
    <row r="4506" spans="3:5" x14ac:dyDescent="0.25">
      <c r="C4506" t="s">
        <v>7899</v>
      </c>
      <c r="D4506" t="s">
        <v>7900</v>
      </c>
      <c r="E4506" t="str">
        <f>HYPERLINK("https://patents.google.com/patent/US5539530A/en")</f>
        <v>https://patents.google.com/patent/US5539530A/en</v>
      </c>
    </row>
    <row r="4507" spans="3:5" x14ac:dyDescent="0.25">
      <c r="C4507" t="s">
        <v>7901</v>
      </c>
      <c r="D4507" t="s">
        <v>7902</v>
      </c>
      <c r="E4507" t="str">
        <f>HYPERLINK("https://patents.google.com/patent/US7290367B2/en")</f>
        <v>https://patents.google.com/patent/US7290367B2/en</v>
      </c>
    </row>
    <row r="4508" spans="3:5" x14ac:dyDescent="0.25">
      <c r="C4508" t="s">
        <v>7903</v>
      </c>
      <c r="D4508" t="s">
        <v>7904</v>
      </c>
      <c r="E4508" t="str">
        <f>HYPERLINK("https://patents.google.com/patent/US5999525A/en")</f>
        <v>https://patents.google.com/patent/US5999525A/en</v>
      </c>
    </row>
    <row r="4509" spans="3:5" x14ac:dyDescent="0.25">
      <c r="C4509" t="s">
        <v>7905</v>
      </c>
      <c r="D4509" t="s">
        <v>7906</v>
      </c>
      <c r="E4509" t="str">
        <f>HYPERLINK("https://patents.google.com/patent/US5543857A/en")</f>
        <v>https://patents.google.com/patent/US5543857A/en</v>
      </c>
    </row>
    <row r="4510" spans="3:5" x14ac:dyDescent="0.25">
      <c r="C4510" t="s">
        <v>7907</v>
      </c>
      <c r="D4510" t="s">
        <v>7908</v>
      </c>
      <c r="E4510" t="str">
        <f>HYPERLINK("https://patents.google.com/patent/US7077806B2/en")</f>
        <v>https://patents.google.com/patent/US7077806B2/en</v>
      </c>
    </row>
    <row r="4511" spans="3:5" x14ac:dyDescent="0.25">
      <c r="C4511" t="s">
        <v>7909</v>
      </c>
      <c r="D4511" t="s">
        <v>7910</v>
      </c>
      <c r="E4511" t="str">
        <f>HYPERLINK("https://patents.google.com/patent/US8156176B2/en")</f>
        <v>https://patents.google.com/patent/US8156176B2/en</v>
      </c>
    </row>
    <row r="4512" spans="3:5" x14ac:dyDescent="0.25">
      <c r="C4512" t="s">
        <v>7911</v>
      </c>
      <c r="D4512" t="s">
        <v>7912</v>
      </c>
      <c r="E4512" t="str">
        <f>HYPERLINK("https://patents.google.com/patent/US7564377B2/en")</f>
        <v>https://patents.google.com/patent/US7564377B2/en</v>
      </c>
    </row>
    <row r="4513" spans="3:5" x14ac:dyDescent="0.25">
      <c r="C4513" t="s">
        <v>7913</v>
      </c>
      <c r="D4513" t="s">
        <v>7914</v>
      </c>
      <c r="E4513" t="str">
        <f>HYPERLINK("https://patents.google.com/patent/US7987228B2/en")</f>
        <v>https://patents.google.com/patent/US7987228B2/en</v>
      </c>
    </row>
    <row r="4514" spans="3:5" x14ac:dyDescent="0.25">
      <c r="C4514" t="s">
        <v>7915</v>
      </c>
      <c r="D4514" t="s">
        <v>7916</v>
      </c>
      <c r="E4514" t="str">
        <f>HYPERLINK("https://patents.google.com/patent/US7809802B2/en")</f>
        <v>https://patents.google.com/patent/US7809802B2/en</v>
      </c>
    </row>
    <row r="4515" spans="3:5" x14ac:dyDescent="0.25">
      <c r="C4515" t="s">
        <v>7917</v>
      </c>
      <c r="D4515" t="s">
        <v>7918</v>
      </c>
      <c r="E4515" t="str">
        <f>HYPERLINK("https://patents.google.com/patent/US8706914B2/en")</f>
        <v>https://patents.google.com/patent/US8706914B2/en</v>
      </c>
    </row>
    <row r="4516" spans="3:5" x14ac:dyDescent="0.25">
      <c r="C4516" t="s">
        <v>7919</v>
      </c>
      <c r="D4516" t="s">
        <v>7920</v>
      </c>
      <c r="E4516" t="str">
        <f>HYPERLINK("https://patents.google.com/patent/US6539269B1/en")</f>
        <v>https://patents.google.com/patent/US6539269B1/en</v>
      </c>
    </row>
    <row r="4517" spans="3:5" x14ac:dyDescent="0.25">
      <c r="C4517" t="s">
        <v>7921</v>
      </c>
      <c r="D4517" t="s">
        <v>7922</v>
      </c>
      <c r="E4517" t="str">
        <f>HYPERLINK("https://patents.google.com/patent/US5121195A/en")</f>
        <v>https://patents.google.com/patent/US5121195A/en</v>
      </c>
    </row>
    <row r="4518" spans="3:5" x14ac:dyDescent="0.25">
      <c r="C4518" t="s">
        <v>7759</v>
      </c>
      <c r="D4518" t="s">
        <v>7923</v>
      </c>
      <c r="E4518" t="str">
        <f>HYPERLINK("https://patents.google.com/patent/US7349838B2/en")</f>
        <v>https://patents.google.com/patent/US7349838B2/en</v>
      </c>
    </row>
    <row r="4519" spans="3:5" x14ac:dyDescent="0.25">
      <c r="C4519" t="s">
        <v>7924</v>
      </c>
      <c r="D4519" t="s">
        <v>7925</v>
      </c>
      <c r="E4519" t="str">
        <f>HYPERLINK("https://patents.google.com/patent/US7761386B2/en")</f>
        <v>https://patents.google.com/patent/US7761386B2/en</v>
      </c>
    </row>
    <row r="4520" spans="3:5" x14ac:dyDescent="0.25">
      <c r="C4520" t="s">
        <v>7926</v>
      </c>
      <c r="D4520" t="s">
        <v>7927</v>
      </c>
      <c r="E4520" t="str">
        <f>HYPERLINK("https://patents.google.com/patent/US6497577B2/en")</f>
        <v>https://patents.google.com/patent/US6497577B2/en</v>
      </c>
    </row>
    <row r="4521" spans="3:5" x14ac:dyDescent="0.25">
      <c r="C4521" t="s">
        <v>7928</v>
      </c>
      <c r="D4521" t="s">
        <v>7929</v>
      </c>
      <c r="E4521" t="str">
        <f>HYPERLINK("https://patents.google.com/patent/US8285643B2/en")</f>
        <v>https://patents.google.com/patent/US8285643B2/en</v>
      </c>
    </row>
    <row r="4522" spans="3:5" x14ac:dyDescent="0.25">
      <c r="C4522" t="s">
        <v>7930</v>
      </c>
      <c r="D4522" t="s">
        <v>7931</v>
      </c>
      <c r="E4522" t="str">
        <f>HYPERLINK("https://patents.google.com/patent/US7837595B2/en")</f>
        <v>https://patents.google.com/patent/US7837595B2/en</v>
      </c>
    </row>
    <row r="4523" spans="3:5" x14ac:dyDescent="0.25">
      <c r="C4523" t="s">
        <v>7932</v>
      </c>
      <c r="D4523" t="s">
        <v>7933</v>
      </c>
      <c r="E4523" t="str">
        <f>HYPERLINK("https://patents.google.com/patent/US7603301B1/en")</f>
        <v>https://patents.google.com/patent/US7603301B1/en</v>
      </c>
    </row>
    <row r="4524" spans="3:5" x14ac:dyDescent="0.25">
      <c r="C4524" t="s">
        <v>7934</v>
      </c>
      <c r="D4524" t="s">
        <v>7935</v>
      </c>
      <c r="E4524" t="str">
        <f>HYPERLINK("https://patents.google.com/patent/US6618723B1/en")</f>
        <v>https://patents.google.com/patent/US6618723B1/en</v>
      </c>
    </row>
    <row r="4525" spans="3:5" x14ac:dyDescent="0.25">
      <c r="C4525" t="s">
        <v>7936</v>
      </c>
      <c r="D4525" t="s">
        <v>7937</v>
      </c>
      <c r="E4525" t="str">
        <f>HYPERLINK("https://patents.google.com/patent/US6745170B2/en")</f>
        <v>https://patents.google.com/patent/US6745170B2/en</v>
      </c>
    </row>
    <row r="4526" spans="3:5" x14ac:dyDescent="0.25">
      <c r="C4526" t="s">
        <v>7733</v>
      </c>
      <c r="D4526" t="s">
        <v>7938</v>
      </c>
      <c r="E4526" t="str">
        <f>HYPERLINK("https://patents.google.com/patent/US20050144189A1/en")</f>
        <v>https://patents.google.com/patent/US20050144189A1/en</v>
      </c>
    </row>
    <row r="4527" spans="3:5" x14ac:dyDescent="0.25">
      <c r="C4527" t="s">
        <v>7939</v>
      </c>
      <c r="D4527" t="s">
        <v>7940</v>
      </c>
      <c r="E4527" t="str">
        <f>HYPERLINK("https://patents.google.com/patent/US20110161409A1/en")</f>
        <v>https://patents.google.com/patent/US20110161409A1/en</v>
      </c>
    </row>
    <row r="4528" spans="3:5" x14ac:dyDescent="0.25">
      <c r="C4528" t="s">
        <v>7941</v>
      </c>
      <c r="D4528" t="s">
        <v>7942</v>
      </c>
      <c r="E4528" t="str">
        <f>HYPERLINK("https://patents.google.com/patent/US20130073473A1/en")</f>
        <v>https://patents.google.com/patent/US20130073473A1/en</v>
      </c>
    </row>
    <row r="4529" spans="3:5" x14ac:dyDescent="0.25">
      <c r="C4529" t="s">
        <v>7943</v>
      </c>
      <c r="D4529" t="s">
        <v>7944</v>
      </c>
      <c r="E4529" t="str">
        <f>HYPERLINK("https://patents.google.com/patent/US20080046298A1/en")</f>
        <v>https://patents.google.com/patent/US20080046298A1/en</v>
      </c>
    </row>
    <row r="4530" spans="3:5" x14ac:dyDescent="0.25">
      <c r="C4530" t="s">
        <v>7945</v>
      </c>
      <c r="D4530" t="s">
        <v>7946</v>
      </c>
      <c r="E4530" t="str">
        <f>HYPERLINK("https://patents.google.com/patent/US20050096950A1/en")</f>
        <v>https://patents.google.com/patent/US20050096950A1/en</v>
      </c>
    </row>
    <row r="4531" spans="3:5" x14ac:dyDescent="0.25">
      <c r="C4531" t="s">
        <v>7947</v>
      </c>
      <c r="D4531" t="s">
        <v>7948</v>
      </c>
      <c r="E4531" t="str">
        <f>HYPERLINK("https://patents.google.com/patent/US20140075004A1/en")</f>
        <v>https://patents.google.com/patent/US20140075004A1/en</v>
      </c>
    </row>
    <row r="4532" spans="3:5" x14ac:dyDescent="0.25">
      <c r="C4532" t="s">
        <v>7949</v>
      </c>
      <c r="D4532" t="s">
        <v>7950</v>
      </c>
      <c r="E4532" t="str">
        <f>HYPERLINK("https://patents.google.com/patent/US20100253542A1/en")</f>
        <v>https://patents.google.com/patent/US20100253542A1/en</v>
      </c>
    </row>
    <row r="4533" spans="3:5" x14ac:dyDescent="0.25">
      <c r="C4533" t="s">
        <v>7951</v>
      </c>
      <c r="D4533" t="s">
        <v>7952</v>
      </c>
      <c r="E4533" t="str">
        <f>HYPERLINK("https://patents.google.com/patent/US20100045816A1/en")</f>
        <v>https://patents.google.com/patent/US20100045816A1/en</v>
      </c>
    </row>
    <row r="4534" spans="3:5" x14ac:dyDescent="0.25">
      <c r="C4534" t="s">
        <v>7953</v>
      </c>
      <c r="D4534" t="s">
        <v>7954</v>
      </c>
      <c r="E4534" t="str">
        <f>HYPERLINK("https://patents.google.com/patent/US20080103800A1/en")</f>
        <v>https://patents.google.com/patent/US20080103800A1/en</v>
      </c>
    </row>
    <row r="4535" spans="3:5" x14ac:dyDescent="0.25">
      <c r="C4535" t="s">
        <v>7955</v>
      </c>
      <c r="D4535" t="s">
        <v>7956</v>
      </c>
      <c r="E4535" t="str">
        <f>HYPERLINK("https://patents.google.com/patent/US20010056398A1/en")</f>
        <v>https://patents.google.com/patent/US20010056398A1/en</v>
      </c>
    </row>
    <row r="4536" spans="3:5" x14ac:dyDescent="0.25">
      <c r="C4536" t="s">
        <v>7957</v>
      </c>
      <c r="D4536" t="s">
        <v>7958</v>
      </c>
      <c r="E4536" t="str">
        <f>HYPERLINK("https://patents.google.com/patent/US20040199456A1/en")</f>
        <v>https://patents.google.com/patent/US20040199456A1/en</v>
      </c>
    </row>
    <row r="4537" spans="3:5" x14ac:dyDescent="0.25">
      <c r="C4537" t="s">
        <v>7959</v>
      </c>
      <c r="D4537" t="s">
        <v>7960</v>
      </c>
      <c r="E4537" t="str">
        <f>HYPERLINK("https://patents.google.com/patent/US20020188527A1/en")</f>
        <v>https://patents.google.com/patent/US20020188527A1/en</v>
      </c>
    </row>
    <row r="4538" spans="3:5" x14ac:dyDescent="0.25">
      <c r="C4538" t="s">
        <v>7961</v>
      </c>
      <c r="D4538" t="s">
        <v>7962</v>
      </c>
      <c r="E4538" t="str">
        <f>HYPERLINK("https://patents.google.com/patent/US20020130868A1/en")</f>
        <v>https://patents.google.com/patent/US20020130868A1/en</v>
      </c>
    </row>
    <row r="4539" spans="3:5" x14ac:dyDescent="0.25">
      <c r="C4539" t="s">
        <v>7963</v>
      </c>
      <c r="D4539" t="s">
        <v>7964</v>
      </c>
      <c r="E4539" t="str">
        <f>HYPERLINK("https://patents.google.com/patent/US20040068431A1/en")</f>
        <v>https://patents.google.com/patent/US20040068431A1/en</v>
      </c>
    </row>
    <row r="4540" spans="3:5" x14ac:dyDescent="0.25">
      <c r="C4540" t="s">
        <v>7965</v>
      </c>
      <c r="D4540" t="s">
        <v>7966</v>
      </c>
      <c r="E4540" t="str">
        <f>HYPERLINK("https://patents.google.com/patent/US20100030734A1/en")</f>
        <v>https://patents.google.com/patent/US20100030734A1/en</v>
      </c>
    </row>
    <row r="4541" spans="3:5" x14ac:dyDescent="0.25">
      <c r="C4541" t="s">
        <v>7967</v>
      </c>
      <c r="D4541" t="s">
        <v>7968</v>
      </c>
      <c r="E4541" t="str">
        <f>HYPERLINK("https://patents.google.com/patent/US20050172018A1/en")</f>
        <v>https://patents.google.com/patent/US20050172018A1/en</v>
      </c>
    </row>
    <row r="4542" spans="3:5" x14ac:dyDescent="0.25">
      <c r="C4542" t="s">
        <v>7969</v>
      </c>
      <c r="D4542" t="s">
        <v>7970</v>
      </c>
      <c r="E4542" t="str">
        <f>HYPERLINK("https://patents.google.com/patent/US20060010098A1/en")</f>
        <v>https://patents.google.com/patent/US20060010098A1/en</v>
      </c>
    </row>
    <row r="4543" spans="3:5" x14ac:dyDescent="0.25">
      <c r="C4543" t="s">
        <v>7971</v>
      </c>
      <c r="D4543" t="s">
        <v>7972</v>
      </c>
      <c r="E4543" t="str">
        <f>HYPERLINK("https://patents.google.com/patent/US20040229671A1/en")</f>
        <v>https://patents.google.com/patent/US20040229671A1/en</v>
      </c>
    </row>
    <row r="4544" spans="3:5" x14ac:dyDescent="0.25">
      <c r="C4544" t="s">
        <v>7973</v>
      </c>
      <c r="D4544" t="s">
        <v>7974</v>
      </c>
      <c r="E4544" t="str">
        <f>HYPERLINK("https://patents.google.com/patent/US20020120697A1/en")</f>
        <v>https://patents.google.com/patent/US20020120697A1/en</v>
      </c>
    </row>
    <row r="4545" spans="3:5" x14ac:dyDescent="0.25">
      <c r="C4545" t="s">
        <v>7975</v>
      </c>
      <c r="D4545" t="s">
        <v>7976</v>
      </c>
      <c r="E4545" t="str">
        <f>HYPERLINK("https://patents.google.com/patent/US20070168462A1/en")</f>
        <v>https://patents.google.com/patent/US20070168462A1/en</v>
      </c>
    </row>
    <row r="4546" spans="3:5" x14ac:dyDescent="0.25">
      <c r="C4546" t="s">
        <v>7977</v>
      </c>
      <c r="D4546" t="s">
        <v>7978</v>
      </c>
      <c r="E4546" t="str">
        <f>HYPERLINK("https://patents.google.com/patent/US20080201227A1/en")</f>
        <v>https://patents.google.com/patent/US20080201227A1/en</v>
      </c>
    </row>
    <row r="4547" spans="3:5" x14ac:dyDescent="0.25">
      <c r="C4547" t="s">
        <v>7979</v>
      </c>
      <c r="D4547" t="s">
        <v>7980</v>
      </c>
      <c r="E4547" t="str">
        <f>HYPERLINK("https://patents.google.com/patent/US20040005919A1/en")</f>
        <v>https://patents.google.com/patent/US20040005919A1/en</v>
      </c>
    </row>
    <row r="4548" spans="3:5" x14ac:dyDescent="0.25">
      <c r="C4548" t="s">
        <v>7981</v>
      </c>
      <c r="D4548" t="s">
        <v>7982</v>
      </c>
      <c r="E4548" t="str">
        <f>HYPERLINK("https://patents.google.com/patent/US20050114829A1/en")</f>
        <v>https://patents.google.com/patent/US20050114829A1/en</v>
      </c>
    </row>
    <row r="4549" spans="3:5" x14ac:dyDescent="0.25">
      <c r="C4549" t="s">
        <v>7983</v>
      </c>
      <c r="D4549" t="s">
        <v>7984</v>
      </c>
      <c r="E4549" t="str">
        <f>HYPERLINK("https://patents.google.com/patent/US20030154284A1/en")</f>
        <v>https://patents.google.com/patent/US20030154284A1/en</v>
      </c>
    </row>
    <row r="4550" spans="3:5" x14ac:dyDescent="0.25">
      <c r="C4550" t="s">
        <v>7985</v>
      </c>
      <c r="D4550" t="s">
        <v>7986</v>
      </c>
      <c r="E4550" t="str">
        <f>HYPERLINK("https://patents.google.com/patent/US20080066111A1/en")</f>
        <v>https://patents.google.com/patent/US20080066111A1/en</v>
      </c>
    </row>
    <row r="4551" spans="3:5" x14ac:dyDescent="0.25">
      <c r="C4551" t="s">
        <v>7987</v>
      </c>
      <c r="D4551" t="s">
        <v>7988</v>
      </c>
      <c r="E4551" t="str">
        <f>HYPERLINK("https://patents.google.com/patent/US20040235542A1/en")</f>
        <v>https://patents.google.com/patent/US20040235542A1/en</v>
      </c>
    </row>
    <row r="4552" spans="3:5" x14ac:dyDescent="0.25">
      <c r="C4552" t="s">
        <v>7989</v>
      </c>
      <c r="D4552" t="s">
        <v>7990</v>
      </c>
      <c r="E4552" t="str">
        <f>HYPERLINK("https://patents.google.com/patent/US20070067297A1/en")</f>
        <v>https://patents.google.com/patent/US20070067297A1/en</v>
      </c>
    </row>
    <row r="4553" spans="3:5" x14ac:dyDescent="0.25">
      <c r="C4553" t="s">
        <v>7991</v>
      </c>
      <c r="D4553" t="s">
        <v>7992</v>
      </c>
      <c r="E4553" t="str">
        <f>HYPERLINK("https://patents.google.com/patent/US20020059139A1/en")</f>
        <v>https://patents.google.com/patent/US20020059139A1/en</v>
      </c>
    </row>
    <row r="4554" spans="3:5" x14ac:dyDescent="0.25">
      <c r="C4554" t="s">
        <v>7991</v>
      </c>
      <c r="D4554" t="s">
        <v>7993</v>
      </c>
      <c r="E4554" t="str">
        <f>HYPERLINK("https://patents.google.com/patent/US20040019560A1/en")</f>
        <v>https://patents.google.com/patent/US20040019560A1/en</v>
      </c>
    </row>
    <row r="4555" spans="3:5" x14ac:dyDescent="0.25">
      <c r="C4555" t="s">
        <v>7994</v>
      </c>
      <c r="D4555" t="s">
        <v>7995</v>
      </c>
      <c r="E4555" t="str">
        <f>HYPERLINK("https://patents.google.com/patent/US20070156594A1/en")</f>
        <v>https://patents.google.com/patent/US20070156594A1/en</v>
      </c>
    </row>
    <row r="4556" spans="3:5" x14ac:dyDescent="0.25">
      <c r="C4556" t="s">
        <v>7996</v>
      </c>
      <c r="D4556" t="s">
        <v>7997</v>
      </c>
      <c r="E4556" t="str">
        <f>HYPERLINK("https://patents.google.com/patent/US20130073400A1/en")</f>
        <v>https://patents.google.com/patent/US20130073400A1/en</v>
      </c>
    </row>
    <row r="4557" spans="3:5" x14ac:dyDescent="0.25">
      <c r="C4557" t="s">
        <v>7998</v>
      </c>
      <c r="D4557" t="s">
        <v>7999</v>
      </c>
      <c r="E4557" t="str">
        <f>HYPERLINK("https://patents.google.com/patent/US20060095331A1/en")</f>
        <v>https://patents.google.com/patent/US20060095331A1/en</v>
      </c>
    </row>
    <row r="4558" spans="3:5" x14ac:dyDescent="0.25">
      <c r="C4558" t="s">
        <v>8000</v>
      </c>
      <c r="D4558" t="s">
        <v>8001</v>
      </c>
      <c r="E4558" t="str">
        <f>HYPERLINK("https://patents.google.com/patent/US20130073388A1/en")</f>
        <v>https://patents.google.com/patent/US20130073388A1/en</v>
      </c>
    </row>
    <row r="4559" spans="3:5" x14ac:dyDescent="0.25">
      <c r="C4559" t="s">
        <v>8002</v>
      </c>
      <c r="D4559" t="s">
        <v>8003</v>
      </c>
      <c r="E4559" t="str">
        <f>HYPERLINK("https://patents.google.com/patent/US20130070093A1/en")</f>
        <v>https://patents.google.com/patent/US20130070093A1/en</v>
      </c>
    </row>
    <row r="4560" spans="3:5" x14ac:dyDescent="0.25">
      <c r="C4560" t="s">
        <v>8004</v>
      </c>
      <c r="D4560" t="s">
        <v>8005</v>
      </c>
      <c r="E4560" t="str">
        <f>HYPERLINK("https://patents.google.com/patent/US20060161879A1/en")</f>
        <v>https://patents.google.com/patent/US20060161879A1/en</v>
      </c>
    </row>
    <row r="4561" spans="3:5" x14ac:dyDescent="0.25">
      <c r="C4561" t="s">
        <v>8006</v>
      </c>
      <c r="D4561" t="s">
        <v>8007</v>
      </c>
      <c r="E4561" t="str">
        <f>HYPERLINK("https://patents.google.com/patent/US20040258274A1/en")</f>
        <v>https://patents.google.com/patent/US20040258274A1/en</v>
      </c>
    </row>
    <row r="4562" spans="3:5" x14ac:dyDescent="0.25">
      <c r="C4562" t="s">
        <v>8008</v>
      </c>
      <c r="D4562" t="s">
        <v>8009</v>
      </c>
      <c r="E4562" t="str">
        <f>HYPERLINK("https://patents.google.com/patent/US20070210937A1/en")</f>
        <v>https://patents.google.com/patent/US20070210937A1/en</v>
      </c>
    </row>
    <row r="4563" spans="3:5" x14ac:dyDescent="0.25">
      <c r="C4563" t="s">
        <v>8010</v>
      </c>
      <c r="D4563" t="s">
        <v>8011</v>
      </c>
      <c r="E4563" t="str">
        <f>HYPERLINK("https://patents.google.com/patent/US20040104935A1/en")</f>
        <v>https://patents.google.com/patent/US20040104935A1/en</v>
      </c>
    </row>
    <row r="4564" spans="3:5" x14ac:dyDescent="0.25">
      <c r="C4564" t="s">
        <v>8012</v>
      </c>
      <c r="D4564" t="s">
        <v>8013</v>
      </c>
      <c r="E4564" t="str">
        <f>HYPERLINK("https://patents.google.com/patent/US20130073389A1/en")</f>
        <v>https://patents.google.com/patent/US20130073389A1/en</v>
      </c>
    </row>
    <row r="4565" spans="3:5" x14ac:dyDescent="0.25">
      <c r="C4565" t="s">
        <v>8014</v>
      </c>
      <c r="D4565" t="s">
        <v>8015</v>
      </c>
      <c r="E4565" t="str">
        <f>HYPERLINK("https://patents.google.com/patent/US20080211779A1/en")</f>
        <v>https://patents.google.com/patent/US20080211779A1/en</v>
      </c>
    </row>
    <row r="4566" spans="3:5" x14ac:dyDescent="0.25">
      <c r="C4566" t="s">
        <v>8016</v>
      </c>
      <c r="D4566" t="s">
        <v>8017</v>
      </c>
      <c r="E4566" t="str">
        <f>HYPERLINK("https://patents.google.com/patent/US20110261049A1/en")</f>
        <v>https://patents.google.com/patent/US20110261049A1/en</v>
      </c>
    </row>
    <row r="4567" spans="3:5" x14ac:dyDescent="0.25">
      <c r="C4567" t="s">
        <v>8018</v>
      </c>
      <c r="D4567" t="s">
        <v>8019</v>
      </c>
      <c r="E4567" t="str">
        <f>HYPERLINK("https://patents.google.com/patent/US20040174434A1/en")</f>
        <v>https://patents.google.com/patent/US20040174434A1/en</v>
      </c>
    </row>
    <row r="4568" spans="3:5" x14ac:dyDescent="0.25">
      <c r="C4568" t="s">
        <v>8020</v>
      </c>
      <c r="D4568" t="s">
        <v>8021</v>
      </c>
      <c r="E4568" t="str">
        <f>HYPERLINK("https://patents.google.com/patent/US20130317944A1/en")</f>
        <v>https://patents.google.com/patent/US20130317944A1/en</v>
      </c>
    </row>
    <row r="4569" spans="3:5" x14ac:dyDescent="0.25">
      <c r="C4569" t="s">
        <v>8022</v>
      </c>
      <c r="D4569" t="s">
        <v>8023</v>
      </c>
      <c r="E4569" t="str">
        <f>HYPERLINK("https://patents.google.com/patent/US20030171190A1/en")</f>
        <v>https://patents.google.com/patent/US20030171190A1/en</v>
      </c>
    </row>
    <row r="4570" spans="3:5" x14ac:dyDescent="0.25">
      <c r="C4570" t="s">
        <v>8024</v>
      </c>
      <c r="D4570" t="s">
        <v>8025</v>
      </c>
      <c r="E4570" t="str">
        <f>HYPERLINK("https://patents.google.com/patent/US20130073387A1/en")</f>
        <v>https://patents.google.com/patent/US20130073387A1/en</v>
      </c>
    </row>
    <row r="4571" spans="3:5" x14ac:dyDescent="0.25">
      <c r="C4571" t="s">
        <v>8026</v>
      </c>
      <c r="D4571" t="s">
        <v>8027</v>
      </c>
      <c r="E4571" t="str">
        <f>HYPERLINK("https://patents.google.com/patent/US20040210661A1/en")</f>
        <v>https://patents.google.com/patent/US20040210661A1/en</v>
      </c>
    </row>
    <row r="4572" spans="3:5" x14ac:dyDescent="0.25">
      <c r="C4572" t="s">
        <v>8028</v>
      </c>
      <c r="D4572" t="s">
        <v>8029</v>
      </c>
      <c r="E4572" t="str">
        <f>HYPERLINK("https://patents.google.com/patent/US20060161444A1/en")</f>
        <v>https://patents.google.com/patent/US20060161444A1/en</v>
      </c>
    </row>
    <row r="4573" spans="3:5" x14ac:dyDescent="0.25">
      <c r="C4573" t="s">
        <v>8030</v>
      </c>
      <c r="D4573" t="s">
        <v>8031</v>
      </c>
      <c r="E4573" t="str">
        <f>HYPERLINK("https://patents.google.com/patent/US20110047182A1/en")</f>
        <v>https://patents.google.com/patent/US20110047182A1/en</v>
      </c>
    </row>
    <row r="4574" spans="3:5" x14ac:dyDescent="0.25">
      <c r="C4574" t="s">
        <v>8032</v>
      </c>
      <c r="D4574" t="s">
        <v>8033</v>
      </c>
      <c r="E4574" t="str">
        <f>HYPERLINK("https://patents.google.com/patent/US20060281543A1/en")</f>
        <v>https://patents.google.com/patent/US20060281543A1/en</v>
      </c>
    </row>
    <row r="4575" spans="3:5" x14ac:dyDescent="0.25">
      <c r="C4575" t="s">
        <v>8034</v>
      </c>
      <c r="D4575" t="s">
        <v>8035</v>
      </c>
      <c r="E4575" t="str">
        <f>HYPERLINK("https://patents.google.com/patent/US20070162308A1/en")</f>
        <v>https://patents.google.com/patent/US20070162308A1/en</v>
      </c>
    </row>
    <row r="4576" spans="3:5" x14ac:dyDescent="0.25">
      <c r="C4576" t="s">
        <v>8036</v>
      </c>
      <c r="D4576" t="s">
        <v>8037</v>
      </c>
      <c r="E4576" t="str">
        <f>HYPERLINK("https://patents.google.com/patent/US20080026816A1/en")</f>
        <v>https://patents.google.com/patent/US20080026816A1/en</v>
      </c>
    </row>
    <row r="4577" spans="3:5" x14ac:dyDescent="0.25">
      <c r="C4577" t="s">
        <v>8038</v>
      </c>
      <c r="D4577" t="s">
        <v>8039</v>
      </c>
      <c r="E4577" t="str">
        <f>HYPERLINK("https://patents.google.com/patent/US20090248420A1/en")</f>
        <v>https://patents.google.com/patent/US20090248420A1/en</v>
      </c>
    </row>
    <row r="4578" spans="3:5" x14ac:dyDescent="0.25">
      <c r="C4578" t="s">
        <v>8040</v>
      </c>
      <c r="D4578" t="s">
        <v>8041</v>
      </c>
      <c r="E4578" t="str">
        <f>HYPERLINK("https://patents.google.com/patent/US20110295722A1/en")</f>
        <v>https://patents.google.com/patent/US20110295722A1/en</v>
      </c>
    </row>
    <row r="4579" spans="3:5" x14ac:dyDescent="0.25">
      <c r="C4579" t="s">
        <v>8042</v>
      </c>
      <c r="D4579" t="s">
        <v>8043</v>
      </c>
      <c r="E4579" t="str">
        <f>HYPERLINK("https://patents.google.com/patent/US20060085255A1/en")</f>
        <v>https://patents.google.com/patent/US20060085255A1/en</v>
      </c>
    </row>
    <row r="4580" spans="3:5" x14ac:dyDescent="0.25">
      <c r="C4580" t="s">
        <v>8044</v>
      </c>
      <c r="D4580" t="s">
        <v>8045</v>
      </c>
      <c r="E4580" t="str">
        <f>HYPERLINK("https://patents.google.com/patent/US20060259588A1/en")</f>
        <v>https://patents.google.com/patent/US20060259588A1/en</v>
      </c>
    </row>
    <row r="4581" spans="3:5" x14ac:dyDescent="0.25">
      <c r="C4581" t="s">
        <v>8046</v>
      </c>
      <c r="D4581" t="s">
        <v>8047</v>
      </c>
      <c r="E4581" t="str">
        <f>HYPERLINK("https://patents.google.com/patent/US20120135382A1/en")</f>
        <v>https://patents.google.com/patent/US20120135382A1/en</v>
      </c>
    </row>
    <row r="4582" spans="3:5" x14ac:dyDescent="0.25">
      <c r="C4582" t="s">
        <v>8048</v>
      </c>
      <c r="D4582" t="s">
        <v>8049</v>
      </c>
      <c r="E4582" t="str">
        <f>HYPERLINK("https://patents.google.com/patent/EP1054335A2/en")</f>
        <v>https://patents.google.com/patent/EP1054335A2/en</v>
      </c>
    </row>
    <row r="4583" spans="3:5" x14ac:dyDescent="0.25">
      <c r="C4583" t="s">
        <v>8050</v>
      </c>
      <c r="D4583" t="s">
        <v>8051</v>
      </c>
      <c r="E4583" t="str">
        <f>HYPERLINK("https://patents.google.com/patent/US20080108122A1/en")</f>
        <v>https://patents.google.com/patent/US20080108122A1/en</v>
      </c>
    </row>
    <row r="4584" spans="3:5" x14ac:dyDescent="0.25">
      <c r="C4584" t="s">
        <v>8052</v>
      </c>
      <c r="D4584" t="s">
        <v>8053</v>
      </c>
      <c r="E4584" t="str">
        <f>HYPERLINK("https://patents.google.com/patent/US20110307112A1/en")</f>
        <v>https://patents.google.com/patent/US20110307112A1/en</v>
      </c>
    </row>
    <row r="4585" spans="3:5" x14ac:dyDescent="0.25">
      <c r="C4585" t="s">
        <v>8054</v>
      </c>
      <c r="D4585" t="s">
        <v>8055</v>
      </c>
      <c r="E4585" t="str">
        <f>HYPERLINK("https://patents.google.com/patent/US20080072261A1/en")</f>
        <v>https://patents.google.com/patent/US20080072261A1/en</v>
      </c>
    </row>
    <row r="4586" spans="3:5" x14ac:dyDescent="0.25">
      <c r="C4586" t="s">
        <v>8056</v>
      </c>
      <c r="D4586" t="s">
        <v>8057</v>
      </c>
      <c r="E4586" t="str">
        <f>HYPERLINK("https://patents.google.com/patent/US20110055720A1/en")</f>
        <v>https://patents.google.com/patent/US20110055720A1/en</v>
      </c>
    </row>
    <row r="4587" spans="3:5" x14ac:dyDescent="0.25">
      <c r="C4587" t="s">
        <v>8058</v>
      </c>
      <c r="D4587" t="s">
        <v>8059</v>
      </c>
      <c r="E4587" t="str">
        <f>HYPERLINK("https://patents.google.com/patent/US20050065855A1/en")</f>
        <v>https://patents.google.com/patent/US20050065855A1/en</v>
      </c>
    </row>
    <row r="4588" spans="3:5" x14ac:dyDescent="0.25">
      <c r="C4588" t="s">
        <v>8060</v>
      </c>
      <c r="D4588" t="s">
        <v>8061</v>
      </c>
      <c r="E4588" t="str">
        <f>HYPERLINK("https://patents.google.com/patent/US20040082384A1/en")</f>
        <v>https://patents.google.com/patent/US20040082384A1/en</v>
      </c>
    </row>
    <row r="4589" spans="3:5" x14ac:dyDescent="0.25">
      <c r="C4589" t="s">
        <v>8062</v>
      </c>
      <c r="D4589" t="s">
        <v>8063</v>
      </c>
      <c r="E4589" t="str">
        <f>HYPERLINK("https://patents.google.com/patent/US20100092079A1/en")</f>
        <v>https://patents.google.com/patent/US20100092079A1/en</v>
      </c>
    </row>
    <row r="4590" spans="3:5" x14ac:dyDescent="0.25">
      <c r="C4590" t="s">
        <v>8064</v>
      </c>
      <c r="D4590" t="s">
        <v>8065</v>
      </c>
      <c r="E4590" t="str">
        <f>HYPERLINK("https://patents.google.com/patent/US20020012689A1/en")</f>
        <v>https://patents.google.com/patent/US20020012689A1/en</v>
      </c>
    </row>
    <row r="4591" spans="3:5" x14ac:dyDescent="0.25">
      <c r="C4591" t="s">
        <v>8066</v>
      </c>
      <c r="D4591" t="s">
        <v>8067</v>
      </c>
      <c r="E4591" t="str">
        <f>HYPERLINK("https://patents.google.com/patent/US20020103737A1/en")</f>
        <v>https://patents.google.com/patent/US20020103737A1/en</v>
      </c>
    </row>
    <row r="4592" spans="3:5" x14ac:dyDescent="0.25">
      <c r="C4592" t="s">
        <v>8068</v>
      </c>
      <c r="D4592" t="s">
        <v>8069</v>
      </c>
      <c r="E4592" t="str">
        <f>HYPERLINK("https://patents.google.com/patent/US20080299999A1/en")</f>
        <v>https://patents.google.com/patent/US20080299999A1/en</v>
      </c>
    </row>
    <row r="4593" spans="3:5" x14ac:dyDescent="0.25">
      <c r="C4593" t="s">
        <v>8070</v>
      </c>
      <c r="D4593" t="s">
        <v>8071</v>
      </c>
      <c r="E4593" t="str">
        <f>HYPERLINK("https://patents.google.com/patent/US20050240444A1/en")</f>
        <v>https://patents.google.com/patent/US20050240444A1/en</v>
      </c>
    </row>
    <row r="4594" spans="3:5" x14ac:dyDescent="0.25">
      <c r="C4594" t="s">
        <v>8072</v>
      </c>
      <c r="D4594" t="s">
        <v>8073</v>
      </c>
      <c r="E4594" t="str">
        <f>HYPERLINK("https://patents.google.com/patent/US20030233274A1/en")</f>
        <v>https://patents.google.com/patent/US20030233274A1/en</v>
      </c>
    </row>
    <row r="4595" spans="3:5" x14ac:dyDescent="0.25">
      <c r="C4595" t="s">
        <v>8074</v>
      </c>
      <c r="D4595" t="s">
        <v>8075</v>
      </c>
      <c r="E4595" t="str">
        <f>HYPERLINK("https://patents.google.com/patent/US20090006467A1/en")</f>
        <v>https://patents.google.com/patent/US20090006467A1/en</v>
      </c>
    </row>
    <row r="4596" spans="3:5" x14ac:dyDescent="0.25">
      <c r="C4596" t="s">
        <v>8076</v>
      </c>
      <c r="D4596" t="s">
        <v>8077</v>
      </c>
      <c r="E4596" t="str">
        <f>HYPERLINK("https://patents.google.com/patent/US20090063557A1/en")</f>
        <v>https://patents.google.com/patent/US20090063557A1/en</v>
      </c>
    </row>
    <row r="4597" spans="3:5" x14ac:dyDescent="0.25">
      <c r="C4597" t="s">
        <v>8078</v>
      </c>
      <c r="D4597" t="s">
        <v>8079</v>
      </c>
      <c r="E4597" t="str">
        <f>HYPERLINK("https://patents.google.com/patent/US20120289354A1/en")</f>
        <v>https://patents.google.com/patent/US20120289354A1/en</v>
      </c>
    </row>
    <row r="4598" spans="3:5" x14ac:dyDescent="0.25">
      <c r="C4598" t="s">
        <v>8080</v>
      </c>
      <c r="D4598" t="s">
        <v>8081</v>
      </c>
      <c r="E4598" t="str">
        <f>HYPERLINK("https://patents.google.com/patent/US20100081116A1/en")</f>
        <v>https://patents.google.com/patent/US20100081116A1/en</v>
      </c>
    </row>
    <row r="4599" spans="3:5" x14ac:dyDescent="0.25">
      <c r="C4599" t="s">
        <v>8082</v>
      </c>
      <c r="D4599" t="s">
        <v>8083</v>
      </c>
      <c r="E4599" t="str">
        <f>HYPERLINK("https://patents.google.com/patent/US20030023686A1/en")</f>
        <v>https://patents.google.com/patent/US20030023686A1/en</v>
      </c>
    </row>
    <row r="4600" spans="3:5" x14ac:dyDescent="0.25">
      <c r="C4600" t="s">
        <v>8084</v>
      </c>
      <c r="D4600" t="s">
        <v>8085</v>
      </c>
      <c r="E4600" t="str">
        <f>HYPERLINK("https://patents.google.com/patent/US20080026826A1/en")</f>
        <v>https://patents.google.com/patent/US20080026826A1/en</v>
      </c>
    </row>
    <row r="4601" spans="3:5" x14ac:dyDescent="0.25">
      <c r="C4601" t="s">
        <v>8086</v>
      </c>
      <c r="D4601" t="s">
        <v>8087</v>
      </c>
      <c r="E4601" t="str">
        <f>HYPERLINK("https://patents.google.com/patent/US20020069083A1/en")</f>
        <v>https://patents.google.com/patent/US20020069083A1/en</v>
      </c>
    </row>
    <row r="4602" spans="3:5" x14ac:dyDescent="0.25">
      <c r="C4602" t="s">
        <v>8088</v>
      </c>
      <c r="D4602" t="s">
        <v>8089</v>
      </c>
      <c r="E4602" t="str">
        <f>HYPERLINK("https://patents.google.com/patent/US20060074727A1/en")</f>
        <v>https://patents.google.com/patent/US20060074727A1/en</v>
      </c>
    </row>
    <row r="4603" spans="3:5" x14ac:dyDescent="0.25">
      <c r="C4603" t="s">
        <v>8090</v>
      </c>
      <c r="D4603" t="s">
        <v>8091</v>
      </c>
      <c r="E4603" t="str">
        <f>HYPERLINK("https://patents.google.com/patent/US20110050909A1/en")</f>
        <v>https://patents.google.com/patent/US20110050909A1/en</v>
      </c>
    </row>
    <row r="4604" spans="3:5" x14ac:dyDescent="0.25">
      <c r="C4604" t="s">
        <v>8092</v>
      </c>
      <c r="D4604" t="s">
        <v>8093</v>
      </c>
      <c r="E4604" t="str">
        <f>HYPERLINK("https://patents.google.com/patent/US20010031656A1/en")</f>
        <v>https://patents.google.com/patent/US20010031656A1/en</v>
      </c>
    </row>
    <row r="4605" spans="3:5" x14ac:dyDescent="0.25">
      <c r="C4605" t="s">
        <v>8094</v>
      </c>
      <c r="D4605" t="s">
        <v>8095</v>
      </c>
      <c r="E4605" t="str">
        <f>HYPERLINK("https://patents.google.com/patent/US20130073366A1/en")</f>
        <v>https://patents.google.com/patent/US20130073366A1/en</v>
      </c>
    </row>
    <row r="4606" spans="3:5" x14ac:dyDescent="0.25">
      <c r="C4606" t="s">
        <v>8096</v>
      </c>
      <c r="D4606" t="s">
        <v>8097</v>
      </c>
      <c r="E4606" t="str">
        <f>HYPERLINK("https://patents.google.com/patent/US20050010416A1/en")</f>
        <v>https://patents.google.com/patent/US20050010416A1/en</v>
      </c>
    </row>
    <row r="4607" spans="3:5" x14ac:dyDescent="0.25">
      <c r="C4607" t="s">
        <v>8098</v>
      </c>
      <c r="D4607" t="s">
        <v>8099</v>
      </c>
      <c r="E4607" t="str">
        <f>HYPERLINK("https://patents.google.com/patent/US20130218456A1/en")</f>
        <v>https://patents.google.com/patent/US20130218456A1/en</v>
      </c>
    </row>
    <row r="4608" spans="3:5" x14ac:dyDescent="0.25">
      <c r="C4608" t="s">
        <v>8100</v>
      </c>
      <c r="D4608" t="s">
        <v>8101</v>
      </c>
      <c r="E4608" t="str">
        <f>HYPERLINK("https://patents.google.com/patent/US20140148196A1/en")</f>
        <v>https://patents.google.com/patent/US20140148196A1/en</v>
      </c>
    </row>
    <row r="4609" spans="3:5" x14ac:dyDescent="0.25">
      <c r="C4609" t="s">
        <v>8102</v>
      </c>
      <c r="D4609" t="s">
        <v>8103</v>
      </c>
      <c r="E4609" t="str">
        <f>HYPERLINK("https://patents.google.com/patent/US20090017886A1/en")</f>
        <v>https://patents.google.com/patent/US20090017886A1/en</v>
      </c>
    </row>
    <row r="4610" spans="3:5" x14ac:dyDescent="0.25">
      <c r="C4610" t="s">
        <v>8104</v>
      </c>
      <c r="D4610" t="s">
        <v>8105</v>
      </c>
      <c r="E4610" t="str">
        <f>HYPERLINK("https://patents.google.com/patent/US20040098154A1/en")</f>
        <v>https://patents.google.com/patent/US20040098154A1/en</v>
      </c>
    </row>
    <row r="4611" spans="3:5" x14ac:dyDescent="0.25">
      <c r="C4611" t="s">
        <v>8106</v>
      </c>
      <c r="D4611" t="s">
        <v>8107</v>
      </c>
      <c r="E4611" t="str">
        <f>HYPERLINK("https://patents.google.com/patent/US20050240434A1/en")</f>
        <v>https://patents.google.com/patent/US20050240434A1/en</v>
      </c>
    </row>
    <row r="4612" spans="3:5" x14ac:dyDescent="0.25">
      <c r="C4612" t="s">
        <v>8108</v>
      </c>
      <c r="D4612" t="s">
        <v>8109</v>
      </c>
      <c r="E4612" t="str">
        <f>HYPERLINK("https://patents.google.com/patent/US20090054127A1/en")</f>
        <v>https://patents.google.com/patent/US20090054127A1/en</v>
      </c>
    </row>
    <row r="4613" spans="3:5" x14ac:dyDescent="0.25">
      <c r="C4613" t="s">
        <v>8110</v>
      </c>
      <c r="D4613" t="s">
        <v>8111</v>
      </c>
      <c r="E4613" t="str">
        <f>HYPERLINK("https://patents.google.com/patent/US20090276318A1/en")</f>
        <v>https://patents.google.com/patent/US20090276318A1/en</v>
      </c>
    </row>
    <row r="4614" spans="3:5" x14ac:dyDescent="0.25">
      <c r="C4614" t="s">
        <v>8112</v>
      </c>
      <c r="D4614" t="s">
        <v>8113</v>
      </c>
      <c r="E4614" t="str">
        <f>HYPERLINK("https://patents.google.com/patent/US20020138590A1/en")</f>
        <v>https://patents.google.com/patent/US20020138590A1/en</v>
      </c>
    </row>
    <row r="4615" spans="3:5" x14ac:dyDescent="0.25">
      <c r="C4615" t="s">
        <v>8114</v>
      </c>
      <c r="D4615" t="s">
        <v>8115</v>
      </c>
      <c r="E4615" t="str">
        <f>HYPERLINK("https://patents.google.com/patent/US20060271441A1/en")</f>
        <v>https://patents.google.com/patent/US20060271441A1/en</v>
      </c>
    </row>
    <row r="4616" spans="3:5" x14ac:dyDescent="0.25">
      <c r="C4616" t="s">
        <v>8116</v>
      </c>
      <c r="D4616" t="s">
        <v>8117</v>
      </c>
      <c r="E4616" t="str">
        <f>HYPERLINK("https://patents.google.com/patent/US20100293106A1/en")</f>
        <v>https://patents.google.com/patent/US20100293106A1/en</v>
      </c>
    </row>
    <row r="4617" spans="3:5" x14ac:dyDescent="0.25">
      <c r="C4617" t="s">
        <v>8072</v>
      </c>
      <c r="D4617" t="s">
        <v>8118</v>
      </c>
      <c r="E4617" t="str">
        <f>HYPERLINK("https://patents.google.com/patent/US20020103695A1/en")</f>
        <v>https://patents.google.com/patent/US20020103695A1/en</v>
      </c>
    </row>
    <row r="4618" spans="3:5" x14ac:dyDescent="0.25">
      <c r="C4618" t="s">
        <v>8119</v>
      </c>
      <c r="D4618" t="s">
        <v>8120</v>
      </c>
      <c r="E4618" t="str">
        <f>HYPERLINK("https://patents.google.com/patent/US20120293642A1/en")</f>
        <v>https://patents.google.com/patent/US20120293642A1/en</v>
      </c>
    </row>
    <row r="4619" spans="3:5" x14ac:dyDescent="0.25">
      <c r="C4619" t="s">
        <v>8121</v>
      </c>
      <c r="D4619" t="s">
        <v>8122</v>
      </c>
      <c r="E4619" t="str">
        <f>HYPERLINK("https://patents.google.com/patent/US20160007849A1/en")</f>
        <v>https://patents.google.com/patent/US20160007849A1/en</v>
      </c>
    </row>
    <row r="4620" spans="3:5" x14ac:dyDescent="0.25">
      <c r="C4620" t="s">
        <v>8123</v>
      </c>
      <c r="D4620" t="s">
        <v>8124</v>
      </c>
      <c r="E4620" t="str">
        <f>HYPERLINK("https://patents.google.com/patent/US20130073374A1/en")</f>
        <v>https://patents.google.com/patent/US20130073374A1/en</v>
      </c>
    </row>
    <row r="4621" spans="3:5" x14ac:dyDescent="0.25">
      <c r="C4621" t="s">
        <v>8125</v>
      </c>
      <c r="D4621" t="s">
        <v>8126</v>
      </c>
      <c r="E4621" t="str">
        <f>HYPERLINK("https://patents.google.com/patent/US20130215275A1/en")</f>
        <v>https://patents.google.com/patent/US20130215275A1/en</v>
      </c>
    </row>
    <row r="4622" spans="3:5" x14ac:dyDescent="0.25">
      <c r="C4622" t="s">
        <v>8127</v>
      </c>
      <c r="D4622" t="s">
        <v>8128</v>
      </c>
      <c r="E4622" t="str">
        <f>HYPERLINK("https://patents.google.com/patent/US20060277205A1/en")</f>
        <v>https://patents.google.com/patent/US20060277205A1/en</v>
      </c>
    </row>
    <row r="4623" spans="3:5" x14ac:dyDescent="0.25">
      <c r="C4623" t="s">
        <v>8129</v>
      </c>
      <c r="D4623" t="s">
        <v>8130</v>
      </c>
      <c r="E4623" t="str">
        <f>HYPERLINK("https://patents.google.com/patent/US20030177071A1/en")</f>
        <v>https://patents.google.com/patent/US20030177071A1/en</v>
      </c>
    </row>
    <row r="4624" spans="3:5" x14ac:dyDescent="0.25">
      <c r="C4624" t="s">
        <v>7893</v>
      </c>
      <c r="D4624" t="s">
        <v>8131</v>
      </c>
      <c r="E4624" t="str">
        <f>HYPERLINK("https://patents.google.com/patent/US20050041100A1/en")</f>
        <v>https://patents.google.com/patent/US20050041100A1/en</v>
      </c>
    </row>
    <row r="4625" spans="3:5" x14ac:dyDescent="0.25">
      <c r="C4625" t="s">
        <v>8132</v>
      </c>
      <c r="D4625" t="s">
        <v>8133</v>
      </c>
      <c r="E4625" t="str">
        <f>HYPERLINK("https://patents.google.com/patent/US20020038293A1/en")</f>
        <v>https://patents.google.com/patent/US20020038293A1/en</v>
      </c>
    </row>
    <row r="4626" spans="3:5" x14ac:dyDescent="0.25">
      <c r="C4626" t="s">
        <v>8134</v>
      </c>
      <c r="D4626" t="s">
        <v>8135</v>
      </c>
      <c r="E4626" t="str">
        <f>HYPERLINK("https://patents.google.com/patent/US20100306192A1/en")</f>
        <v>https://patents.google.com/patent/US20100306192A1/en</v>
      </c>
    </row>
    <row r="4627" spans="3:5" x14ac:dyDescent="0.25">
      <c r="C4627" t="s">
        <v>8136</v>
      </c>
      <c r="D4627" t="s">
        <v>8137</v>
      </c>
      <c r="E4627" t="str">
        <f>HYPERLINK("https://patents.google.com/patent/US20100088158A1/en")</f>
        <v>https://patents.google.com/patent/US20100088158A1/en</v>
      </c>
    </row>
    <row r="4628" spans="3:5" x14ac:dyDescent="0.25">
      <c r="C4628" t="s">
        <v>8138</v>
      </c>
      <c r="D4628" t="s">
        <v>8139</v>
      </c>
      <c r="E4628" t="str">
        <f>HYPERLINK("https://patents.google.com/patent/US20110032365A1/en")</f>
        <v>https://patents.google.com/patent/US20110032365A1/en</v>
      </c>
    </row>
    <row r="4629" spans="3:5" x14ac:dyDescent="0.25">
      <c r="C4629" t="s">
        <v>8140</v>
      </c>
      <c r="D4629" t="s">
        <v>8141</v>
      </c>
      <c r="E4629" t="str">
        <f>HYPERLINK("https://patents.google.com/patent/US20040154715A1/en")</f>
        <v>https://patents.google.com/patent/US20040154715A1/en</v>
      </c>
    </row>
    <row r="4630" spans="3:5" x14ac:dyDescent="0.25">
      <c r="C4630" t="s">
        <v>8142</v>
      </c>
      <c r="D4630" t="s">
        <v>8143</v>
      </c>
      <c r="E4630" t="str">
        <f>HYPERLINK("https://patents.google.com/patent/US20050240085A1/en")</f>
        <v>https://patents.google.com/patent/US20050240085A1/en</v>
      </c>
    </row>
    <row r="4631" spans="3:5" x14ac:dyDescent="0.25">
      <c r="C4631" t="s">
        <v>8144</v>
      </c>
      <c r="D4631" t="s">
        <v>8145</v>
      </c>
      <c r="E4631" t="str">
        <f>HYPERLINK("https://patents.google.com/patent/US20150199010A1/en")</f>
        <v>https://patents.google.com/patent/US20150199010A1/en</v>
      </c>
    </row>
    <row r="4632" spans="3:5" x14ac:dyDescent="0.25">
      <c r="C4632" t="s">
        <v>8146</v>
      </c>
      <c r="D4632" t="s">
        <v>8147</v>
      </c>
      <c r="E4632" t="str">
        <f>HYPERLINK("https://patents.google.com/patent/US20120150605A1/en")</f>
        <v>https://patents.google.com/patent/US20120150605A1/en</v>
      </c>
    </row>
    <row r="4633" spans="3:5" x14ac:dyDescent="0.25">
      <c r="C4633" t="s">
        <v>8148</v>
      </c>
      <c r="D4633" t="s">
        <v>8149</v>
      </c>
      <c r="E4633" t="str">
        <f>HYPERLINK("https://patents.google.com/patent/US20100179916A1/en")</f>
        <v>https://patents.google.com/patent/US20100179916A1/en</v>
      </c>
    </row>
    <row r="4634" spans="3:5" x14ac:dyDescent="0.25">
      <c r="C4634" t="s">
        <v>8150</v>
      </c>
      <c r="D4634" t="s">
        <v>8151</v>
      </c>
      <c r="E4634" t="str">
        <f>HYPERLINK("https://patents.google.com/patent/US20120306940A1/en")</f>
        <v>https://patents.google.com/patent/US20120306940A1/en</v>
      </c>
    </row>
    <row r="4635" spans="3:5" x14ac:dyDescent="0.25">
      <c r="C4635" t="s">
        <v>8152</v>
      </c>
      <c r="D4635" t="s">
        <v>8153</v>
      </c>
      <c r="E4635" t="str">
        <f>HYPERLINK("https://patents.google.com/patent/US20020161772A1/en")</f>
        <v>https://patents.google.com/patent/US20020161772A1/en</v>
      </c>
    </row>
    <row r="4636" spans="3:5" x14ac:dyDescent="0.25">
      <c r="C4636" t="s">
        <v>8154</v>
      </c>
      <c r="D4636" t="s">
        <v>8155</v>
      </c>
      <c r="E4636" t="str">
        <f>HYPERLINK("https://patents.google.com/patent/US20070185391A1/en")</f>
        <v>https://patents.google.com/patent/US20070185391A1/en</v>
      </c>
    </row>
    <row r="4637" spans="3:5" x14ac:dyDescent="0.25">
      <c r="C4637" t="s">
        <v>8156</v>
      </c>
      <c r="D4637" t="s">
        <v>8157</v>
      </c>
      <c r="E4637" t="str">
        <f>HYPERLINK("https://patents.google.com/patent/US20160127641A1/en")</f>
        <v>https://patents.google.com/patent/US20160127641A1/en</v>
      </c>
    </row>
    <row r="4638" spans="3:5" x14ac:dyDescent="0.25">
      <c r="C4638" t="s">
        <v>8158</v>
      </c>
      <c r="D4638" t="s">
        <v>8159</v>
      </c>
      <c r="E4638" t="str">
        <f>HYPERLINK("https://patents.google.com/patent/US20090216446A1/en")</f>
        <v>https://patents.google.com/patent/US20090216446A1/en</v>
      </c>
    </row>
    <row r="4639" spans="3:5" x14ac:dyDescent="0.25">
      <c r="C4639" t="s">
        <v>8160</v>
      </c>
      <c r="D4639" t="s">
        <v>8161</v>
      </c>
      <c r="E4639" t="str">
        <f>HYPERLINK("https://patents.google.com/patent/US20090114079A1/en")</f>
        <v>https://patents.google.com/patent/US20090114079A1/en</v>
      </c>
    </row>
    <row r="4640" spans="3:5" x14ac:dyDescent="0.25">
      <c r="C4640" t="s">
        <v>8162</v>
      </c>
      <c r="D4640" t="s">
        <v>8163</v>
      </c>
      <c r="E4640" t="str">
        <f>HYPERLINK("https://patents.google.com/patent/US20150172463A1/en")</f>
        <v>https://patents.google.com/patent/US20150172463A1/en</v>
      </c>
    </row>
    <row r="4641" spans="3:5" x14ac:dyDescent="0.25">
      <c r="C4641" t="s">
        <v>8164</v>
      </c>
      <c r="D4641" t="s">
        <v>8165</v>
      </c>
      <c r="E4641" t="str">
        <f>HYPERLINK("https://patents.google.com/patent/US20150294431A1/en")</f>
        <v>https://patents.google.com/patent/US20150294431A1/en</v>
      </c>
    </row>
    <row r="4642" spans="3:5" x14ac:dyDescent="0.25">
      <c r="C4642" t="s">
        <v>8166</v>
      </c>
      <c r="D4642" t="s">
        <v>8167</v>
      </c>
      <c r="E4642" t="str">
        <f>HYPERLINK("https://patents.google.com/patent/US20030084015A1/en")</f>
        <v>https://patents.google.com/patent/US20030084015A1/en</v>
      </c>
    </row>
    <row r="4643" spans="3:5" x14ac:dyDescent="0.25">
      <c r="C4643" t="s">
        <v>8168</v>
      </c>
      <c r="D4643" t="s">
        <v>8169</v>
      </c>
      <c r="E4643" t="str">
        <f>HYPERLINK("https://patents.google.com/patent/US20130103615A1/en")</f>
        <v>https://patents.google.com/patent/US20130103615A1/en</v>
      </c>
    </row>
    <row r="4644" spans="3:5" x14ac:dyDescent="0.25">
      <c r="C4644" t="s">
        <v>8170</v>
      </c>
      <c r="D4644" t="s">
        <v>8171</v>
      </c>
      <c r="E4644" t="str">
        <f>HYPERLINK("https://patents.google.com/patent/US20050207208A1/en")</f>
        <v>https://patents.google.com/patent/US20050207208A1/en</v>
      </c>
    </row>
    <row r="4645" spans="3:5" x14ac:dyDescent="0.25">
      <c r="C4645" t="s">
        <v>8172</v>
      </c>
      <c r="D4645" t="s">
        <v>8173</v>
      </c>
      <c r="E4645" t="str">
        <f>HYPERLINK("https://patents.google.com/patent/US20050188345A1/en")</f>
        <v>https://patents.google.com/patent/US20050188345A1/en</v>
      </c>
    </row>
    <row r="4646" spans="3:5" x14ac:dyDescent="0.25">
      <c r="C4646" t="s">
        <v>8174</v>
      </c>
      <c r="D4646" t="s">
        <v>8175</v>
      </c>
      <c r="E4646" t="str">
        <f>HYPERLINK("https://patents.google.com/patent/US8060905B1/en")</f>
        <v>https://patents.google.com/patent/US8060905B1/en</v>
      </c>
    </row>
    <row r="4647" spans="3:5" x14ac:dyDescent="0.25">
      <c r="C4647" t="s">
        <v>8176</v>
      </c>
      <c r="D4647" t="s">
        <v>8177</v>
      </c>
      <c r="E4647" t="str">
        <f>HYPERLINK("https://patents.google.com/patent/US20120150643A1/en")</f>
        <v>https://patents.google.com/patent/US20120150643A1/en</v>
      </c>
    </row>
    <row r="4648" spans="3:5" x14ac:dyDescent="0.25">
      <c r="C4648" t="s">
        <v>8178</v>
      </c>
      <c r="D4648" t="s">
        <v>8179</v>
      </c>
      <c r="E4648" t="str">
        <f>HYPERLINK("https://patents.google.com/patent/US20060126861A1/en")</f>
        <v>https://patents.google.com/patent/US20060126861A1/en</v>
      </c>
    </row>
    <row r="4649" spans="3:5" x14ac:dyDescent="0.25">
      <c r="C4649" t="s">
        <v>8180</v>
      </c>
      <c r="D4649" t="s">
        <v>8181</v>
      </c>
      <c r="E4649" t="str">
        <f>HYPERLINK("https://patents.google.com/patent/US20080184122A1/en")</f>
        <v>https://patents.google.com/patent/US20080184122A1/en</v>
      </c>
    </row>
    <row r="4650" spans="3:5" x14ac:dyDescent="0.25">
      <c r="C4650" t="s">
        <v>8182</v>
      </c>
      <c r="D4650" t="s">
        <v>8183</v>
      </c>
      <c r="E4650" t="str">
        <f>HYPERLINK("https://patents.google.com/patent/US20020132214A1/en")</f>
        <v>https://patents.google.com/patent/US20020132214A1/en</v>
      </c>
    </row>
    <row r="4651" spans="3:5" x14ac:dyDescent="0.25">
      <c r="C4651" t="s">
        <v>8184</v>
      </c>
      <c r="D4651" t="s">
        <v>8185</v>
      </c>
      <c r="E4651" t="str">
        <f>HYPERLINK("https://patents.google.com/patent/US20060129551A1/en")</f>
        <v>https://patents.google.com/patent/US20060129551A1/en</v>
      </c>
    </row>
    <row r="4652" spans="3:5" x14ac:dyDescent="0.25">
      <c r="C4652" t="s">
        <v>8186</v>
      </c>
      <c r="D4652" t="s">
        <v>8187</v>
      </c>
      <c r="E4652" t="str">
        <f>HYPERLINK("https://patents.google.com/patent/US20120245987A1/en")</f>
        <v>https://patents.google.com/patent/US20120245987A1/en</v>
      </c>
    </row>
    <row r="4653" spans="3:5" x14ac:dyDescent="0.25">
      <c r="C4653" t="s">
        <v>8188</v>
      </c>
      <c r="D4653" t="s">
        <v>8189</v>
      </c>
      <c r="E4653" t="str">
        <f>HYPERLINK("https://patents.google.com/patent/US20120150743A1/en")</f>
        <v>https://patents.google.com/patent/US20120150743A1/en</v>
      </c>
    </row>
    <row r="4654" spans="3:5" x14ac:dyDescent="0.25">
      <c r="C4654" t="s">
        <v>8190</v>
      </c>
      <c r="D4654" t="s">
        <v>8191</v>
      </c>
      <c r="E4654" t="str">
        <f>HYPERLINK("https://patents.google.com/patent/US20070174163A1/en")</f>
        <v>https://patents.google.com/patent/US20070174163A1/en</v>
      </c>
    </row>
    <row r="4655" spans="3:5" x14ac:dyDescent="0.25">
      <c r="C4655" t="s">
        <v>8192</v>
      </c>
      <c r="D4655" t="s">
        <v>8193</v>
      </c>
      <c r="E4655" t="str">
        <f>HYPERLINK("https://patents.google.com/patent/US20070294229A1/en")</f>
        <v>https://patents.google.com/patent/US20070294229A1/en</v>
      </c>
    </row>
    <row r="4656" spans="3:5" x14ac:dyDescent="0.25">
      <c r="C4656" t="s">
        <v>8194</v>
      </c>
      <c r="D4656" t="s">
        <v>8195</v>
      </c>
      <c r="E4656" t="str">
        <f>HYPERLINK("https://patents.google.com/patent/US8422994B2/en")</f>
        <v>https://patents.google.com/patent/US8422994B2/en</v>
      </c>
    </row>
    <row r="4657" spans="3:5" x14ac:dyDescent="0.25">
      <c r="C4657" t="s">
        <v>8196</v>
      </c>
      <c r="D4657" t="s">
        <v>8197</v>
      </c>
      <c r="E4657" t="str">
        <f>HYPERLINK("https://patents.google.com/patent/US20070260594A1/en")</f>
        <v>https://patents.google.com/patent/US20070260594A1/en</v>
      </c>
    </row>
    <row r="4658" spans="3:5" x14ac:dyDescent="0.25">
      <c r="C4658" t="s">
        <v>8198</v>
      </c>
      <c r="D4658" t="s">
        <v>8199</v>
      </c>
      <c r="E4658" t="str">
        <f>HYPERLINK("https://patents.google.com/patent/US6869287B1/en")</f>
        <v>https://patents.google.com/patent/US6869287B1/en</v>
      </c>
    </row>
    <row r="4659" spans="3:5" x14ac:dyDescent="0.25">
      <c r="C4659" t="s">
        <v>8200</v>
      </c>
      <c r="D4659" t="s">
        <v>8201</v>
      </c>
      <c r="E4659" t="str">
        <f>HYPERLINK("https://patents.google.com/patent/US7991434B2/en")</f>
        <v>https://patents.google.com/patent/US7991434B2/en</v>
      </c>
    </row>
    <row r="4660" spans="3:5" x14ac:dyDescent="0.25">
      <c r="C4660" t="s">
        <v>8202</v>
      </c>
      <c r="D4660" t="s">
        <v>8203</v>
      </c>
      <c r="E4660" t="str">
        <f>HYPERLINK("https://patents.google.com/patent/US20090138307A1/en")</f>
        <v>https://patents.google.com/patent/US20090138307A1/en</v>
      </c>
    </row>
    <row r="4661" spans="3:5" x14ac:dyDescent="0.25">
      <c r="C4661" t="s">
        <v>8204</v>
      </c>
      <c r="D4661" t="s">
        <v>8205</v>
      </c>
      <c r="E4661" t="str">
        <f>HYPERLINK("https://patents.google.com/patent/US20120150729A1/en")</f>
        <v>https://patents.google.com/patent/US20120150729A1/en</v>
      </c>
    </row>
    <row r="4662" spans="3:5" x14ac:dyDescent="0.25">
      <c r="C4662" t="s">
        <v>8206</v>
      </c>
      <c r="D4662" t="s">
        <v>8207</v>
      </c>
      <c r="E4662" t="str">
        <f>HYPERLINK("https://patents.google.com/patent/US6535861B1/en")</f>
        <v>https://patents.google.com/patent/US6535861B1/en</v>
      </c>
    </row>
    <row r="4663" spans="3:5" x14ac:dyDescent="0.25">
      <c r="C4663" t="s">
        <v>8208</v>
      </c>
      <c r="D4663" t="s">
        <v>8209</v>
      </c>
      <c r="E4663" t="str">
        <f>HYPERLINK("https://patents.google.com/patent/US6609523B1/en")</f>
        <v>https://patents.google.com/patent/US6609523B1/en</v>
      </c>
    </row>
    <row r="4664" spans="3:5" x14ac:dyDescent="0.25">
      <c r="C4664" t="s">
        <v>8210</v>
      </c>
      <c r="D4664" t="s">
        <v>8211</v>
      </c>
      <c r="E4664" t="str">
        <f>HYPERLINK("https://patents.google.com/patent/US20120172131A1/en")</f>
        <v>https://patents.google.com/patent/US20120172131A1/en</v>
      </c>
    </row>
    <row r="4665" spans="3:5" x14ac:dyDescent="0.25">
      <c r="C4665" t="s">
        <v>8212</v>
      </c>
      <c r="D4665" t="s">
        <v>8213</v>
      </c>
      <c r="E4665" t="str">
        <f>HYPERLINK("https://patents.google.com/patent/US20020082930A1/en")</f>
        <v>https://patents.google.com/patent/US20020082930A1/en</v>
      </c>
    </row>
    <row r="4666" spans="3:5" x14ac:dyDescent="0.25">
      <c r="C4666" t="s">
        <v>8214</v>
      </c>
      <c r="D4666" t="s">
        <v>8215</v>
      </c>
      <c r="E4666" t="str">
        <f>HYPERLINK("https://patents.google.com/patent/US20080126406A1/en")</f>
        <v>https://patents.google.com/patent/US20080126406A1/en</v>
      </c>
    </row>
    <row r="4667" spans="3:5" x14ac:dyDescent="0.25">
      <c r="C4667" t="s">
        <v>8216</v>
      </c>
      <c r="D4667" t="s">
        <v>8217</v>
      </c>
      <c r="E4667" t="str">
        <f>HYPERLINK("https://patents.google.com/patent/US20080021721A1/en")</f>
        <v>https://patents.google.com/patent/US20080021721A1/en</v>
      </c>
    </row>
    <row r="4668" spans="3:5" x14ac:dyDescent="0.25">
      <c r="C4668" t="s">
        <v>8218</v>
      </c>
      <c r="D4668" t="s">
        <v>8219</v>
      </c>
      <c r="E4668" t="str">
        <f>HYPERLINK("https://patents.google.com/patent/US20140200953A1/en")</f>
        <v>https://patents.google.com/patent/US20140200953A1/en</v>
      </c>
    </row>
    <row r="4669" spans="3:5" x14ac:dyDescent="0.25">
      <c r="C4669" t="s">
        <v>8220</v>
      </c>
      <c r="D4669" t="s">
        <v>8221</v>
      </c>
      <c r="E4669" t="str">
        <f>HYPERLINK("https://patents.google.com/patent/US20140244488A1/en")</f>
        <v>https://patents.google.com/patent/US20140244488A1/en</v>
      </c>
    </row>
    <row r="4670" spans="3:5" x14ac:dyDescent="0.25">
      <c r="C4670" t="s">
        <v>8222</v>
      </c>
      <c r="D4670" t="s">
        <v>8223</v>
      </c>
      <c r="E4670" t="str">
        <f>HYPERLINK("https://patents.google.com/patent/US20080256008A1/en")</f>
        <v>https://patents.google.com/patent/US20080256008A1/en</v>
      </c>
    </row>
    <row r="4671" spans="3:5" x14ac:dyDescent="0.25">
      <c r="C4671" t="s">
        <v>8224</v>
      </c>
      <c r="D4671" t="s">
        <v>8225</v>
      </c>
      <c r="E4671" t="str">
        <f>HYPERLINK("https://patents.google.com/patent/US20120150731A1/en")</f>
        <v>https://patents.google.com/patent/US20120150731A1/en</v>
      </c>
    </row>
    <row r="4672" spans="3:5" x14ac:dyDescent="0.25">
      <c r="C4672" t="s">
        <v>8226</v>
      </c>
      <c r="D4672" t="s">
        <v>8227</v>
      </c>
      <c r="E4672" t="str">
        <f>HYPERLINK("https://patents.google.com/patent/US20120095817A1/en")</f>
        <v>https://patents.google.com/patent/US20120095817A1/en</v>
      </c>
    </row>
    <row r="4673" spans="3:5" x14ac:dyDescent="0.25">
      <c r="C4673" t="s">
        <v>8228</v>
      </c>
      <c r="D4673" t="s">
        <v>8229</v>
      </c>
      <c r="E4673" t="str">
        <f>HYPERLINK("https://patents.google.com/patent/US20130166445A1/en")</f>
        <v>https://patents.google.com/patent/US20130166445A1/en</v>
      </c>
    </row>
    <row r="4674" spans="3:5" x14ac:dyDescent="0.25">
      <c r="C4674" t="s">
        <v>8230</v>
      </c>
      <c r="D4674" t="s">
        <v>8231</v>
      </c>
      <c r="E4674" t="str">
        <f>HYPERLINK("https://patents.google.com/patent/US20160005229A1/en")</f>
        <v>https://patents.google.com/patent/US20160005229A1/en</v>
      </c>
    </row>
    <row r="4675" spans="3:5" x14ac:dyDescent="0.25">
      <c r="C4675" t="s">
        <v>8232</v>
      </c>
      <c r="D4675" t="s">
        <v>8233</v>
      </c>
      <c r="E4675" t="str">
        <f>HYPERLINK("https://patents.google.com/patent/US7156665B1/en")</f>
        <v>https://patents.google.com/patent/US7156665B1/en</v>
      </c>
    </row>
    <row r="4676" spans="3:5" x14ac:dyDescent="0.25">
      <c r="C4676" t="s">
        <v>8234</v>
      </c>
      <c r="D4676" t="s">
        <v>8235</v>
      </c>
      <c r="E4676" t="str">
        <f>HYPERLINK("https://patents.google.com/patent/US5312547A/en")</f>
        <v>https://patents.google.com/patent/US5312547A/en</v>
      </c>
    </row>
    <row r="4677" spans="3:5" x14ac:dyDescent="0.25">
      <c r="C4677" t="s">
        <v>8236</v>
      </c>
      <c r="D4677" t="s">
        <v>8237</v>
      </c>
      <c r="E4677" t="str">
        <f>HYPERLINK("https://patents.google.com/patent/US20160018978A1/en")</f>
        <v>https://patents.google.com/patent/US20160018978A1/en</v>
      </c>
    </row>
    <row r="4678" spans="3:5" x14ac:dyDescent="0.25">
      <c r="C4678" t="s">
        <v>8238</v>
      </c>
      <c r="D4678" t="s">
        <v>8239</v>
      </c>
      <c r="E4678" t="str">
        <f>HYPERLINK("https://patents.google.com/patent/US20120254301A1/en")</f>
        <v>https://patents.google.com/patent/US20120254301A1/en</v>
      </c>
    </row>
    <row r="4679" spans="3:5" x14ac:dyDescent="0.25">
      <c r="C4679" t="s">
        <v>8240</v>
      </c>
      <c r="D4679" t="s">
        <v>8241</v>
      </c>
      <c r="E4679" t="str">
        <f>HYPERLINK("https://patents.google.com/patent/CN1669537B/en")</f>
        <v>https://patents.google.com/patent/CN1669537B/en</v>
      </c>
    </row>
    <row r="4680" spans="3:5" x14ac:dyDescent="0.25">
      <c r="C4680" t="s">
        <v>8242</v>
      </c>
      <c r="D4680" t="s">
        <v>8243</v>
      </c>
      <c r="E4680" t="str">
        <f>HYPERLINK("https://patents.google.com/patent/JP2008523254A/en")</f>
        <v>https://patents.google.com/patent/JP2008523254A/en</v>
      </c>
    </row>
    <row r="4681" spans="3:5" x14ac:dyDescent="0.25">
      <c r="C4681" t="s">
        <v>8244</v>
      </c>
      <c r="D4681" t="s">
        <v>8245</v>
      </c>
      <c r="E4681" t="str">
        <f>HYPERLINK("https://patents.google.com/patent/US20020035478A1/en")</f>
        <v>https://patents.google.com/patent/US20020035478A1/en</v>
      </c>
    </row>
    <row r="4682" spans="3:5" x14ac:dyDescent="0.25">
      <c r="C4682" t="s">
        <v>8246</v>
      </c>
      <c r="D4682" t="s">
        <v>8247</v>
      </c>
      <c r="E4682" t="str">
        <f>HYPERLINK("https://patents.google.com/patent/US5264948A/en")</f>
        <v>https://patents.google.com/patent/US5264948A/en</v>
      </c>
    </row>
    <row r="4683" spans="3:5" x14ac:dyDescent="0.25">
      <c r="C4683" t="s">
        <v>7953</v>
      </c>
      <c r="D4683" t="s">
        <v>8248</v>
      </c>
      <c r="E4683" t="str">
        <f>HYPERLINK("https://patents.google.com/patent/US20080103798A1/en")</f>
        <v>https://patents.google.com/patent/US20080103798A1/en</v>
      </c>
    </row>
    <row r="4684" spans="3:5" x14ac:dyDescent="0.25">
      <c r="C4684" t="s">
        <v>8249</v>
      </c>
      <c r="D4684" t="s">
        <v>8250</v>
      </c>
      <c r="E4684" t="str">
        <f>HYPERLINK("https://patents.google.com/patent/US20160262608A1/en")</f>
        <v>https://patents.google.com/patent/US20160262608A1/en</v>
      </c>
    </row>
    <row r="4685" spans="3:5" x14ac:dyDescent="0.25">
      <c r="C4685" t="s">
        <v>8251</v>
      </c>
      <c r="D4685" t="s">
        <v>8252</v>
      </c>
      <c r="E4685" t="str">
        <f>HYPERLINK("https://patents.google.com/patent/US20070060404A1/en")</f>
        <v>https://patents.google.com/patent/US20070060404A1/en</v>
      </c>
    </row>
    <row r="4686" spans="3:5" x14ac:dyDescent="0.25">
      <c r="C4686" t="s">
        <v>8253</v>
      </c>
      <c r="D4686" t="s">
        <v>8254</v>
      </c>
      <c r="E4686" t="str">
        <f>HYPERLINK("https://patents.google.com/patent/US20120259927A1/en")</f>
        <v>https://patents.google.com/patent/US20120259927A1/en</v>
      </c>
    </row>
    <row r="4687" spans="3:5" x14ac:dyDescent="0.25">
      <c r="C4687" t="s">
        <v>8255</v>
      </c>
      <c r="D4687" t="s">
        <v>8256</v>
      </c>
      <c r="E4687" t="str">
        <f>HYPERLINK("https://patents.google.com/patent/US20150227890A1/en")</f>
        <v>https://patents.google.com/patent/US20150227890A1/en</v>
      </c>
    </row>
    <row r="4688" spans="3:5" x14ac:dyDescent="0.25">
      <c r="C4688" t="s">
        <v>8257</v>
      </c>
      <c r="D4688" t="s">
        <v>8258</v>
      </c>
      <c r="E4688" t="str">
        <f>HYPERLINK("https://patents.google.com/patent/US20020099560A1/en")</f>
        <v>https://patents.google.com/patent/US20020099560A1/en</v>
      </c>
    </row>
    <row r="4689" spans="3:5" x14ac:dyDescent="0.25">
      <c r="C4689" t="s">
        <v>8259</v>
      </c>
      <c r="D4689" t="s">
        <v>8260</v>
      </c>
      <c r="E4689" t="str">
        <f>HYPERLINK("https://patents.google.com/patent/US20120095790A1/en")</f>
        <v>https://patents.google.com/patent/US20120095790A1/en</v>
      </c>
    </row>
    <row r="4690" spans="3:5" x14ac:dyDescent="0.25">
      <c r="C4690" t="s">
        <v>8261</v>
      </c>
      <c r="D4690" t="s">
        <v>8262</v>
      </c>
      <c r="E4690" t="str">
        <f>HYPERLINK("https://patents.google.com/patent/US20100199668A1/en")</f>
        <v>https://patents.google.com/patent/US20100199668A1/en</v>
      </c>
    </row>
    <row r="4691" spans="3:5" x14ac:dyDescent="0.25">
      <c r="C4691" t="s">
        <v>8263</v>
      </c>
      <c r="D4691" t="s">
        <v>8264</v>
      </c>
      <c r="E4691" t="str">
        <f>HYPERLINK("https://patents.google.com/patent/US20060085217A1/en")</f>
        <v>https://patents.google.com/patent/US20060085217A1/en</v>
      </c>
    </row>
    <row r="4692" spans="3:5" x14ac:dyDescent="0.25">
      <c r="C4692" t="s">
        <v>7632</v>
      </c>
      <c r="D4692" t="s">
        <v>8265</v>
      </c>
      <c r="E4692" t="str">
        <f>HYPERLINK("https://patents.google.com/patent/US20130158368A1/en")</f>
        <v>https://patents.google.com/patent/US20130158368A1/en</v>
      </c>
    </row>
    <row r="4693" spans="3:5" x14ac:dyDescent="0.25">
      <c r="C4693" t="s">
        <v>8266</v>
      </c>
      <c r="D4693" t="s">
        <v>8267</v>
      </c>
      <c r="E4693" t="str">
        <f>HYPERLINK("https://patents.google.com/patent/US20070043585A1/en")</f>
        <v>https://patents.google.com/patent/US20070043585A1/en</v>
      </c>
    </row>
    <row r="4694" spans="3:5" x14ac:dyDescent="0.25">
      <c r="C4694" t="s">
        <v>8268</v>
      </c>
      <c r="D4694" t="s">
        <v>8269</v>
      </c>
      <c r="E4694" t="str">
        <f>HYPERLINK("https://patents.google.com/patent/US20130004929A1/en")</f>
        <v>https://patents.google.com/patent/US20130004929A1/en</v>
      </c>
    </row>
    <row r="4695" spans="3:5" x14ac:dyDescent="0.25">
      <c r="C4695" t="s">
        <v>7759</v>
      </c>
      <c r="D4695" t="s">
        <v>8270</v>
      </c>
      <c r="E4695" t="str">
        <f>HYPERLINK("https://patents.google.com/patent/US20020194056A1/en")</f>
        <v>https://patents.google.com/patent/US20020194056A1/en</v>
      </c>
    </row>
    <row r="4696" spans="3:5" x14ac:dyDescent="0.25">
      <c r="C4696" t="s">
        <v>8271</v>
      </c>
      <c r="D4696" t="s">
        <v>8272</v>
      </c>
      <c r="E4696" t="str">
        <f>HYPERLINK("https://patents.google.com/patent/US7089222B1/en")</f>
        <v>https://patents.google.com/patent/US7089222B1/en</v>
      </c>
    </row>
    <row r="4697" spans="3:5" x14ac:dyDescent="0.25">
      <c r="C4697" t="s">
        <v>8273</v>
      </c>
      <c r="D4697" t="s">
        <v>8274</v>
      </c>
      <c r="E4697" t="str">
        <f>HYPERLINK("https://patents.google.com/patent/US20140002580A1/en")</f>
        <v>https://patents.google.com/patent/US20140002580A1/en</v>
      </c>
    </row>
    <row r="4698" spans="3:5" x14ac:dyDescent="0.25">
      <c r="C4698" t="s">
        <v>7274</v>
      </c>
      <c r="D4698" t="s">
        <v>8275</v>
      </c>
      <c r="E4698" t="str">
        <f>HYPERLINK("https://patents.google.com/patent/WO1998033362A1/en")</f>
        <v>https://patents.google.com/patent/WO1998033362A1/en</v>
      </c>
    </row>
    <row r="4699" spans="3:5" x14ac:dyDescent="0.25">
      <c r="C4699" t="s">
        <v>8276</v>
      </c>
      <c r="D4699" t="s">
        <v>8277</v>
      </c>
      <c r="E4699" t="str">
        <f>HYPERLINK("https://patents.google.com/patent/WO1998047298A2/en")</f>
        <v>https://patents.google.com/patent/WO1998047298A2/en</v>
      </c>
    </row>
    <row r="4700" spans="3:5" x14ac:dyDescent="0.25">
      <c r="C4700" t="s">
        <v>8278</v>
      </c>
      <c r="D4700" t="s">
        <v>8279</v>
      </c>
      <c r="E4700" t="str">
        <f>HYPERLINK("https://patents.google.com/patent/WO1998034391A2/en")</f>
        <v>https://patents.google.com/patent/WO1998034391A2/en</v>
      </c>
    </row>
    <row r="4701" spans="3:5" x14ac:dyDescent="0.25">
      <c r="C4701" t="s">
        <v>8280</v>
      </c>
      <c r="D4701" t="s">
        <v>8281</v>
      </c>
      <c r="E4701" t="str">
        <f>HYPERLINK("https://patents.google.com/patent/WO2004091956A2/en")</f>
        <v>https://patents.google.com/patent/WO2004091956A2/en</v>
      </c>
    </row>
    <row r="4702" spans="3:5" x14ac:dyDescent="0.25">
      <c r="C4702" t="s">
        <v>8282</v>
      </c>
      <c r="D4702" t="s">
        <v>8283</v>
      </c>
      <c r="E4702" t="str">
        <f>HYPERLINK("https://patents.google.com/patent/US20120150732A1/en")</f>
        <v>https://patents.google.com/patent/US20120150732A1/en</v>
      </c>
    </row>
    <row r="4703" spans="3:5" x14ac:dyDescent="0.25">
      <c r="C4703" t="s">
        <v>8284</v>
      </c>
      <c r="D4703" t="s">
        <v>8285</v>
      </c>
      <c r="E4703" t="str">
        <f>HYPERLINK("https://patents.google.com/patent/US20100231706A1/en")</f>
        <v>https://patents.google.com/patent/US20100231706A1/en</v>
      </c>
    </row>
    <row r="4704" spans="3:5" x14ac:dyDescent="0.25">
      <c r="C4704" t="s">
        <v>8286</v>
      </c>
      <c r="D4704" t="s">
        <v>8287</v>
      </c>
      <c r="E4704" t="str">
        <f>HYPERLINK("https://patents.google.com/patent/US20140316310A1/en")</f>
        <v>https://patents.google.com/patent/US20140316310A1/en</v>
      </c>
    </row>
    <row r="4705" spans="3:5" x14ac:dyDescent="0.25">
      <c r="C4705" t="s">
        <v>8288</v>
      </c>
      <c r="D4705" t="s">
        <v>8289</v>
      </c>
      <c r="E4705" t="str">
        <f>HYPERLINK("https://patents.google.com/patent/WO1993005492A1/en")</f>
        <v>https://patents.google.com/patent/WO1993005492A1/en</v>
      </c>
    </row>
    <row r="4706" spans="3:5" x14ac:dyDescent="0.25">
      <c r="C4706" t="s">
        <v>8290</v>
      </c>
      <c r="D4706" t="s">
        <v>8291</v>
      </c>
      <c r="E4706" t="str">
        <f>HYPERLINK("https://patents.google.com/patent/WO1998005011A2/en")</f>
        <v>https://patents.google.com/patent/WO1998005011A2/en</v>
      </c>
    </row>
    <row r="4707" spans="3:5" x14ac:dyDescent="0.25">
      <c r="C4707" t="s">
        <v>8292</v>
      </c>
      <c r="D4707" t="s">
        <v>8293</v>
      </c>
      <c r="E4707" t="str">
        <f>HYPERLINK("https://patents.google.com/patent/CN102906623A/en")</f>
        <v>https://patents.google.com/patent/CN102906623A/en</v>
      </c>
    </row>
    <row r="4708" spans="3:5" x14ac:dyDescent="0.25">
      <c r="C4708" t="s">
        <v>8294</v>
      </c>
      <c r="D4708" t="s">
        <v>8295</v>
      </c>
      <c r="E4708" t="str">
        <f>HYPERLINK("https://patents.google.com/patent/JP2000215211A/en")</f>
        <v>https://patents.google.com/patent/JP2000215211A/en</v>
      </c>
    </row>
    <row r="4709" spans="3:5" x14ac:dyDescent="0.25">
      <c r="C4709" t="s">
        <v>8296</v>
      </c>
      <c r="D4709" t="s">
        <v>8297</v>
      </c>
      <c r="E4709" t="str">
        <f>HYPERLINK("https://patents.google.com/patent/US7054848B1/en")</f>
        <v>https://patents.google.com/patent/US7054848B1/en</v>
      </c>
    </row>
    <row r="4710" spans="3:5" x14ac:dyDescent="0.25">
      <c r="C4710" t="s">
        <v>8220</v>
      </c>
      <c r="D4710" t="s">
        <v>8298</v>
      </c>
      <c r="E4710" t="str">
        <f>HYPERLINK("https://patents.google.com/patent/US20140244429A1/en")</f>
        <v>https://patents.google.com/patent/US20140244429A1/en</v>
      </c>
    </row>
    <row r="4711" spans="3:5" x14ac:dyDescent="0.25">
      <c r="C4711" t="s">
        <v>8299</v>
      </c>
      <c r="D4711" t="s">
        <v>8300</v>
      </c>
      <c r="E4711" t="str">
        <f>HYPERLINK("https://patents.google.com/patent/US20130318207A1/en")</f>
        <v>https://patents.google.com/patent/US20130318207A1/en</v>
      </c>
    </row>
    <row r="4712" spans="3:5" x14ac:dyDescent="0.25">
      <c r="C4712" t="s">
        <v>8301</v>
      </c>
      <c r="D4712" t="s">
        <v>8302</v>
      </c>
      <c r="E4712" t="str">
        <f>HYPERLINK("https://patents.google.com/patent/WO2012090947A1/en")</f>
        <v>https://patents.google.com/patent/WO2012090947A1/en</v>
      </c>
    </row>
    <row r="4713" spans="3:5" x14ac:dyDescent="0.25">
      <c r="C4713" t="s">
        <v>8303</v>
      </c>
      <c r="D4713" t="s">
        <v>8304</v>
      </c>
      <c r="E4713" t="str">
        <f>HYPERLINK("https://patents.google.com/patent/FR2737694A1/en")</f>
        <v>https://patents.google.com/patent/FR2737694A1/en</v>
      </c>
    </row>
    <row r="4714" spans="3:5" x14ac:dyDescent="0.25">
      <c r="C4714" t="s">
        <v>8305</v>
      </c>
      <c r="D4714" t="s">
        <v>8306</v>
      </c>
      <c r="E4714" t="str">
        <f>HYPERLINK("https://patents.google.com/patent/CN101256590A/en")</f>
        <v>https://patents.google.com/patent/CN101256590A/en</v>
      </c>
    </row>
    <row r="4715" spans="3:5" x14ac:dyDescent="0.25">
      <c r="C4715" t="s">
        <v>8307</v>
      </c>
      <c r="D4715" t="s">
        <v>8308</v>
      </c>
      <c r="E4715" t="str">
        <f>HYPERLINK("https://patents.google.com/patent/DE10243535A1/en")</f>
        <v>https://patents.google.com/patent/DE10243535A1/en</v>
      </c>
    </row>
    <row r="4716" spans="3:5" x14ac:dyDescent="0.25">
      <c r="C4716" t="s">
        <v>8309</v>
      </c>
      <c r="D4716" t="s">
        <v>8310</v>
      </c>
      <c r="E4716" t="str">
        <f>HYPERLINK("https://patents.google.com/patent/US20150351655A1/en")</f>
        <v>https://patents.google.com/patent/US20150351655A1/en</v>
      </c>
    </row>
    <row r="4717" spans="3:5" x14ac:dyDescent="0.25">
      <c r="C4717" t="s">
        <v>8311</v>
      </c>
      <c r="D4717" t="s">
        <v>8312</v>
      </c>
      <c r="E4717" t="str">
        <f>HYPERLINK("https://patents.google.com/patent/US20060068090A1/en")</f>
        <v>https://patents.google.com/patent/US20060068090A1/en</v>
      </c>
    </row>
    <row r="4718" spans="3:5" x14ac:dyDescent="0.25">
      <c r="C4718" t="s">
        <v>7953</v>
      </c>
      <c r="D4718" t="s">
        <v>8313</v>
      </c>
      <c r="E4718" t="str">
        <f>HYPERLINK("https://patents.google.com/patent/US20080103799A1/en")</f>
        <v>https://patents.google.com/patent/US20080103799A1/en</v>
      </c>
    </row>
    <row r="4719" spans="3:5" x14ac:dyDescent="0.25">
      <c r="C4719" t="s">
        <v>8314</v>
      </c>
      <c r="D4719" t="s">
        <v>8315</v>
      </c>
      <c r="E4719" t="str">
        <f>HYPERLINK("https://patents.google.com/patent/US20130096981A1/en")</f>
        <v>https://patents.google.com/patent/US20130096981A1/en</v>
      </c>
    </row>
    <row r="4720" spans="3:5" x14ac:dyDescent="0.25">
      <c r="C4720" t="s">
        <v>8316</v>
      </c>
      <c r="D4720" t="s">
        <v>8317</v>
      </c>
      <c r="E4720" t="str">
        <f>HYPERLINK("https://patents.google.com/patent/US20070123794A1/en")</f>
        <v>https://patents.google.com/patent/US20070123794A1/en</v>
      </c>
    </row>
    <row r="4721" spans="3:5" x14ac:dyDescent="0.25">
      <c r="C4721" t="s">
        <v>8318</v>
      </c>
      <c r="D4721" t="s">
        <v>8319</v>
      </c>
      <c r="E4721" t="str">
        <f>HYPERLINK("https://patents.google.com/patent/US20070070390A1/en")</f>
        <v>https://patents.google.com/patent/US20070070390A1/en</v>
      </c>
    </row>
    <row r="4722" spans="3:5" x14ac:dyDescent="0.25">
      <c r="C4722" t="s">
        <v>8320</v>
      </c>
      <c r="D4722" t="s">
        <v>8321</v>
      </c>
      <c r="E4722" t="str">
        <f>HYPERLINK("https://patents.google.com/patent/WO1999018514A1/en")</f>
        <v>https://patents.google.com/patent/WO1999018514A1/en</v>
      </c>
    </row>
    <row r="4723" spans="3:5" x14ac:dyDescent="0.25">
      <c r="C4723" t="s">
        <v>8322</v>
      </c>
      <c r="D4723" t="s">
        <v>8323</v>
      </c>
      <c r="E4723" t="str">
        <f>HYPERLINK("https://patents.google.com/patent/US20130179244A1/en")</f>
        <v>https://patents.google.com/patent/US20130179244A1/en</v>
      </c>
    </row>
    <row r="4724" spans="3:5" x14ac:dyDescent="0.25">
      <c r="C4724" t="s">
        <v>8324</v>
      </c>
      <c r="D4724" t="s">
        <v>8325</v>
      </c>
      <c r="E4724" t="str">
        <f>HYPERLINK("https://patents.google.com/patent/US20130144707A1/en")</f>
        <v>https://patents.google.com/patent/US20130144707A1/en</v>
      </c>
    </row>
    <row r="4725" spans="3:5" x14ac:dyDescent="0.25">
      <c r="C4725" t="s">
        <v>8326</v>
      </c>
      <c r="D4725" t="s">
        <v>8327</v>
      </c>
      <c r="E4725" t="str">
        <f>HYPERLINK("https://patents.google.com/patent/US20110231767A1/en")</f>
        <v>https://patents.google.com/patent/US20110231767A1/en</v>
      </c>
    </row>
    <row r="4726" spans="3:5" x14ac:dyDescent="0.25">
      <c r="C4726" t="s">
        <v>8328</v>
      </c>
      <c r="D4726" t="s">
        <v>8329</v>
      </c>
      <c r="E4726" t="str">
        <f>HYPERLINK("https://patents.google.com/patent/US20150228004A1/en")</f>
        <v>https://patents.google.com/patent/US20150228004A1/en</v>
      </c>
    </row>
    <row r="4727" spans="3:5" x14ac:dyDescent="0.25">
      <c r="C4727" t="s">
        <v>8330</v>
      </c>
      <c r="D4727" t="s">
        <v>8331</v>
      </c>
      <c r="E4727" t="str">
        <f>HYPERLINK("https://patents.google.com/patent/CN1429961A/en")</f>
        <v>https://patents.google.com/patent/CN1429961A/en</v>
      </c>
    </row>
    <row r="4728" spans="3:5" x14ac:dyDescent="0.25">
      <c r="C4728" t="s">
        <v>8332</v>
      </c>
      <c r="D4728" t="s">
        <v>8333</v>
      </c>
      <c r="E4728" t="str">
        <f>HYPERLINK("https://patents.google.com/patent/US8226109B2/en")</f>
        <v>https://patents.google.com/patent/US8226109B2/en</v>
      </c>
    </row>
    <row r="4729" spans="3:5" x14ac:dyDescent="0.25">
      <c r="C4729" t="s">
        <v>8334</v>
      </c>
      <c r="D4729" t="s">
        <v>8335</v>
      </c>
      <c r="E4729" t="str">
        <f>HYPERLINK("https://patents.google.com/patent/US20110251978A1/en")</f>
        <v>https://patents.google.com/patent/US20110251978A1/en</v>
      </c>
    </row>
    <row r="4730" spans="3:5" x14ac:dyDescent="0.25">
      <c r="C4730" t="s">
        <v>8336</v>
      </c>
      <c r="D4730" t="s">
        <v>8337</v>
      </c>
      <c r="E4730" t="str">
        <f>HYPERLINK("https://patents.google.com/patent/US3032881A/en")</f>
        <v>https://patents.google.com/patent/US3032881A/en</v>
      </c>
    </row>
    <row r="4731" spans="3:5" x14ac:dyDescent="0.25">
      <c r="C4731" t="s">
        <v>8338</v>
      </c>
      <c r="D4731" t="s">
        <v>8339</v>
      </c>
      <c r="E4731" t="str">
        <f>HYPERLINK("https://patents.google.com/patent/US20100142755A1/en")</f>
        <v>https://patents.google.com/patent/US20100142755A1/en</v>
      </c>
    </row>
    <row r="4732" spans="3:5" x14ac:dyDescent="0.25">
      <c r="C4732" t="s">
        <v>8340</v>
      </c>
      <c r="D4732" t="s">
        <v>8341</v>
      </c>
      <c r="E4732" t="str">
        <f>HYPERLINK("https://patents.google.com/patent/WO2000073955A2/en")</f>
        <v>https://patents.google.com/patent/WO2000073955A2/en</v>
      </c>
    </row>
    <row r="4733" spans="3:5" x14ac:dyDescent="0.25">
      <c r="C4733" t="s">
        <v>8342</v>
      </c>
      <c r="D4733" t="s">
        <v>8343</v>
      </c>
      <c r="E4733" t="str">
        <f>HYPERLINK("https://patents.google.com/patent/US20140166745A1/en")</f>
        <v>https://patents.google.com/patent/US20140166745A1/en</v>
      </c>
    </row>
    <row r="4734" spans="3:5" x14ac:dyDescent="0.25">
      <c r="C4734" t="s">
        <v>8344</v>
      </c>
      <c r="D4734" t="s">
        <v>8345</v>
      </c>
      <c r="E4734" t="str">
        <f>HYPERLINK("https://patents.google.com/patent/US20080147567A1/en")</f>
        <v>https://patents.google.com/patent/US20080147567A1/en</v>
      </c>
    </row>
    <row r="4735" spans="3:5" x14ac:dyDescent="0.25">
      <c r="C4735" t="s">
        <v>8346</v>
      </c>
      <c r="D4735" t="s">
        <v>8347</v>
      </c>
      <c r="E4735" t="str">
        <f>HYPERLINK("https://patents.google.com/patent/US20130132440A1/en")</f>
        <v>https://patents.google.com/patent/US20130132440A1/en</v>
      </c>
    </row>
    <row r="4736" spans="3:5" x14ac:dyDescent="0.25">
      <c r="C4736" t="s">
        <v>8348</v>
      </c>
      <c r="D4736" t="s">
        <v>8349</v>
      </c>
      <c r="E4736" t="str">
        <f>HYPERLINK("https://patents.google.com/patent/US20070196798A1/en")</f>
        <v>https://patents.google.com/patent/US20070196798A1/en</v>
      </c>
    </row>
    <row r="4737" spans="3:5" x14ac:dyDescent="0.25">
      <c r="C4737" t="s">
        <v>8350</v>
      </c>
      <c r="D4737" t="s">
        <v>8351</v>
      </c>
      <c r="E4737" t="str">
        <f>HYPERLINK("https://patents.google.com/patent/CN101292282A/en")</f>
        <v>https://patents.google.com/patent/CN101292282A/en</v>
      </c>
    </row>
    <row r="4738" spans="3:5" x14ac:dyDescent="0.25">
      <c r="C4738" t="s">
        <v>8352</v>
      </c>
      <c r="D4738" t="s">
        <v>8353</v>
      </c>
      <c r="E4738" t="str">
        <f>HYPERLINK("https://patents.google.com/patent/JP2007115200A/en")</f>
        <v>https://patents.google.com/patent/JP2007115200A/en</v>
      </c>
    </row>
    <row r="4739" spans="3:5" x14ac:dyDescent="0.25">
      <c r="C4739" t="s">
        <v>8354</v>
      </c>
      <c r="D4739" t="s">
        <v>8355</v>
      </c>
      <c r="E4739" t="str">
        <f>HYPERLINK("https://patents.google.com/patent/WO2000073958A2/en")</f>
        <v>https://patents.google.com/patent/WO2000073958A2/en</v>
      </c>
    </row>
    <row r="4740" spans="3:5" x14ac:dyDescent="0.25">
      <c r="C4740" t="s">
        <v>8356</v>
      </c>
      <c r="D4740" t="s">
        <v>8357</v>
      </c>
      <c r="E4740" t="str">
        <f>HYPERLINK("https://patents.google.com/patent/JP2005522797A/en")</f>
        <v>https://patents.google.com/patent/JP2005522797A/en</v>
      </c>
    </row>
    <row r="4741" spans="3:5" x14ac:dyDescent="0.25">
      <c r="C4741" t="s">
        <v>8358</v>
      </c>
      <c r="D4741" t="s">
        <v>8359</v>
      </c>
      <c r="E4741" t="str">
        <f>HYPERLINK("https://patents.google.com/patent/US20170173262A1/en")</f>
        <v>https://patents.google.com/patent/US20170173262A1/en</v>
      </c>
    </row>
    <row r="4742" spans="3:5" x14ac:dyDescent="0.25">
      <c r="C4742" t="s">
        <v>8360</v>
      </c>
      <c r="D4742" t="s">
        <v>8361</v>
      </c>
      <c r="E4742" t="str">
        <f>HYPERLINK("https://patents.google.com/patent/WO2011163556A2/en")</f>
        <v>https://patents.google.com/patent/WO2011163556A2/en</v>
      </c>
    </row>
    <row r="4743" spans="3:5" x14ac:dyDescent="0.25">
      <c r="C4743" t="s">
        <v>8362</v>
      </c>
      <c r="D4743" t="s">
        <v>8363</v>
      </c>
      <c r="E4743" t="str">
        <f>HYPERLINK("https://patents.google.com/patent/WO2001016724A2/en")</f>
        <v>https://patents.google.com/patent/WO2001016724A2/en</v>
      </c>
    </row>
    <row r="4744" spans="3:5" x14ac:dyDescent="0.25">
      <c r="C4744" t="s">
        <v>8364</v>
      </c>
      <c r="D4744" t="s">
        <v>8365</v>
      </c>
      <c r="E4744" t="str">
        <f>HYPERLINK("https://patents.google.com/patent/US5314396A/en")</f>
        <v>https://patents.google.com/patent/US5314396A/en</v>
      </c>
    </row>
    <row r="4745" spans="3:5" x14ac:dyDescent="0.25">
      <c r="C4745" t="s">
        <v>8366</v>
      </c>
      <c r="D4745" t="s">
        <v>8367</v>
      </c>
      <c r="E4745" t="str">
        <f>HYPERLINK("https://patents.google.com/patent/JP2003023666A/en")</f>
        <v>https://patents.google.com/patent/JP2003023666A/en</v>
      </c>
    </row>
    <row r="4746" spans="3:5" x14ac:dyDescent="0.25">
      <c r="C4746" t="s">
        <v>7979</v>
      </c>
      <c r="D4746" t="s">
        <v>8368</v>
      </c>
      <c r="E4746" t="str">
        <f>HYPERLINK("https://patents.google.com/patent/WO2003089088A1/en")</f>
        <v>https://patents.google.com/patent/WO2003089088A1/en</v>
      </c>
    </row>
    <row r="4747" spans="3:5" x14ac:dyDescent="0.25">
      <c r="C4747" t="s">
        <v>8369</v>
      </c>
      <c r="D4747" t="s">
        <v>8370</v>
      </c>
      <c r="E4747" t="str">
        <f>HYPERLINK("https://patents.google.com/patent/CN101453398A/en")</f>
        <v>https://patents.google.com/patent/CN101453398A/en</v>
      </c>
    </row>
    <row r="4748" spans="3:5" x14ac:dyDescent="0.25">
      <c r="C4748" t="s">
        <v>8371</v>
      </c>
      <c r="D4748" t="s">
        <v>8372</v>
      </c>
      <c r="E4748" t="str">
        <f>HYPERLINK("https://patents.google.com/patent/US2422009A/en")</f>
        <v>https://patents.google.com/patent/US2422009A/en</v>
      </c>
    </row>
    <row r="4749" spans="3:5" x14ac:dyDescent="0.25">
      <c r="C4749" t="s">
        <v>8373</v>
      </c>
      <c r="D4749" t="s">
        <v>8374</v>
      </c>
      <c r="E4749" t="str">
        <f>HYPERLINK("https://patents.google.com/patent/US8831205B1/en")</f>
        <v>https://patents.google.com/patent/US8831205B1/en</v>
      </c>
    </row>
    <row r="4750" spans="3:5" x14ac:dyDescent="0.25">
      <c r="C4750" t="s">
        <v>8375</v>
      </c>
      <c r="D4750" t="s">
        <v>8376</v>
      </c>
      <c r="E4750" t="str">
        <f>HYPERLINK("https://patents.google.com/patent/US6669486B2/en")</f>
        <v>https://patents.google.com/patent/US6669486B2/en</v>
      </c>
    </row>
    <row r="4751" spans="3:5" x14ac:dyDescent="0.25">
      <c r="C4751" t="s">
        <v>8377</v>
      </c>
      <c r="D4751" t="s">
        <v>8378</v>
      </c>
      <c r="E4751" t="str">
        <f>HYPERLINK("https://patents.google.com/patent/JP4450515B2/en")</f>
        <v>https://patents.google.com/patent/JP4450515B2/en</v>
      </c>
    </row>
    <row r="4752" spans="3:5" x14ac:dyDescent="0.25">
      <c r="C4752" t="s">
        <v>8379</v>
      </c>
      <c r="D4752" t="s">
        <v>8380</v>
      </c>
      <c r="E4752" t="str">
        <f>HYPERLINK("https://patents.google.com/patent/US6542880B2/en")</f>
        <v>https://patents.google.com/patent/US6542880B2/en</v>
      </c>
    </row>
    <row r="4753" spans="3:5" x14ac:dyDescent="0.25">
      <c r="C4753" t="s">
        <v>8381</v>
      </c>
      <c r="D4753" t="s">
        <v>8382</v>
      </c>
      <c r="E4753" t="str">
        <f>HYPERLINK("https://patents.google.com/patent/WO2000045588A1/en")</f>
        <v>https://patents.google.com/patent/WO2000045588A1/en</v>
      </c>
    </row>
    <row r="4754" spans="3:5" x14ac:dyDescent="0.25">
      <c r="C4754" t="s">
        <v>8010</v>
      </c>
      <c r="D4754" t="s">
        <v>8383</v>
      </c>
      <c r="E4754" t="str">
        <f>HYPERLINK("https://patents.google.com/patent/WO2004012141A2/en")</f>
        <v>https://patents.google.com/patent/WO2004012141A2/en</v>
      </c>
    </row>
    <row r="4755" spans="3:5" x14ac:dyDescent="0.25">
      <c r="C4755" t="s">
        <v>8384</v>
      </c>
      <c r="D4755" t="s">
        <v>8385</v>
      </c>
      <c r="E4755" t="str">
        <f>HYPERLINK("https://patents.google.com/patent/US3407895A/en")</f>
        <v>https://patents.google.com/patent/US3407895A/en</v>
      </c>
    </row>
    <row r="4756" spans="3:5" x14ac:dyDescent="0.25">
      <c r="C4756" t="s">
        <v>8386</v>
      </c>
      <c r="D4756" t="s">
        <v>8387</v>
      </c>
      <c r="E4756" t="str">
        <f>HYPERLINK("https://patents.google.com/patent/US9336302B1/en")</f>
        <v>https://patents.google.com/patent/US9336302B1/en</v>
      </c>
    </row>
    <row r="4757" spans="3:5" x14ac:dyDescent="0.25">
      <c r="C4757" t="s">
        <v>8388</v>
      </c>
      <c r="D4757" t="s">
        <v>8389</v>
      </c>
      <c r="E4757" t="str">
        <f>HYPERLINK("https://patents.google.com/patent/US20090205363A1/en")</f>
        <v>https://patents.google.com/patent/US20090205363A1/en</v>
      </c>
    </row>
    <row r="4758" spans="3:5" x14ac:dyDescent="0.25">
      <c r="C4758" t="s">
        <v>8390</v>
      </c>
      <c r="D4758" t="s">
        <v>8391</v>
      </c>
      <c r="E4758" t="str">
        <f>HYPERLINK("https://patents.google.com/patent/US20090234680A1/en")</f>
        <v>https://patents.google.com/patent/US20090234680A1/en</v>
      </c>
    </row>
    <row r="4759" spans="3:5" x14ac:dyDescent="0.25">
      <c r="C4759" t="s">
        <v>8392</v>
      </c>
      <c r="D4759" t="s">
        <v>8393</v>
      </c>
      <c r="E4759" t="str">
        <f>HYPERLINK("https://patents.google.com/patent/US20100114595A1/en")</f>
        <v>https://patents.google.com/patent/US20100114595A1/en</v>
      </c>
    </row>
    <row r="4760" spans="3:5" x14ac:dyDescent="0.25">
      <c r="C4760" t="s">
        <v>8394</v>
      </c>
      <c r="D4760" t="s">
        <v>8395</v>
      </c>
      <c r="E4760" t="str">
        <f>HYPERLINK("https://patents.google.com/patent/US7065512B1/en")</f>
        <v>https://patents.google.com/patent/US7065512B1/en</v>
      </c>
    </row>
    <row r="4761" spans="3:5" x14ac:dyDescent="0.25">
      <c r="C4761" t="s">
        <v>8396</v>
      </c>
      <c r="D4761" t="s">
        <v>8397</v>
      </c>
      <c r="E4761" t="str">
        <f>HYPERLINK("https://patents.google.com/patent/DE102014106400A1/en")</f>
        <v>https://patents.google.com/patent/DE102014106400A1/en</v>
      </c>
    </row>
    <row r="4762" spans="3:5" x14ac:dyDescent="0.25">
      <c r="C4762" t="s">
        <v>8162</v>
      </c>
      <c r="D4762" t="s">
        <v>8398</v>
      </c>
      <c r="E4762" t="str">
        <f>HYPERLINK("https://patents.google.com/patent/US20150169336A1/en")</f>
        <v>https://patents.google.com/patent/US20150169336A1/en</v>
      </c>
    </row>
    <row r="4763" spans="3:5" x14ac:dyDescent="0.25">
      <c r="C4763" t="s">
        <v>8399</v>
      </c>
      <c r="D4763" t="s">
        <v>8400</v>
      </c>
      <c r="E4763" t="str">
        <f>HYPERLINK("https://patents.google.com/patent/JP2001273226A/en")</f>
        <v>https://patents.google.com/patent/JP2001273226A/en</v>
      </c>
    </row>
    <row r="4764" spans="3:5" x14ac:dyDescent="0.25">
      <c r="C4764" t="s">
        <v>8401</v>
      </c>
      <c r="D4764" t="s">
        <v>8402</v>
      </c>
      <c r="E4764" t="str">
        <f>HYPERLINK("https://patents.google.com/patent/US20140129371A1/en")</f>
        <v>https://patents.google.com/patent/US20140129371A1/en</v>
      </c>
    </row>
    <row r="4765" spans="3:5" x14ac:dyDescent="0.25">
      <c r="C4765" t="s">
        <v>7867</v>
      </c>
      <c r="D4765" t="s">
        <v>8403</v>
      </c>
      <c r="E4765" t="str">
        <f>HYPERLINK("https://patents.google.com/patent/US20140268008A1/en")</f>
        <v>https://patents.google.com/patent/US20140268008A1/en</v>
      </c>
    </row>
    <row r="4766" spans="3:5" x14ac:dyDescent="0.25">
      <c r="C4766" t="s">
        <v>8404</v>
      </c>
      <c r="D4766" t="s">
        <v>8405</v>
      </c>
      <c r="E4766" t="str">
        <f>HYPERLINK("https://patents.google.com/patent/US20070064263A1/en")</f>
        <v>https://patents.google.com/patent/US20070064263A1/en</v>
      </c>
    </row>
    <row r="4767" spans="3:5" x14ac:dyDescent="0.25">
      <c r="C4767" t="s">
        <v>8406</v>
      </c>
      <c r="D4767" t="s">
        <v>8407</v>
      </c>
      <c r="E4767" t="str">
        <f>HYPERLINK("https://patents.google.com/patent/US20150072330A1/en")</f>
        <v>https://patents.google.com/patent/US20150072330A1/en</v>
      </c>
    </row>
    <row r="4768" spans="3:5" x14ac:dyDescent="0.25">
      <c r="C4768" t="s">
        <v>8408</v>
      </c>
      <c r="D4768" t="s">
        <v>8409</v>
      </c>
      <c r="E4768" t="str">
        <f>HYPERLINK("https://patents.google.com/patent/US20100057517A1/en")</f>
        <v>https://patents.google.com/patent/US20100057517A1/en</v>
      </c>
    </row>
    <row r="4769" spans="3:5" x14ac:dyDescent="0.25">
      <c r="C4769" t="s">
        <v>8410</v>
      </c>
      <c r="D4769" t="s">
        <v>8411</v>
      </c>
      <c r="E4769" t="str">
        <f>HYPERLINK("https://patents.google.com/patent/WO2007081519A2/en")</f>
        <v>https://patents.google.com/patent/WO2007081519A2/en</v>
      </c>
    </row>
    <row r="4770" spans="3:5" x14ac:dyDescent="0.25">
      <c r="C4770" t="s">
        <v>8412</v>
      </c>
      <c r="D4770" t="s">
        <v>8413</v>
      </c>
      <c r="E4770" t="str">
        <f>HYPERLINK("https://patents.google.com/patent/JPH10207504A/en")</f>
        <v>https://patents.google.com/patent/JPH10207504A/en</v>
      </c>
    </row>
    <row r="4771" spans="3:5" x14ac:dyDescent="0.25">
      <c r="C4771" t="s">
        <v>8414</v>
      </c>
      <c r="D4771" t="s">
        <v>8415</v>
      </c>
      <c r="E4771" t="str">
        <f>HYPERLINK("https://patents.google.com/patent/WO2001050387A1/en")</f>
        <v>https://patents.google.com/patent/WO2001050387A1/en</v>
      </c>
    </row>
    <row r="4772" spans="3:5" x14ac:dyDescent="0.25">
      <c r="C4772" t="s">
        <v>8416</v>
      </c>
      <c r="D4772" t="s">
        <v>8417</v>
      </c>
      <c r="E4772" t="str">
        <f>HYPERLINK("https://patents.google.com/patent/CN101395592A/en")</f>
        <v>https://patents.google.com/patent/CN101395592A/en</v>
      </c>
    </row>
    <row r="4773" spans="3:5" x14ac:dyDescent="0.25">
      <c r="C4773" t="s">
        <v>8418</v>
      </c>
      <c r="D4773" t="s">
        <v>8419</v>
      </c>
      <c r="E4773" t="str">
        <f>HYPERLINK("https://patents.google.com/patent/US20120310692A1/en")</f>
        <v>https://patents.google.com/patent/US20120310692A1/en</v>
      </c>
    </row>
    <row r="4774" spans="3:5" x14ac:dyDescent="0.25">
      <c r="C4774" t="s">
        <v>8420</v>
      </c>
      <c r="D4774" t="s">
        <v>8421</v>
      </c>
      <c r="E4774" t="str">
        <f>HYPERLINK("https://patents.google.com/patent/US20160071325A1/en")</f>
        <v>https://patents.google.com/patent/US20160071325A1/en</v>
      </c>
    </row>
    <row r="4775" spans="3:5" x14ac:dyDescent="0.25">
      <c r="C4775" t="s">
        <v>8422</v>
      </c>
      <c r="D4775" t="s">
        <v>8423</v>
      </c>
      <c r="E4775" t="str">
        <f>HYPERLINK("https://patents.google.com/patent/US20130226674A1/en")</f>
        <v>https://patents.google.com/patent/US20130226674A1/en</v>
      </c>
    </row>
    <row r="4776" spans="3:5" x14ac:dyDescent="0.25">
      <c r="C4776" t="s">
        <v>8220</v>
      </c>
      <c r="D4776" t="s">
        <v>8424</v>
      </c>
      <c r="E4776" t="str">
        <f>HYPERLINK("https://patents.google.com/patent/US20140244447A1/en")</f>
        <v>https://patents.google.com/patent/US20140244447A1/en</v>
      </c>
    </row>
    <row r="4777" spans="3:5" x14ac:dyDescent="0.25">
      <c r="C4777" t="s">
        <v>8425</v>
      </c>
      <c r="D4777" t="s">
        <v>8426</v>
      </c>
      <c r="E4777" t="str">
        <f>HYPERLINK("https://patents.google.com/patent/US20120256395A1/en")</f>
        <v>https://patents.google.com/patent/US20120256395A1/en</v>
      </c>
    </row>
    <row r="4778" spans="3:5" x14ac:dyDescent="0.25">
      <c r="C4778" t="s">
        <v>8427</v>
      </c>
      <c r="D4778" t="s">
        <v>8428</v>
      </c>
      <c r="E4778" t="str">
        <f>HYPERLINK("https://patents.google.com/patent/US20160335686A1/en")</f>
        <v>https://patents.google.com/patent/US20160335686A1/en</v>
      </c>
    </row>
    <row r="4779" spans="3:5" x14ac:dyDescent="0.25">
      <c r="C4779" t="s">
        <v>8429</v>
      </c>
      <c r="D4779" t="s">
        <v>8430</v>
      </c>
      <c r="E4779" t="str">
        <f>HYPERLINK("https://patents.google.com/patent/WO2000045319A1/en")</f>
        <v>https://patents.google.com/patent/WO2000045319A1/en</v>
      </c>
    </row>
    <row r="4780" spans="3:5" x14ac:dyDescent="0.25">
      <c r="C4780" t="s">
        <v>8431</v>
      </c>
      <c r="D4780" t="s">
        <v>8432</v>
      </c>
      <c r="E4780" t="str">
        <f>HYPERLINK("https://patents.google.com/patent/US7194444B1/en")</f>
        <v>https://patents.google.com/patent/US7194444B1/en</v>
      </c>
    </row>
    <row r="4781" spans="3:5" x14ac:dyDescent="0.25">
      <c r="C4781" t="s">
        <v>8433</v>
      </c>
      <c r="D4781" t="s">
        <v>8434</v>
      </c>
      <c r="E4781" t="str">
        <f>HYPERLINK("https://patents.google.com/patent/US20150297109A1/en")</f>
        <v>https://patents.google.com/patent/US20150297109A1/en</v>
      </c>
    </row>
    <row r="4782" spans="3:5" x14ac:dyDescent="0.25">
      <c r="C4782" t="s">
        <v>8435</v>
      </c>
      <c r="D4782" t="s">
        <v>8436</v>
      </c>
      <c r="E4782" t="str">
        <f>HYPERLINK("https://patents.google.com/patent/US20140277654A1/en")</f>
        <v>https://patents.google.com/patent/US20140277654A1/en</v>
      </c>
    </row>
    <row r="4783" spans="3:5" x14ac:dyDescent="0.25">
      <c r="C4783" t="s">
        <v>8437</v>
      </c>
      <c r="D4783" t="s">
        <v>8438</v>
      </c>
      <c r="E4783" t="str">
        <f>HYPERLINK("https://patents.google.com/patent/US20140172560A1/en")</f>
        <v>https://patents.google.com/patent/US20140172560A1/en</v>
      </c>
    </row>
    <row r="4784" spans="3:5" x14ac:dyDescent="0.25">
      <c r="C4784" t="s">
        <v>8439</v>
      </c>
      <c r="D4784" t="s">
        <v>8440</v>
      </c>
      <c r="E4784" t="str">
        <f>HYPERLINK("https://patents.google.com/patent/JP2000207333A/en")</f>
        <v>https://patents.google.com/patent/JP2000207333A/en</v>
      </c>
    </row>
    <row r="4785" spans="3:5" x14ac:dyDescent="0.25">
      <c r="C4785" t="s">
        <v>8441</v>
      </c>
      <c r="D4785" t="s">
        <v>8442</v>
      </c>
      <c r="E4785" t="str">
        <f>HYPERLINK("https://patents.google.com/patent/CN101512511A/en")</f>
        <v>https://patents.google.com/patent/CN101512511A/en</v>
      </c>
    </row>
    <row r="4786" spans="3:5" x14ac:dyDescent="0.25">
      <c r="C4786" t="s">
        <v>8443</v>
      </c>
      <c r="D4786" t="s">
        <v>8444</v>
      </c>
      <c r="E4786" t="str">
        <f>HYPERLINK("https://patents.google.com/patent/WO2006012892A2/en")</f>
        <v>https://patents.google.com/patent/WO2006012892A2/en</v>
      </c>
    </row>
    <row r="4787" spans="3:5" x14ac:dyDescent="0.25">
      <c r="C4787" t="s">
        <v>8445</v>
      </c>
      <c r="D4787" t="s">
        <v>8446</v>
      </c>
      <c r="E4787" t="str">
        <f>HYPERLINK("https://patents.google.com/patent/US20150362581A1/en")</f>
        <v>https://patents.google.com/patent/US20150362581A1/en</v>
      </c>
    </row>
    <row r="4788" spans="3:5" x14ac:dyDescent="0.25">
      <c r="C4788" t="s">
        <v>8447</v>
      </c>
      <c r="D4788" t="s">
        <v>8448</v>
      </c>
      <c r="E4788" t="str">
        <f>HYPERLINK("https://patents.google.com/patent/US20150277849A1/en")</f>
        <v>https://patents.google.com/patent/US20150277849A1/en</v>
      </c>
    </row>
    <row r="4789" spans="3:5" x14ac:dyDescent="0.25">
      <c r="C4789" t="s">
        <v>8449</v>
      </c>
      <c r="D4789" t="s">
        <v>8450</v>
      </c>
      <c r="E4789" t="str">
        <f>HYPERLINK("https://patents.google.com/patent/JP2007505412A/en")</f>
        <v>https://patents.google.com/patent/JP2007505412A/en</v>
      </c>
    </row>
    <row r="4790" spans="3:5" x14ac:dyDescent="0.25">
      <c r="C4790" t="s">
        <v>8451</v>
      </c>
      <c r="D4790" t="s">
        <v>8452</v>
      </c>
      <c r="E4790" t="str">
        <f>HYPERLINK("https://patents.google.com/patent/US20140331189A1/en")</f>
        <v>https://patents.google.com/patent/US20140331189A1/en</v>
      </c>
    </row>
    <row r="4791" spans="3:5" x14ac:dyDescent="0.25">
      <c r="C4791" t="s">
        <v>8453</v>
      </c>
      <c r="D4791" t="s">
        <v>8454</v>
      </c>
      <c r="E4791" t="str">
        <f>HYPERLINK("https://patents.google.com/patent/US7065513B1/en")</f>
        <v>https://patents.google.com/patent/US7065513B1/en</v>
      </c>
    </row>
    <row r="4792" spans="3:5" x14ac:dyDescent="0.25">
      <c r="C4792" t="s">
        <v>8455</v>
      </c>
      <c r="D4792" t="s">
        <v>8456</v>
      </c>
      <c r="E4792" t="str">
        <f>HYPERLINK("https://patents.google.com/patent/US6970858B1/en")</f>
        <v>https://patents.google.com/patent/US6970858B1/en</v>
      </c>
    </row>
    <row r="4793" spans="3:5" x14ac:dyDescent="0.25">
      <c r="C4793" t="s">
        <v>8457</v>
      </c>
      <c r="D4793" t="s">
        <v>8458</v>
      </c>
      <c r="E4793" t="str">
        <f>HYPERLINK("https://patents.google.com/patent/US20110145166A1/en")</f>
        <v>https://patents.google.com/patent/US20110145166A1/en</v>
      </c>
    </row>
    <row r="4794" spans="3:5" x14ac:dyDescent="0.25">
      <c r="C4794" t="s">
        <v>8459</v>
      </c>
      <c r="D4794" t="s">
        <v>8460</v>
      </c>
      <c r="E4794" t="str">
        <f>HYPERLINK("https://patents.google.com/patent/CN101459908A/en")</f>
        <v>https://patents.google.com/patent/CN101459908A/en</v>
      </c>
    </row>
    <row r="4795" spans="3:5" x14ac:dyDescent="0.25">
      <c r="C4795" t="s">
        <v>8461</v>
      </c>
      <c r="D4795" t="s">
        <v>8462</v>
      </c>
      <c r="E4795" t="str">
        <f>HYPERLINK("https://patents.google.com/patent/JP2005536260A/en")</f>
        <v>https://patents.google.com/patent/JP2005536260A/en</v>
      </c>
    </row>
    <row r="4796" spans="3:5" x14ac:dyDescent="0.25">
      <c r="C4796" t="s">
        <v>8463</v>
      </c>
      <c r="D4796" t="s">
        <v>8464</v>
      </c>
      <c r="E4796" t="str">
        <f>HYPERLINK("https://patents.google.com/patent/CN101553795A/en")</f>
        <v>https://patents.google.com/patent/CN101553795A/en</v>
      </c>
    </row>
    <row r="4797" spans="3:5" x14ac:dyDescent="0.25">
      <c r="C4797" t="s">
        <v>8465</v>
      </c>
      <c r="D4797" t="s">
        <v>8466</v>
      </c>
      <c r="E4797" t="str">
        <f>HYPERLINK("https://patents.google.com/patent/JP2000207334A/en")</f>
        <v>https://patents.google.com/patent/JP2000207334A/en</v>
      </c>
    </row>
    <row r="4798" spans="3:5" x14ac:dyDescent="0.25">
      <c r="C4798" t="s">
        <v>8467</v>
      </c>
      <c r="D4798" t="s">
        <v>8468</v>
      </c>
      <c r="E4798" t="str">
        <f>HYPERLINK("https://patents.google.com/patent/US3274807A/en")</f>
        <v>https://patents.google.com/patent/US3274807A/en</v>
      </c>
    </row>
    <row r="4799" spans="3:5" x14ac:dyDescent="0.25">
      <c r="C4799" t="s">
        <v>5965</v>
      </c>
      <c r="D4799" t="s">
        <v>8469</v>
      </c>
      <c r="E4799" t="str">
        <f>HYPERLINK("https://patents.google.com/patent/WO2003090978A1/en")</f>
        <v>https://patents.google.com/patent/WO2003090978A1/en</v>
      </c>
    </row>
    <row r="4800" spans="3:5" x14ac:dyDescent="0.25">
      <c r="C4800" t="s">
        <v>8470</v>
      </c>
      <c r="D4800" t="s">
        <v>8471</v>
      </c>
      <c r="E4800" t="str">
        <f>HYPERLINK("https://patents.google.com/patent/WO1997031441A1/en")</f>
        <v>https://patents.google.com/patent/WO1997031441A1/en</v>
      </c>
    </row>
    <row r="4801" spans="3:5" x14ac:dyDescent="0.25">
      <c r="C4801" t="s">
        <v>8472</v>
      </c>
      <c r="D4801" t="s">
        <v>8473</v>
      </c>
      <c r="E4801" t="str">
        <f>HYPERLINK("https://patents.google.com/patent/CN102756805A/en")</f>
        <v>https://patents.google.com/patent/CN102756805A/en</v>
      </c>
    </row>
    <row r="4802" spans="3:5" x14ac:dyDescent="0.25">
      <c r="C4802" t="s">
        <v>8474</v>
      </c>
      <c r="D4802" t="s">
        <v>8475</v>
      </c>
      <c r="E4802" t="str">
        <f>HYPERLINK("https://patents.google.com/patent/CN1371510A/en")</f>
        <v>https://patents.google.com/patent/CN1371510A/en</v>
      </c>
    </row>
    <row r="4803" spans="3:5" x14ac:dyDescent="0.25">
      <c r="C4803" t="s">
        <v>6882</v>
      </c>
      <c r="D4803" t="s">
        <v>8476</v>
      </c>
      <c r="E4803" t="str">
        <f>HYPERLINK("https://patents.google.com/patent/WO2006116240A2/en")</f>
        <v>https://patents.google.com/patent/WO2006116240A2/en</v>
      </c>
    </row>
    <row r="4804" spans="3:5" x14ac:dyDescent="0.25">
      <c r="C4804" t="s">
        <v>8477</v>
      </c>
      <c r="D4804" t="s">
        <v>8478</v>
      </c>
      <c r="E4804" t="str">
        <f>HYPERLINK("https://patents.google.com/patent/WO2011004381A1/en")</f>
        <v>https://patents.google.com/patent/WO2011004381A1/en</v>
      </c>
    </row>
    <row r="4805" spans="3:5" x14ac:dyDescent="0.25">
      <c r="C4805" t="s">
        <v>8479</v>
      </c>
      <c r="D4805" t="s">
        <v>8480</v>
      </c>
      <c r="E4805" t="str">
        <f>HYPERLINK("https://patents.google.com/patent/US3729536A/en")</f>
        <v>https://patents.google.com/patent/US3729536A/en</v>
      </c>
    </row>
    <row r="4806" spans="3:5" x14ac:dyDescent="0.25">
      <c r="C4806" t="s">
        <v>8481</v>
      </c>
      <c r="D4806" t="s">
        <v>8482</v>
      </c>
      <c r="E4806" t="str">
        <f>HYPERLINK("https://patents.google.com/patent/WO2000073957A2/en")</f>
        <v>https://patents.google.com/patent/WO2000073957A2/en</v>
      </c>
    </row>
    <row r="4807" spans="3:5" x14ac:dyDescent="0.25">
      <c r="C4807" t="s">
        <v>8483</v>
      </c>
      <c r="D4807" t="s">
        <v>8484</v>
      </c>
      <c r="E4807" t="str">
        <f>HYPERLINK("https://patents.google.com/patent/JP2008520173A/en")</f>
        <v>https://patents.google.com/patent/JP2008520173A/en</v>
      </c>
    </row>
    <row r="4808" spans="3:5" x14ac:dyDescent="0.25">
      <c r="C4808" t="s">
        <v>8485</v>
      </c>
      <c r="D4808" t="s">
        <v>8486</v>
      </c>
      <c r="E4808" t="str">
        <f>HYPERLINK("https://patents.google.com/patent/US20060147884A1/en")</f>
        <v>https://patents.google.com/patent/US20060147884A1/en</v>
      </c>
    </row>
    <row r="4809" spans="3:5" x14ac:dyDescent="0.25">
      <c r="C4809" t="s">
        <v>8487</v>
      </c>
      <c r="D4809" t="s">
        <v>8488</v>
      </c>
      <c r="E4809" t="str">
        <f>HYPERLINK("https://patents.google.com/patent/DE4345215B4/en")</f>
        <v>https://patents.google.com/patent/DE4345215B4/en</v>
      </c>
    </row>
    <row r="4810" spans="3:5" x14ac:dyDescent="0.25">
      <c r="C4810" t="s">
        <v>8489</v>
      </c>
      <c r="D4810" t="s">
        <v>8490</v>
      </c>
      <c r="E4810" t="str">
        <f>HYPERLINK("https://patents.google.com/patent/CN101076312A/en")</f>
        <v>https://patents.google.com/patent/CN101076312A/en</v>
      </c>
    </row>
    <row r="4811" spans="3:5" x14ac:dyDescent="0.25">
      <c r="C4811" t="s">
        <v>8491</v>
      </c>
      <c r="D4811" t="s">
        <v>8492</v>
      </c>
      <c r="E4811" t="str">
        <f>HYPERLINK("https://patents.google.com/patent/CN102730189A/en")</f>
        <v>https://patents.google.com/patent/CN102730189A/en</v>
      </c>
    </row>
    <row r="4812" spans="3:5" x14ac:dyDescent="0.25">
      <c r="C4812" t="s">
        <v>8493</v>
      </c>
      <c r="D4812" t="s">
        <v>8494</v>
      </c>
      <c r="E4812" t="str">
        <f>HYPERLINK("https://patents.google.com/patent/US20060150989A1/en")</f>
        <v>https://patents.google.com/patent/US20060150989A1/en</v>
      </c>
    </row>
    <row r="4813" spans="3:5" x14ac:dyDescent="0.25">
      <c r="C4813" t="s">
        <v>8495</v>
      </c>
      <c r="D4813" t="s">
        <v>8496</v>
      </c>
      <c r="E4813" t="str">
        <f>HYPERLINK("https://patents.google.com/patent/CN101505653A/en")</f>
        <v>https://patents.google.com/patent/CN101505653A/en</v>
      </c>
    </row>
    <row r="4814" spans="3:5" x14ac:dyDescent="0.25">
      <c r="C4814" t="s">
        <v>8497</v>
      </c>
      <c r="D4814" t="s">
        <v>8498</v>
      </c>
      <c r="E4814" t="str">
        <f>HYPERLINK("https://patents.google.com/patent/US20160011733A1/en")</f>
        <v>https://patents.google.com/patent/US20160011733A1/en</v>
      </c>
    </row>
    <row r="4815" spans="3:5" x14ac:dyDescent="0.25">
      <c r="C4815" t="s">
        <v>8499</v>
      </c>
      <c r="D4815" t="s">
        <v>8500</v>
      </c>
      <c r="E4815" t="str">
        <f>HYPERLINK("https://patents.google.com/patent/US20100028841A1/en")</f>
        <v>https://patents.google.com/patent/US20100028841A1/en</v>
      </c>
    </row>
    <row r="4816" spans="3:5" x14ac:dyDescent="0.25">
      <c r="C4816" t="s">
        <v>8501</v>
      </c>
      <c r="D4816" t="s">
        <v>8502</v>
      </c>
      <c r="E4816" t="str">
        <f>HYPERLINK("https://patents.google.com/patent/WO1995027652A1/en")</f>
        <v>https://patents.google.com/patent/WO1995027652A1/en</v>
      </c>
    </row>
    <row r="4817" spans="3:5" x14ac:dyDescent="0.25">
      <c r="C4817" t="s">
        <v>8503</v>
      </c>
      <c r="D4817" t="s">
        <v>8504</v>
      </c>
      <c r="E4817" t="str">
        <f>HYPERLINK("https://patents.google.com/patent/US20140079279A1/en")</f>
        <v>https://patents.google.com/patent/US20140079279A1/en</v>
      </c>
    </row>
    <row r="4818" spans="3:5" x14ac:dyDescent="0.25">
      <c r="C4818" t="s">
        <v>8505</v>
      </c>
      <c r="D4818" t="s">
        <v>8506</v>
      </c>
      <c r="E4818" t="str">
        <f>HYPERLINK("https://patents.google.com/patent/US20150242944A1/en")</f>
        <v>https://patents.google.com/patent/US20150242944A1/en</v>
      </c>
    </row>
    <row r="4819" spans="3:5" x14ac:dyDescent="0.25">
      <c r="C4819" t="s">
        <v>8507</v>
      </c>
      <c r="D4819" t="s">
        <v>8508</v>
      </c>
      <c r="E4819" t="str">
        <f>HYPERLINK("https://patents.google.com/patent/CN1031270A/en")</f>
        <v>https://patents.google.com/patent/CN1031270A/en</v>
      </c>
    </row>
    <row r="4820" spans="3:5" x14ac:dyDescent="0.25">
      <c r="C4820" t="s">
        <v>8509</v>
      </c>
      <c r="D4820" t="s">
        <v>8510</v>
      </c>
      <c r="E4820" t="str">
        <f>HYPERLINK("https://patents.google.com/patent/CN2600586Y/en")</f>
        <v>https://patents.google.com/patent/CN2600586Y/en</v>
      </c>
    </row>
    <row r="4821" spans="3:5" x14ac:dyDescent="0.25">
      <c r="C4821" t="s">
        <v>8511</v>
      </c>
      <c r="D4821" t="s">
        <v>8512</v>
      </c>
      <c r="E4821" t="str">
        <f>HYPERLINK("https://patents.google.com/patent/JP2005042291A/en")</f>
        <v>https://patents.google.com/patent/JP2005042291A/en</v>
      </c>
    </row>
    <row r="4822" spans="3:5" x14ac:dyDescent="0.25">
      <c r="C4822" t="s">
        <v>8513</v>
      </c>
      <c r="D4822" t="s">
        <v>8514</v>
      </c>
      <c r="E4822" t="str">
        <f>HYPERLINK("https://patents.google.com/patent/JP3153550U/en")</f>
        <v>https://patents.google.com/patent/JP3153550U/en</v>
      </c>
    </row>
    <row r="4823" spans="3:5" x14ac:dyDescent="0.25">
      <c r="C4823" t="s">
        <v>8515</v>
      </c>
      <c r="D4823" t="s">
        <v>8516</v>
      </c>
      <c r="E4823" t="str">
        <f>HYPERLINK("https://patents.google.com/patent/GB2193790A/en")</f>
        <v>https://patents.google.com/patent/GB2193790A/en</v>
      </c>
    </row>
    <row r="4824" spans="3:5" x14ac:dyDescent="0.25">
      <c r="C4824" t="s">
        <v>8517</v>
      </c>
      <c r="D4824" t="s">
        <v>8518</v>
      </c>
      <c r="E4824" t="str">
        <f>HYPERLINK("https://patents.google.com/patent/US9843624B1/en")</f>
        <v>https://patents.google.com/patent/US9843624B1/en</v>
      </c>
    </row>
    <row r="4825" spans="3:5" x14ac:dyDescent="0.25">
      <c r="C4825" t="s">
        <v>8519</v>
      </c>
      <c r="D4825" t="s">
        <v>8520</v>
      </c>
      <c r="E4825" t="str">
        <f>HYPERLINK("https://patents.google.com/patent/US20130173494A1/en")</f>
        <v>https://patents.google.com/patent/US20130173494A1/en</v>
      </c>
    </row>
    <row r="4826" spans="3:5" x14ac:dyDescent="0.25">
      <c r="C4826" t="s">
        <v>8521</v>
      </c>
      <c r="D4826" t="s">
        <v>8522</v>
      </c>
      <c r="E4826" t="str">
        <f>HYPERLINK("https://patents.google.com/patent/US20150220836A1/en")</f>
        <v>https://patents.google.com/patent/US20150220836A1/en</v>
      </c>
    </row>
    <row r="4827" spans="3:5" x14ac:dyDescent="0.25">
      <c r="C4827" t="s">
        <v>8523</v>
      </c>
      <c r="D4827" t="s">
        <v>8524</v>
      </c>
      <c r="E4827" t="str">
        <f>HYPERLINK("https://patents.google.com/patent/FR2522182A1/en")</f>
        <v>https://patents.google.com/patent/FR2522182A1/en</v>
      </c>
    </row>
    <row r="4828" spans="3:5" x14ac:dyDescent="0.25">
      <c r="C4828" t="s">
        <v>8525</v>
      </c>
      <c r="D4828" t="s">
        <v>8526</v>
      </c>
      <c r="E4828" t="str">
        <f>HYPERLINK("https://patents.google.com/patent/FR2507959A1/en")</f>
        <v>https://patents.google.com/patent/FR2507959A1/en</v>
      </c>
    </row>
    <row r="4829" spans="3:5" x14ac:dyDescent="0.25">
      <c r="C4829" t="s">
        <v>8527</v>
      </c>
      <c r="D4829" t="s">
        <v>8528</v>
      </c>
      <c r="E4829" t="str">
        <f>HYPERLINK("https://patents.google.com/patent/US8287209B2/en")</f>
        <v>https://patents.google.com/patent/US8287209B2/en</v>
      </c>
    </row>
    <row r="4830" spans="3:5" x14ac:dyDescent="0.25">
      <c r="C4830" t="s">
        <v>8529</v>
      </c>
      <c r="D4830" t="s">
        <v>8530</v>
      </c>
      <c r="E4830" t="str">
        <f>HYPERLINK("https://patents.google.com/patent/CN1972155A/en")</f>
        <v>https://patents.google.com/patent/CN1972155A/en</v>
      </c>
    </row>
    <row r="4831" spans="3:5" x14ac:dyDescent="0.25">
      <c r="C4831" t="s">
        <v>8531</v>
      </c>
      <c r="D4831" t="s">
        <v>8532</v>
      </c>
      <c r="E4831" t="str">
        <f>HYPERLINK("https://patents.google.com/patent/US2173289A/en")</f>
        <v>https://patents.google.com/patent/US2173289A/en</v>
      </c>
    </row>
    <row r="4832" spans="3:5" x14ac:dyDescent="0.25">
      <c r="C4832" t="s">
        <v>8533</v>
      </c>
      <c r="D4832" t="s">
        <v>8534</v>
      </c>
      <c r="E4832" t="str">
        <f>HYPERLINK("https://patents.google.com/patent/US20080161968A1/en")</f>
        <v>https://patents.google.com/patent/US20080161968A1/en</v>
      </c>
    </row>
    <row r="4833" spans="3:5" x14ac:dyDescent="0.25">
      <c r="C4833" t="s">
        <v>8535</v>
      </c>
      <c r="D4833" t="s">
        <v>8536</v>
      </c>
      <c r="E4833" t="str">
        <f>HYPERLINK("https://patents.google.com/patent/KR20090100000A/en")</f>
        <v>https://patents.google.com/patent/KR20090100000A/en</v>
      </c>
    </row>
    <row r="4834" spans="3:5" x14ac:dyDescent="0.25">
      <c r="C4834" t="s">
        <v>8048</v>
      </c>
      <c r="D4834" t="s">
        <v>8537</v>
      </c>
      <c r="E4834" t="str">
        <f>HYPERLINK("https://patents.google.com/patent/KR20020003394A/en")</f>
        <v>https://patents.google.com/patent/KR20020003394A/en</v>
      </c>
    </row>
    <row r="4835" spans="3:5" x14ac:dyDescent="0.25">
      <c r="C4835" t="s">
        <v>8538</v>
      </c>
      <c r="D4835" t="s">
        <v>8539</v>
      </c>
      <c r="E4835" t="str">
        <f>HYPERLINK("https://patents.google.com/patent/CN203931447U/en")</f>
        <v>https://patents.google.com/patent/CN203931447U/en</v>
      </c>
    </row>
    <row r="4836" spans="3:5" x14ac:dyDescent="0.25">
      <c r="C4836" t="s">
        <v>8540</v>
      </c>
      <c r="D4836" t="s">
        <v>8541</v>
      </c>
      <c r="E4836" t="str">
        <f>HYPERLINK("https://patents.google.com/patent/DE102012201579A1/en")</f>
        <v>https://patents.google.com/patent/DE102012201579A1/en</v>
      </c>
    </row>
    <row r="4837" spans="3:5" x14ac:dyDescent="0.25">
      <c r="C4837" t="s">
        <v>8542</v>
      </c>
      <c r="D4837" t="s">
        <v>8543</v>
      </c>
      <c r="E4837" t="str">
        <f>HYPERLINK("https://patents.google.com/patent/CN105430767A/en")</f>
        <v>https://patents.google.com/patent/CN105430767A/en</v>
      </c>
    </row>
    <row r="4838" spans="3:5" x14ac:dyDescent="0.25">
      <c r="C4838" t="s">
        <v>8544</v>
      </c>
      <c r="D4838" t="s">
        <v>8545</v>
      </c>
      <c r="E4838" t="str">
        <f>HYPERLINK("https://patents.google.com/patent/CN102756625A/en")</f>
        <v>https://patents.google.com/patent/CN102756625A/en</v>
      </c>
    </row>
    <row r="4839" spans="3:5" x14ac:dyDescent="0.25">
      <c r="C4839" t="s">
        <v>8546</v>
      </c>
      <c r="D4839" t="s">
        <v>8547</v>
      </c>
      <c r="E4839" t="str">
        <f>HYPERLINK("https://patents.google.com/patent/US20120220176A1/en")</f>
        <v>https://patents.google.com/patent/US20120220176A1/en</v>
      </c>
    </row>
    <row r="4840" spans="3:5" x14ac:dyDescent="0.25">
      <c r="C4840" t="s">
        <v>8548</v>
      </c>
      <c r="D4840" t="s">
        <v>8549</v>
      </c>
      <c r="E4840" t="str">
        <f>HYPERLINK("https://patents.google.com/patent/WO2013039573A2/en")</f>
        <v>https://patents.google.com/patent/WO2013039573A2/en</v>
      </c>
    </row>
    <row r="4841" spans="3:5" x14ac:dyDescent="0.25">
      <c r="C4841" t="s">
        <v>8550</v>
      </c>
      <c r="D4841" t="s">
        <v>8551</v>
      </c>
      <c r="E4841" t="str">
        <f>HYPERLINK("https://patents.google.com/patent/WO2008083511A1/en")</f>
        <v>https://patents.google.com/patent/WO2008083511A1/en</v>
      </c>
    </row>
    <row r="4842" spans="3:5" x14ac:dyDescent="0.25">
      <c r="C4842" t="s">
        <v>8552</v>
      </c>
      <c r="D4842" t="s">
        <v>8553</v>
      </c>
      <c r="E4842" t="str">
        <f>HYPERLINK("https://patents.google.com/patent/US20100298305A1/en")</f>
        <v>https://patents.google.com/patent/US20100298305A1/en</v>
      </c>
    </row>
    <row r="4843" spans="3:5" x14ac:dyDescent="0.25">
      <c r="C4843" t="s">
        <v>8554</v>
      </c>
      <c r="D4843" t="s">
        <v>8555</v>
      </c>
      <c r="E4843" t="str">
        <f>HYPERLINK("https://patents.google.com/patent/US20150254214A1/en")</f>
        <v>https://patents.google.com/patent/US20150254214A1/en</v>
      </c>
    </row>
    <row r="4844" spans="3:5" x14ac:dyDescent="0.25">
      <c r="C4844" t="s">
        <v>8556</v>
      </c>
      <c r="D4844" t="s">
        <v>8557</v>
      </c>
      <c r="E4844" t="str">
        <f>HYPERLINK("https://patents.google.com/patent/CN201378412Y/en")</f>
        <v>https://patents.google.com/patent/CN201378412Y/en</v>
      </c>
    </row>
    <row r="4845" spans="3:5" x14ac:dyDescent="0.25">
      <c r="C4845" t="s">
        <v>8546</v>
      </c>
      <c r="D4845" t="s">
        <v>8558</v>
      </c>
      <c r="E4845" t="str">
        <f>HYPERLINK("https://patents.google.com/patent/US20140004761A1/en")</f>
        <v>https://patents.google.com/patent/US20140004761A1/en</v>
      </c>
    </row>
    <row r="4846" spans="3:5" x14ac:dyDescent="0.25">
      <c r="C4846" t="s">
        <v>8559</v>
      </c>
      <c r="D4846" t="s">
        <v>8560</v>
      </c>
      <c r="E4846" t="str">
        <f>HYPERLINK("https://patents.google.com/patent/WO2001082202A2/en")</f>
        <v>https://patents.google.com/patent/WO2001082202A2/en</v>
      </c>
    </row>
    <row r="4847" spans="3:5" x14ac:dyDescent="0.25">
      <c r="C4847" t="s">
        <v>8561</v>
      </c>
      <c r="D4847" t="s">
        <v>8562</v>
      </c>
      <c r="E4847" t="str">
        <f>HYPERLINK("https://patents.google.com/patent/DE102012103638A1/en")</f>
        <v>https://patents.google.com/patent/DE102012103638A1/en</v>
      </c>
    </row>
    <row r="4848" spans="3:5" x14ac:dyDescent="0.25">
      <c r="C4848" t="s">
        <v>8563</v>
      </c>
      <c r="D4848" t="s">
        <v>8564</v>
      </c>
      <c r="E4848" t="str">
        <f>HYPERLINK("https://patents.google.com/patent/CN102756804A/en")</f>
        <v>https://patents.google.com/patent/CN102756804A/en</v>
      </c>
    </row>
    <row r="4849" spans="3:5" x14ac:dyDescent="0.25">
      <c r="C4849" t="s">
        <v>8565</v>
      </c>
      <c r="D4849" t="s">
        <v>8566</v>
      </c>
      <c r="E4849" t="str">
        <f>HYPERLINK("https://patents.google.com/patent/CN1840904A/en")</f>
        <v>https://patents.google.com/patent/CN1840904A/en</v>
      </c>
    </row>
    <row r="4850" spans="3:5" x14ac:dyDescent="0.25">
      <c r="C4850" t="s">
        <v>8567</v>
      </c>
      <c r="D4850" t="s">
        <v>8568</v>
      </c>
      <c r="E4850" t="str">
        <f>HYPERLINK("https://patents.google.com/patent/CN1088665A/en")</f>
        <v>https://patents.google.com/patent/CN1088665A/en</v>
      </c>
    </row>
    <row r="4851" spans="3:5" x14ac:dyDescent="0.25">
      <c r="C4851" t="s">
        <v>8569</v>
      </c>
      <c r="D4851" t="s">
        <v>8570</v>
      </c>
      <c r="E4851" t="str">
        <f>HYPERLINK("https://patents.google.com/patent/CN101356506A/en")</f>
        <v>https://patents.google.com/patent/CN101356506A/en</v>
      </c>
    </row>
    <row r="4852" spans="3:5" x14ac:dyDescent="0.25">
      <c r="C4852" t="s">
        <v>8571</v>
      </c>
      <c r="D4852" t="s">
        <v>8572</v>
      </c>
      <c r="E4852" t="str">
        <f>HYPERLINK("https://patents.google.com/patent/CN202147830U/en")</f>
        <v>https://patents.google.com/patent/CN202147830U/en</v>
      </c>
    </row>
    <row r="4853" spans="3:5" x14ac:dyDescent="0.25">
      <c r="C4853" t="s">
        <v>8573</v>
      </c>
      <c r="D4853" t="s">
        <v>8574</v>
      </c>
      <c r="E4853" t="str">
        <f>HYPERLINK("https://patents.google.com/patent/EP0143728A1/en")</f>
        <v>https://patents.google.com/patent/EP0143728A1/en</v>
      </c>
    </row>
    <row r="4854" spans="3:5" x14ac:dyDescent="0.25">
      <c r="C4854" t="s">
        <v>8575</v>
      </c>
      <c r="D4854" t="s">
        <v>8576</v>
      </c>
      <c r="E4854" t="str">
        <f>HYPERLINK("https://patents.google.com/patent/CN1630620A/en")</f>
        <v>https://patents.google.com/patent/CN1630620A/en</v>
      </c>
    </row>
    <row r="4855" spans="3:5" x14ac:dyDescent="0.25">
      <c r="C4855" t="s">
        <v>8577</v>
      </c>
      <c r="D4855" t="s">
        <v>8578</v>
      </c>
      <c r="E4855" t="str">
        <f>HYPERLINK("https://patents.google.com/patent/CN1727616A/en")</f>
        <v>https://patents.google.com/patent/CN1727616A/en</v>
      </c>
    </row>
    <row r="4856" spans="3:5" x14ac:dyDescent="0.25">
      <c r="C4856" t="s">
        <v>8579</v>
      </c>
      <c r="D4856" t="s">
        <v>8580</v>
      </c>
      <c r="E4856" t="str">
        <f>HYPERLINK("https://patents.google.com/patent/CN102710785A/en")</f>
        <v>https://patents.google.com/patent/CN102710785A/en</v>
      </c>
    </row>
    <row r="4857" spans="3:5" x14ac:dyDescent="0.25">
      <c r="C4857" t="s">
        <v>8581</v>
      </c>
      <c r="D4857" t="s">
        <v>8582</v>
      </c>
      <c r="E4857" t="str">
        <f>HYPERLINK("https://patents.google.com/patent/CN201367888Y/en")</f>
        <v>https://patents.google.com/patent/CN201367888Y/en</v>
      </c>
    </row>
    <row r="4858" spans="3:5" x14ac:dyDescent="0.25">
      <c r="C4858" t="s">
        <v>8583</v>
      </c>
      <c r="D4858" t="s">
        <v>8584</v>
      </c>
      <c r="E4858" t="str">
        <f>HYPERLINK("https://patents.google.com/patent/DE4322677B4/en")</f>
        <v>https://patents.google.com/patent/DE4322677B4/en</v>
      </c>
    </row>
    <row r="4859" spans="3:5" x14ac:dyDescent="0.25">
      <c r="C4859" t="s">
        <v>8585</v>
      </c>
      <c r="D4859" t="s">
        <v>8586</v>
      </c>
      <c r="E4859" t="str">
        <f>HYPERLINK("https://patents.google.com/patent/EP0552089A1/en")</f>
        <v>https://patents.google.com/patent/EP0552089A1/en</v>
      </c>
    </row>
    <row r="4860" spans="3:5" x14ac:dyDescent="0.25">
      <c r="C4860" t="s">
        <v>8587</v>
      </c>
      <c r="D4860" t="s">
        <v>8588</v>
      </c>
      <c r="E4860" t="str">
        <f>HYPERLINK("https://patents.google.com/patent/BE730813A/en")</f>
        <v>https://patents.google.com/patent/BE730813A/en</v>
      </c>
    </row>
    <row r="4861" spans="3:5" x14ac:dyDescent="0.25">
      <c r="C4861" t="s">
        <v>8589</v>
      </c>
      <c r="D4861" t="s">
        <v>8590</v>
      </c>
      <c r="E4861" t="str">
        <f>HYPERLINK("https://patents.google.com/patent/US20140180883A1/en")</f>
        <v>https://patents.google.com/patent/US20140180883A1/en</v>
      </c>
    </row>
    <row r="4862" spans="3:5" x14ac:dyDescent="0.25">
      <c r="C4862" t="s">
        <v>8591</v>
      </c>
      <c r="D4862" t="s">
        <v>8592</v>
      </c>
      <c r="E4862" t="str">
        <f>HYPERLINK("https://patents.google.com/patent/BE686968A/en")</f>
        <v>https://patents.google.com/patent/BE686968A/en</v>
      </c>
    </row>
    <row r="4863" spans="3:5" x14ac:dyDescent="0.25">
      <c r="C4863" t="s">
        <v>8593</v>
      </c>
      <c r="D4863" t="s">
        <v>8594</v>
      </c>
      <c r="E4863" t="str">
        <f>HYPERLINK("https://patents.google.com/patent/US20150171674A1/en")</f>
        <v>https://patents.google.com/patent/US20150171674A1/en</v>
      </c>
    </row>
    <row r="4864" spans="3:5" x14ac:dyDescent="0.25">
      <c r="C4864" t="s">
        <v>8595</v>
      </c>
      <c r="D4864" t="s">
        <v>8596</v>
      </c>
      <c r="E4864" t="str">
        <f>HYPERLINK("https://patents.google.com/patent/CN201458330U/en")</f>
        <v>https://patents.google.com/patent/CN201458330U/en</v>
      </c>
    </row>
    <row r="4865" spans="3:5" x14ac:dyDescent="0.25">
      <c r="C4865" t="s">
        <v>8597</v>
      </c>
      <c r="D4865" t="s">
        <v>8598</v>
      </c>
      <c r="E4865" t="str">
        <f>HYPERLINK("https://patents.google.com/patent/CN204238847U/en")</f>
        <v>https://patents.google.com/patent/CN204238847U/en</v>
      </c>
    </row>
    <row r="4866" spans="3:5" x14ac:dyDescent="0.25">
      <c r="C4866" t="s">
        <v>8599</v>
      </c>
      <c r="D4866" t="s">
        <v>8600</v>
      </c>
      <c r="E4866" t="str">
        <f>HYPERLINK("https://patents.google.com/patent/CN203867528U/en")</f>
        <v>https://patents.google.com/patent/CN203867528U/en</v>
      </c>
    </row>
    <row r="4867" spans="3:5" x14ac:dyDescent="0.25">
      <c r="C4867" t="s">
        <v>8601</v>
      </c>
      <c r="D4867" t="s">
        <v>8602</v>
      </c>
      <c r="E4867" t="str">
        <f>HYPERLINK("https://patents.google.com/patent/CN2560752Y/en")</f>
        <v>https://patents.google.com/patent/CN2560752Y/en</v>
      </c>
    </row>
    <row r="4868" spans="3:5" x14ac:dyDescent="0.25">
      <c r="C4868" t="s">
        <v>8603</v>
      </c>
      <c r="D4868" t="s">
        <v>8604</v>
      </c>
      <c r="E4868" t="str">
        <f>HYPERLINK("https://patents.google.com/patent/CN2168096Y/en")</f>
        <v>https://patents.google.com/patent/CN2168096Y/en</v>
      </c>
    </row>
    <row r="4869" spans="3:5" x14ac:dyDescent="0.25">
      <c r="C4869" t="s">
        <v>8605</v>
      </c>
      <c r="D4869" t="s">
        <v>8606</v>
      </c>
      <c r="E4869" t="str">
        <f>HYPERLINK("https://patents.google.com/patent/CN1894923A/en")</f>
        <v>https://patents.google.com/patent/CN1894923A/en</v>
      </c>
    </row>
    <row r="4870" spans="3:5" x14ac:dyDescent="0.25">
      <c r="C4870" t="s">
        <v>8607</v>
      </c>
      <c r="D4870" t="s">
        <v>8608</v>
      </c>
      <c r="E4870" t="str">
        <f>HYPERLINK("https://patents.google.com/patent/CN201359528Y/en")</f>
        <v>https://patents.google.com/patent/CN201359528Y/en</v>
      </c>
    </row>
    <row r="4871" spans="3:5" x14ac:dyDescent="0.25">
      <c r="C4871" t="s">
        <v>8609</v>
      </c>
      <c r="D4871" t="s">
        <v>8610</v>
      </c>
      <c r="E4871" t="str">
        <f>HYPERLINK("https://patents.google.com/patent/CN203008871U/en")</f>
        <v>https://patents.google.com/patent/CN203008871U/en</v>
      </c>
    </row>
    <row r="4872" spans="3:5" x14ac:dyDescent="0.25">
      <c r="C4872" t="s">
        <v>8611</v>
      </c>
      <c r="D4872" t="s">
        <v>8612</v>
      </c>
      <c r="E4872" t="str">
        <f>HYPERLINK("https://patents.google.com/patent/BE708125A/en")</f>
        <v>https://patents.google.com/patent/BE708125A/en</v>
      </c>
    </row>
    <row r="4873" spans="3:5" x14ac:dyDescent="0.25">
      <c r="C4873" t="s">
        <v>8613</v>
      </c>
      <c r="D4873" t="s">
        <v>8614</v>
      </c>
      <c r="E4873" t="str">
        <f>HYPERLINK("https://patents.google.com/patent/US20150104152A1/en")</f>
        <v>https://patents.google.com/patent/US20150104152A1/en</v>
      </c>
    </row>
    <row r="4874" spans="3:5" x14ac:dyDescent="0.25">
      <c r="C4874" t="s">
        <v>8615</v>
      </c>
      <c r="D4874" t="s">
        <v>8616</v>
      </c>
      <c r="E4874" t="str">
        <f>HYPERLINK("https://patents.google.com/patent/CN1229160A/en")</f>
        <v>https://patents.google.com/patent/CN1229160A/en</v>
      </c>
    </row>
    <row r="4875" spans="3:5" x14ac:dyDescent="0.25">
      <c r="C4875" t="s">
        <v>8617</v>
      </c>
      <c r="D4875" t="s">
        <v>8618</v>
      </c>
      <c r="E4875" t="str">
        <f>HYPERLINK("https://patents.google.com/patent/DE4244817B4/en")</f>
        <v>https://patents.google.com/patent/DE4244817B4/en</v>
      </c>
    </row>
    <row r="4876" spans="3:5" x14ac:dyDescent="0.25">
      <c r="C4876" t="s">
        <v>8619</v>
      </c>
      <c r="D4876" t="s">
        <v>8620</v>
      </c>
      <c r="E4876" t="str">
        <f>HYPERLINK("https://patents.google.com/patent/CN205876235U/en")</f>
        <v>https://patents.google.com/patent/CN205876235U/en</v>
      </c>
    </row>
    <row r="4877" spans="3:5" x14ac:dyDescent="0.25">
      <c r="C4877" t="s">
        <v>8621</v>
      </c>
      <c r="D4877" t="s">
        <v>8622</v>
      </c>
      <c r="E4877" t="str">
        <f>HYPERLINK("https://patents.google.com/patent/CN202690016U/en")</f>
        <v>https://patents.google.com/patent/CN202690016U/en</v>
      </c>
    </row>
    <row r="4878" spans="3:5" x14ac:dyDescent="0.25">
      <c r="C4878" t="s">
        <v>8623</v>
      </c>
      <c r="D4878" t="s">
        <v>8624</v>
      </c>
      <c r="E4878" t="str">
        <f>HYPERLINK("https://patents.google.com/patent/CN204921379U/en")</f>
        <v>https://patents.google.com/patent/CN204921379U/en</v>
      </c>
    </row>
    <row r="4879" spans="3:5" x14ac:dyDescent="0.25">
      <c r="C4879" t="s">
        <v>8625</v>
      </c>
      <c r="D4879" t="s">
        <v>8626</v>
      </c>
      <c r="E4879" t="str">
        <f>HYPERLINK("https://patents.google.com/patent/CN102678080B/en")</f>
        <v>https://patents.google.com/patent/CN102678080B/en</v>
      </c>
    </row>
    <row r="4880" spans="3:5" x14ac:dyDescent="0.25">
      <c r="C4880" t="s">
        <v>8627</v>
      </c>
      <c r="D4880" t="s">
        <v>8628</v>
      </c>
      <c r="E4880" t="str">
        <f>HYPERLINK("https://patents.google.com/patent/DE602005002231T2/en")</f>
        <v>https://patents.google.com/patent/DE602005002231T2/en</v>
      </c>
    </row>
    <row r="4881" spans="3:5" x14ac:dyDescent="0.25">
      <c r="C4881" t="s">
        <v>8629</v>
      </c>
      <c r="D4881" t="s">
        <v>8630</v>
      </c>
      <c r="E4881" t="str">
        <f>HYPERLINK("https://patents.google.com/patent/US20170211940A1/en")</f>
        <v>https://patents.google.com/patent/US20170211940A1/en</v>
      </c>
    </row>
    <row r="4882" spans="3:5" x14ac:dyDescent="0.25">
      <c r="C4882" t="s">
        <v>8631</v>
      </c>
      <c r="D4882" t="s">
        <v>8632</v>
      </c>
      <c r="E4882" t="str">
        <f>HYPERLINK("https://patents.google.com/patent/CN202393403U/en")</f>
        <v>https://patents.google.com/patent/CN202393403U/en</v>
      </c>
    </row>
    <row r="4883" spans="3:5" x14ac:dyDescent="0.25">
      <c r="C4883" t="s">
        <v>8633</v>
      </c>
      <c r="D4883" t="s">
        <v>8634</v>
      </c>
      <c r="E4883" t="str">
        <f>HYPERLINK("https://patents.google.com/patent/CN203188980U/en")</f>
        <v>https://patents.google.com/patent/CN203188980U/en</v>
      </c>
    </row>
    <row r="4884" spans="3:5" x14ac:dyDescent="0.25">
      <c r="C4884" t="s">
        <v>8635</v>
      </c>
      <c r="D4884" t="s">
        <v>8636</v>
      </c>
      <c r="E4884" t="str">
        <f>HYPERLINK("https://patents.google.com/patent/FR2458795A1/en")</f>
        <v>https://patents.google.com/patent/FR2458795A1/en</v>
      </c>
    </row>
    <row r="4885" spans="3:5" x14ac:dyDescent="0.25">
      <c r="C4885" t="s">
        <v>6494</v>
      </c>
      <c r="D4885" t="s">
        <v>8637</v>
      </c>
      <c r="E4885" t="str">
        <f>HYPERLINK("https://patents.google.com/patent/CN101360016A/en")</f>
        <v>https://patents.google.com/patent/CN101360016A/en</v>
      </c>
    </row>
    <row r="4886" spans="3:5" x14ac:dyDescent="0.25">
      <c r="C4886" t="s">
        <v>8638</v>
      </c>
      <c r="D4886" t="s">
        <v>8639</v>
      </c>
      <c r="E4886" t="str">
        <f>HYPERLINK("https://patents.google.com/patent/CN104389514A/en")</f>
        <v>https://patents.google.com/patent/CN104389514A/en</v>
      </c>
    </row>
    <row r="4887" spans="3:5" x14ac:dyDescent="0.25">
      <c r="C4887" t="s">
        <v>8640</v>
      </c>
      <c r="D4887" t="s">
        <v>8641</v>
      </c>
      <c r="E4887" t="str">
        <f>HYPERLINK("https://patents.google.com/patent/CN101413802A/en")</f>
        <v>https://patents.google.com/patent/CN101413802A/en</v>
      </c>
    </row>
    <row r="4888" spans="3:5" x14ac:dyDescent="0.25">
      <c r="C4888" t="s">
        <v>8642</v>
      </c>
      <c r="D4888" t="s">
        <v>8643</v>
      </c>
      <c r="E4888" t="str">
        <f>HYPERLINK("https://patents.google.com/patent/WO1982001390A1/en")</f>
        <v>https://patents.google.com/patent/WO1982001390A1/en</v>
      </c>
    </row>
    <row r="4889" spans="3:5" x14ac:dyDescent="0.25">
      <c r="C4889" t="s">
        <v>8583</v>
      </c>
      <c r="D4889" t="s">
        <v>8644</v>
      </c>
      <c r="E4889" t="str">
        <f>HYPERLINK("https://patents.google.com/patent/DE4418026B4/en")</f>
        <v>https://patents.google.com/patent/DE4418026B4/en</v>
      </c>
    </row>
    <row r="4890" spans="3:5" x14ac:dyDescent="0.25">
      <c r="C4890" t="s">
        <v>8645</v>
      </c>
      <c r="D4890" t="s">
        <v>8646</v>
      </c>
      <c r="E4890" t="str">
        <f>HYPERLINK("https://patents.google.com/patent/DE202014104201U1/en")</f>
        <v>https://patents.google.com/patent/DE202014104201U1/en</v>
      </c>
    </row>
    <row r="4891" spans="3:5" x14ac:dyDescent="0.25">
      <c r="C4891" t="s">
        <v>8647</v>
      </c>
      <c r="D4891" t="s">
        <v>8648</v>
      </c>
      <c r="E4891" t="str">
        <f>HYPERLINK("https://patents.google.com/patent/BE664473A/en")</f>
        <v>https://patents.google.com/patent/BE664473A/en</v>
      </c>
    </row>
    <row r="4892" spans="3:5" x14ac:dyDescent="0.25">
      <c r="C4892" t="s">
        <v>8649</v>
      </c>
      <c r="D4892" t="s">
        <v>8650</v>
      </c>
      <c r="E4892" t="str">
        <f>HYPERLINK("https://patents.google.com/patent/CN201921478U/en")</f>
        <v>https://patents.google.com/patent/CN201921478U/en</v>
      </c>
    </row>
    <row r="4893" spans="3:5" x14ac:dyDescent="0.25">
      <c r="C4893" t="s">
        <v>8651</v>
      </c>
      <c r="D4893" t="s">
        <v>8652</v>
      </c>
      <c r="E4893" t="str">
        <f>HYPERLINK("https://patents.google.com/patent/CN204278113U/en")</f>
        <v>https://patents.google.com/patent/CN204278113U/en</v>
      </c>
    </row>
    <row r="4894" spans="3:5" x14ac:dyDescent="0.25">
      <c r="C4894" t="s">
        <v>8653</v>
      </c>
      <c r="D4894" t="s">
        <v>8654</v>
      </c>
      <c r="E4894" t="str">
        <f>HYPERLINK("https://patents.google.com/patent/CN205389272U/en")</f>
        <v>https://patents.google.com/patent/CN205389272U/en</v>
      </c>
    </row>
    <row r="4895" spans="3:5" x14ac:dyDescent="0.25">
      <c r="C4895" t="s">
        <v>8655</v>
      </c>
      <c r="D4895" t="s">
        <v>8656</v>
      </c>
      <c r="E4895" t="str">
        <f>HYPERLINK("https://patents.google.com/patent/CN102182614A/en")</f>
        <v>https://patents.google.com/patent/CN102182614A/en</v>
      </c>
    </row>
    <row r="4896" spans="3:5" x14ac:dyDescent="0.25">
      <c r="C4896" t="s">
        <v>8657</v>
      </c>
      <c r="D4896" t="s">
        <v>8658</v>
      </c>
      <c r="E4896" t="str">
        <f>HYPERLINK("https://patents.google.com/patent/FR2458796A1/en")</f>
        <v>https://patents.google.com/patent/FR2458796A1/en</v>
      </c>
    </row>
    <row r="4897" spans="3:5" x14ac:dyDescent="0.25">
      <c r="C4897" t="s">
        <v>8659</v>
      </c>
      <c r="D4897" t="s">
        <v>8660</v>
      </c>
      <c r="E4897" t="str">
        <f>HYPERLINK("https://patents.google.com/patent/CN1095453A/en")</f>
        <v>https://patents.google.com/patent/CN1095453A/en</v>
      </c>
    </row>
    <row r="4898" spans="3:5" x14ac:dyDescent="0.25">
      <c r="C4898" t="s">
        <v>8661</v>
      </c>
      <c r="D4898" t="s">
        <v>8662</v>
      </c>
      <c r="E4898" t="str">
        <f>HYPERLINK("https://patents.google.com/patent/CN105447786A/en")</f>
        <v>https://patents.google.com/patent/CN105447786A/en</v>
      </c>
    </row>
    <row r="4899" spans="3:5" x14ac:dyDescent="0.25">
      <c r="C4899" t="s">
        <v>8663</v>
      </c>
      <c r="D4899" t="s">
        <v>8664</v>
      </c>
      <c r="E4899" t="str">
        <f>HYPERLINK("https://patents.google.com/patent/CN105427208A/en")</f>
        <v>https://patents.google.com/patent/CN105427208A/en</v>
      </c>
    </row>
    <row r="4900" spans="3:5" x14ac:dyDescent="0.25">
      <c r="C4900" t="s">
        <v>8665</v>
      </c>
      <c r="D4900" t="s">
        <v>8666</v>
      </c>
      <c r="E4900" t="str">
        <f>HYPERLINK("https://patents.google.com/patent/DE102013101632B4/en")</f>
        <v>https://patents.google.com/patent/DE102013101632B4/en</v>
      </c>
    </row>
    <row r="4901" spans="3:5" x14ac:dyDescent="0.25">
      <c r="C4901" t="s">
        <v>8667</v>
      </c>
      <c r="D4901" t="s">
        <v>8668</v>
      </c>
      <c r="E4901" t="str">
        <f>HYPERLINK("https://patents.google.com/patent/KR101602197B1/en")</f>
        <v>https://patents.google.com/patent/KR101602197B1/en</v>
      </c>
    </row>
    <row r="4902" spans="3:5" x14ac:dyDescent="0.25">
      <c r="C4902" t="s">
        <v>8669</v>
      </c>
      <c r="D4902" t="s">
        <v>8670</v>
      </c>
      <c r="E4902" t="str">
        <f>HYPERLINK("https://patents.google.com/patent/KR100548987B1/en")</f>
        <v>https://patents.google.com/patent/KR100548987B1/en</v>
      </c>
    </row>
    <row r="4903" spans="3:5" x14ac:dyDescent="0.25">
      <c r="C4903" t="s">
        <v>8671</v>
      </c>
      <c r="D4903" t="s">
        <v>8672</v>
      </c>
      <c r="E4903" t="str">
        <f>HYPERLINK("https://patents.google.com/patent/JP5510599B2/en")</f>
        <v>https://patents.google.com/patent/JP5510599B2/en</v>
      </c>
    </row>
    <row r="4904" spans="3:5" x14ac:dyDescent="0.25">
      <c r="C4904" t="s">
        <v>8673</v>
      </c>
      <c r="D4904" t="s">
        <v>8674</v>
      </c>
      <c r="E4904" t="str">
        <f>HYPERLINK("https://patents.google.com/patent/KR101845971B1/en")</f>
        <v>https://patents.google.com/patent/KR101845971B1/en</v>
      </c>
    </row>
    <row r="4905" spans="3:5" x14ac:dyDescent="0.25">
      <c r="C4905" t="s">
        <v>8675</v>
      </c>
      <c r="D4905" t="s">
        <v>8676</v>
      </c>
      <c r="E4905" t="str">
        <f>HYPERLINK("https://patents.google.com/patent/KR101539418B1/en")</f>
        <v>https://patents.google.com/patent/KR101539418B1/en</v>
      </c>
    </row>
    <row r="4906" spans="3:5" x14ac:dyDescent="0.25">
      <c r="C4906" t="s">
        <v>8677</v>
      </c>
      <c r="D4906" t="s">
        <v>8678</v>
      </c>
      <c r="E4906" t="str">
        <f>HYPERLINK("https://patents.google.com/patent/KR100414027B1/en")</f>
        <v>https://patents.google.com/patent/KR100414027B1/en</v>
      </c>
    </row>
    <row r="4907" spans="3:5" x14ac:dyDescent="0.25">
      <c r="C4907" t="s">
        <v>8679</v>
      </c>
      <c r="D4907" t="s">
        <v>8680</v>
      </c>
      <c r="E4907" t="str">
        <f>HYPERLINK("https://patents.google.com/patent/KR101407707B1/en")</f>
        <v>https://patents.google.com/patent/KR101407707B1/en</v>
      </c>
    </row>
    <row r="4908" spans="3:5" x14ac:dyDescent="0.25">
      <c r="C4908" t="s">
        <v>8681</v>
      </c>
      <c r="D4908" t="s">
        <v>8682</v>
      </c>
      <c r="E4908" t="str">
        <f>HYPERLINK("https://patents.google.com/patent/DE102013101625B4/en")</f>
        <v>https://patents.google.com/patent/DE102013101625B4/en</v>
      </c>
    </row>
    <row r="4909" spans="3:5" x14ac:dyDescent="0.25">
      <c r="C4909" t="s">
        <v>8683</v>
      </c>
      <c r="D4909" t="s">
        <v>8684</v>
      </c>
      <c r="E4909" t="str">
        <f>HYPERLINK("https://patents.google.com/patent/RU2528459C2/en")</f>
        <v>https://patents.google.com/patent/RU2528459C2/en</v>
      </c>
    </row>
    <row r="4910" spans="3:5" x14ac:dyDescent="0.25">
      <c r="C4910" t="s">
        <v>8685</v>
      </c>
      <c r="D4910" t="s">
        <v>8686</v>
      </c>
      <c r="E4910" t="str">
        <f>HYPERLINK("https://patents.google.com/patent/CN207731155U/en")</f>
        <v>https://patents.google.com/patent/CN207731155U/en</v>
      </c>
    </row>
    <row r="4911" spans="3:5" x14ac:dyDescent="0.25">
      <c r="C4911" t="s">
        <v>8687</v>
      </c>
      <c r="D4911" t="s">
        <v>8688</v>
      </c>
      <c r="E4911" t="str">
        <f>HYPERLINK("https://patents.google.com/patent/CN207157387U/en")</f>
        <v>https://patents.google.com/patent/CN207157387U/en</v>
      </c>
    </row>
    <row r="4912" spans="3:5" x14ac:dyDescent="0.25">
      <c r="C4912" t="s">
        <v>8689</v>
      </c>
      <c r="D4912" t="s">
        <v>8690</v>
      </c>
      <c r="E4912" t="str">
        <f>HYPERLINK("https://patents.google.com/patent/DE102013101630A1/en")</f>
        <v>https://patents.google.com/patent/DE102013101630A1/en</v>
      </c>
    </row>
    <row r="4913" spans="3:5" x14ac:dyDescent="0.25">
      <c r="C4913" t="s">
        <v>8691</v>
      </c>
      <c r="D4913" t="s">
        <v>8692</v>
      </c>
      <c r="E4913" t="str">
        <f>HYPERLINK("https://patents.google.com/patent/ES2292267B1/en")</f>
        <v>https://patents.google.com/patent/ES2292267B1/en</v>
      </c>
    </row>
    <row r="4914" spans="3:5" x14ac:dyDescent="0.25">
      <c r="C4914" t="s">
        <v>8693</v>
      </c>
      <c r="D4914" t="s">
        <v>8694</v>
      </c>
      <c r="E4914" t="str">
        <f>HYPERLINK("https://patents.google.com/patent/WO2016140896A1/en")</f>
        <v>https://patents.google.com/patent/WO2016140896A1/en</v>
      </c>
    </row>
    <row r="4915" spans="3:5" x14ac:dyDescent="0.25">
      <c r="C4915" t="s">
        <v>8695</v>
      </c>
      <c r="D4915" t="s">
        <v>8696</v>
      </c>
      <c r="E4915" t="str">
        <f>HYPERLINK("https://patents.google.com/patent/CN108109081A/en")</f>
        <v>https://patents.google.com/patent/CN108109081A/en</v>
      </c>
    </row>
    <row r="4916" spans="3:5" x14ac:dyDescent="0.25">
      <c r="C4916" t="s">
        <v>8697</v>
      </c>
      <c r="D4916" t="s">
        <v>8698</v>
      </c>
      <c r="E4916" t="str">
        <f>HYPERLINK("https://patents.google.com/patent/CN1727635A/en")</f>
        <v>https://patents.google.com/patent/CN1727635A/en</v>
      </c>
    </row>
    <row r="4917" spans="3:5" x14ac:dyDescent="0.25">
      <c r="C4917" t="s">
        <v>8699</v>
      </c>
      <c r="D4917" t="s">
        <v>8700</v>
      </c>
      <c r="E4917" t="str">
        <f>HYPERLINK("https://patents.google.com/patent/CN205638386U/en")</f>
        <v>https://patents.google.com/patent/CN205638386U/en</v>
      </c>
    </row>
    <row r="4918" spans="3:5" x14ac:dyDescent="0.25">
      <c r="C4918" t="s">
        <v>8701</v>
      </c>
      <c r="D4918" t="s">
        <v>8702</v>
      </c>
      <c r="E4918" t="str">
        <f>HYPERLINK("https://patents.google.com/patent/CN106121560A/en")</f>
        <v>https://patents.google.com/patent/CN106121560A/en</v>
      </c>
    </row>
    <row r="4919" spans="3:5" x14ac:dyDescent="0.25">
      <c r="C4919" t="s">
        <v>8703</v>
      </c>
      <c r="D4919" t="s">
        <v>8704</v>
      </c>
      <c r="E4919" t="str">
        <f>HYPERLINK("https://patents.google.com/patent/CN207153012U/en")</f>
        <v>https://patents.google.com/patent/CN207153012U/en</v>
      </c>
    </row>
    <row r="4920" spans="3:5" x14ac:dyDescent="0.25">
      <c r="C4920" t="s">
        <v>8705</v>
      </c>
      <c r="D4920" t="s">
        <v>8706</v>
      </c>
      <c r="E4920" t="str">
        <f>HYPERLINK("https://patents.google.com/patent/CN105142113B/en")</f>
        <v>https://patents.google.com/patent/CN105142113B/en</v>
      </c>
    </row>
    <row r="4921" spans="3:5" x14ac:dyDescent="0.25">
      <c r="C4921" t="s">
        <v>8707</v>
      </c>
      <c r="D4921" t="s">
        <v>8708</v>
      </c>
      <c r="E4921" t="str">
        <f>HYPERLINK("https://patents.google.com/patent/BE541186A/en")</f>
        <v>https://patents.google.com/patent/BE541186A/en</v>
      </c>
    </row>
    <row r="4922" spans="3:5" x14ac:dyDescent="0.25">
      <c r="C4922" t="s">
        <v>8709</v>
      </c>
      <c r="D4922" t="s">
        <v>8710</v>
      </c>
      <c r="E4922" t="str">
        <f>HYPERLINK("https://patents.google.com/patent/CN207153013U/en")</f>
        <v>https://patents.google.com/patent/CN207153013U/en</v>
      </c>
    </row>
    <row r="4923" spans="3:5" x14ac:dyDescent="0.25">
      <c r="C4923" t="s">
        <v>8711</v>
      </c>
      <c r="D4923" t="s">
        <v>8712</v>
      </c>
      <c r="E4923" t="str">
        <f>HYPERLINK("https://patents.google.com/patent/CN108492217A/en")</f>
        <v>https://patents.google.com/patent/CN108492217A/en</v>
      </c>
    </row>
    <row r="4924" spans="3:5" x14ac:dyDescent="0.25">
      <c r="C4924" t="s">
        <v>8713</v>
      </c>
      <c r="D4924" t="s">
        <v>8714</v>
      </c>
      <c r="E4924" t="str">
        <f>HYPERLINK("https://patents.google.com/patent/CN107213601A/en")</f>
        <v>https://patents.google.com/patent/CN107213601A/en</v>
      </c>
    </row>
    <row r="4925" spans="3:5" x14ac:dyDescent="0.25">
      <c r="C4925" t="s">
        <v>8715</v>
      </c>
      <c r="D4925" t="s">
        <v>8716</v>
      </c>
      <c r="E4925" t="str">
        <f>HYPERLINK("https://patents.google.com/patent/US20170353658A1/en")</f>
        <v>https://patents.google.com/patent/US20170353658A1/en</v>
      </c>
    </row>
    <row r="4926" spans="3:5" x14ac:dyDescent="0.25">
      <c r="C4926" t="s">
        <v>8717</v>
      </c>
      <c r="D4926" t="s">
        <v>8718</v>
      </c>
      <c r="E4926" t="str">
        <f>HYPERLINK("https://patents.google.com/patent/CN100548382C/en")</f>
        <v>https://patents.google.com/patent/CN100548382C/en</v>
      </c>
    </row>
    <row r="4927" spans="3:5" x14ac:dyDescent="0.25">
      <c r="C4927" t="s">
        <v>8719</v>
      </c>
      <c r="D4927" t="s">
        <v>8720</v>
      </c>
      <c r="E4927" t="str">
        <f>HYPERLINK("https://patents.google.com/patent/JP2014525062A/en")</f>
        <v>https://patents.google.com/patent/JP2014525062A/en</v>
      </c>
    </row>
    <row r="4928" spans="3:5" x14ac:dyDescent="0.25">
      <c r="C4928" t="s">
        <v>8721</v>
      </c>
      <c r="D4928" t="s">
        <v>8722</v>
      </c>
      <c r="E4928" t="str">
        <f>HYPERLINK("https://patents.google.com/patent/DE102013101638A1/en")</f>
        <v>https://patents.google.com/patent/DE102013101638A1/en</v>
      </c>
    </row>
    <row r="4929" spans="3:5" x14ac:dyDescent="0.25">
      <c r="C4929" t="s">
        <v>8723</v>
      </c>
      <c r="D4929" t="s">
        <v>8724</v>
      </c>
      <c r="E4929" t="str">
        <f>HYPERLINK("https://patents.google.com/patent/DE102013101635A1/en")</f>
        <v>https://patents.google.com/patent/DE102013101635A1/en</v>
      </c>
    </row>
    <row r="4930" spans="3:5" x14ac:dyDescent="0.25">
      <c r="C4930" t="s">
        <v>8725</v>
      </c>
      <c r="D4930" t="s">
        <v>8726</v>
      </c>
      <c r="E4930" t="str">
        <f>HYPERLINK("https://patents.google.com/patent/US20180064377A1/en")</f>
        <v>https://patents.google.com/patent/US20180064377A1/en</v>
      </c>
    </row>
    <row r="4931" spans="3:5" x14ac:dyDescent="0.25">
      <c r="C4931" t="s">
        <v>8727</v>
      </c>
      <c r="D4931" t="s">
        <v>8728</v>
      </c>
      <c r="E4931" t="str">
        <f>HYPERLINK("https://patents.google.com/patent/CN101137980B/en")</f>
        <v>https://patents.google.com/patent/CN101137980B/en</v>
      </c>
    </row>
    <row r="4932" spans="3:5" x14ac:dyDescent="0.25">
      <c r="C4932" t="s">
        <v>8729</v>
      </c>
      <c r="D4932" t="s">
        <v>8730</v>
      </c>
      <c r="E4932" t="str">
        <f>HYPERLINK("https://patents.google.com/patent/WO2015016635A2/en")</f>
        <v>https://patents.google.com/patent/WO2015016635A2/en</v>
      </c>
    </row>
    <row r="4933" spans="3:5" x14ac:dyDescent="0.25">
      <c r="C4933" t="s">
        <v>8731</v>
      </c>
      <c r="D4933" t="s">
        <v>8732</v>
      </c>
      <c r="E4933" t="str">
        <f>HYPERLINK("https://patents.google.com/patent/CN104878802A/en")</f>
        <v>https://patents.google.com/patent/CN104878802A/en</v>
      </c>
    </row>
    <row r="4934" spans="3:5" x14ac:dyDescent="0.25">
      <c r="C4934" t="s">
        <v>8733</v>
      </c>
      <c r="D4934" t="s">
        <v>8734</v>
      </c>
      <c r="E4934" t="str">
        <f>HYPERLINK("https://patents.google.com/patent/CN2147374Y/en")</f>
        <v>https://patents.google.com/patent/CN2147374Y/en</v>
      </c>
    </row>
    <row r="4935" spans="3:5" x14ac:dyDescent="0.25">
      <c r="C4935" t="s">
        <v>8735</v>
      </c>
      <c r="D4935" t="s">
        <v>8736</v>
      </c>
      <c r="E4935" t="str">
        <f>HYPERLINK("https://patents.google.com/patent/DE202012000425U1/en")</f>
        <v>https://patents.google.com/patent/DE202012000425U1/en</v>
      </c>
    </row>
    <row r="4936" spans="3:5" x14ac:dyDescent="0.25">
      <c r="C4936" t="s">
        <v>8737</v>
      </c>
      <c r="D4936" t="s">
        <v>8738</v>
      </c>
      <c r="E4936" t="str">
        <f>HYPERLINK("https://patents.google.com/patent/CN207667068U/en")</f>
        <v>https://patents.google.com/patent/CN207667068U/en</v>
      </c>
    </row>
    <row r="4937" spans="3:5" x14ac:dyDescent="0.25">
      <c r="C4937" t="s">
        <v>8739</v>
      </c>
      <c r="D4937" t="s">
        <v>8740</v>
      </c>
      <c r="E4937" t="str">
        <f>HYPERLINK("https://patents.google.com/patent/CN108157254A/en")</f>
        <v>https://patents.google.com/patent/CN108157254A/en</v>
      </c>
    </row>
    <row r="4938" spans="3:5" x14ac:dyDescent="0.25">
      <c r="C4938" t="s">
        <v>8741</v>
      </c>
      <c r="D4938" t="s">
        <v>8742</v>
      </c>
      <c r="E4938" t="str">
        <f>HYPERLINK("https://patents.google.com/patent/CN201273176Y/en")</f>
        <v>https://patents.google.com/patent/CN201273176Y/en</v>
      </c>
    </row>
    <row r="4939" spans="3:5" x14ac:dyDescent="0.25">
      <c r="C4939" t="s">
        <v>8743</v>
      </c>
      <c r="D4939" t="s">
        <v>8744</v>
      </c>
      <c r="E4939" t="str">
        <f>HYPERLINK("https://patents.google.com/patent/CN200945929Y/en")</f>
        <v>https://patents.google.com/patent/CN200945929Y/en</v>
      </c>
    </row>
    <row r="4940" spans="3:5" x14ac:dyDescent="0.25">
      <c r="C4940" t="s">
        <v>8745</v>
      </c>
      <c r="D4940" t="s">
        <v>8746</v>
      </c>
      <c r="E4940" t="str">
        <f>HYPERLINK("https://patents.google.com/patent/CN106121556A/en")</f>
        <v>https://patents.google.com/patent/CN106121556A/en</v>
      </c>
    </row>
    <row r="4941" spans="3:5" x14ac:dyDescent="0.25">
      <c r="C4941" t="s">
        <v>8747</v>
      </c>
      <c r="D4941" t="s">
        <v>8748</v>
      </c>
      <c r="E4941" t="str">
        <f>HYPERLINK("https://patents.google.com/patent/CN103883289B/en")</f>
        <v>https://patents.google.com/patent/CN103883289B/en</v>
      </c>
    </row>
    <row r="4942" spans="3:5" x14ac:dyDescent="0.25">
      <c r="C4942" t="s">
        <v>8749</v>
      </c>
      <c r="D4942" t="s">
        <v>8750</v>
      </c>
      <c r="E4942" t="str">
        <f>HYPERLINK("https://patents.google.com/patent/WO2002001053A2/en")</f>
        <v>https://patents.google.com/patent/WO2002001053A2/en</v>
      </c>
    </row>
    <row r="4943" spans="3:5" x14ac:dyDescent="0.25">
      <c r="C4943" t="s">
        <v>8751</v>
      </c>
      <c r="D4943" t="s">
        <v>8752</v>
      </c>
      <c r="E4943" t="str">
        <f>HYPERLINK("https://patents.google.com/patent/US20140258183A1/en")</f>
        <v>https://patents.google.com/patent/US20140258183A1/en</v>
      </c>
    </row>
    <row r="4944" spans="3:5" x14ac:dyDescent="0.25">
      <c r="C4944" t="s">
        <v>8753</v>
      </c>
      <c r="D4944" t="s">
        <v>8754</v>
      </c>
      <c r="E4944" t="str">
        <f>HYPERLINK("https://patents.google.com/patent/CN106803402A/en")</f>
        <v>https://patents.google.com/patent/CN106803402A/en</v>
      </c>
    </row>
    <row r="4945" spans="3:5" x14ac:dyDescent="0.25">
      <c r="C4945" t="s">
        <v>8755</v>
      </c>
      <c r="D4945" t="s">
        <v>8756</v>
      </c>
      <c r="E4945" t="str">
        <f>HYPERLINK("https://patents.google.com/patent/CN105357252A/en")</f>
        <v>https://patents.google.com/patent/CN105357252A/en</v>
      </c>
    </row>
    <row r="4946" spans="3:5" x14ac:dyDescent="0.25">
      <c r="C4946" t="s">
        <v>8757</v>
      </c>
      <c r="D4946" t="s">
        <v>8758</v>
      </c>
      <c r="E4946" t="str">
        <f>HYPERLINK("https://patents.google.com/patent/FR2478144A1/en")</f>
        <v>https://patents.google.com/patent/FR2478144A1/en</v>
      </c>
    </row>
    <row r="4947" spans="3:5" x14ac:dyDescent="0.25">
      <c r="C4947" t="s">
        <v>8759</v>
      </c>
      <c r="D4947" t="s">
        <v>8760</v>
      </c>
      <c r="E4947" t="str">
        <f>HYPERLINK("https://patents.google.com/patent/KR20110137768A/en")</f>
        <v>https://patents.google.com/patent/KR20110137768A/en</v>
      </c>
    </row>
    <row r="4948" spans="3:5" x14ac:dyDescent="0.25">
      <c r="C4948" t="s">
        <v>8761</v>
      </c>
      <c r="D4948" t="s">
        <v>8762</v>
      </c>
      <c r="E4948" t="str">
        <f>HYPERLINK("https://patents.google.com/patent/CN207589857U/en")</f>
        <v>https://patents.google.com/patent/CN207589857U/en</v>
      </c>
    </row>
    <row r="4949" spans="3:5" x14ac:dyDescent="0.25">
      <c r="C4949" t="s">
        <v>8763</v>
      </c>
      <c r="D4949" t="s">
        <v>8764</v>
      </c>
      <c r="E4949" t="str">
        <f>HYPERLINK("https://patents.google.com/patent/CN107174800A/en")</f>
        <v>https://patents.google.com/patent/CN107174800A/en</v>
      </c>
    </row>
    <row r="4950" spans="3:5" x14ac:dyDescent="0.25">
      <c r="C4950" t="s">
        <v>8765</v>
      </c>
      <c r="D4950" t="s">
        <v>8766</v>
      </c>
      <c r="E4950" t="str">
        <f>HYPERLINK("https://patents.google.com/patent/FR2763109A1/en")</f>
        <v>https://patents.google.com/patent/FR2763109A1/en</v>
      </c>
    </row>
    <row r="4951" spans="3:5" x14ac:dyDescent="0.25">
      <c r="C4951" t="s">
        <v>8767</v>
      </c>
      <c r="D4951" t="s">
        <v>8768</v>
      </c>
      <c r="E4951" t="str">
        <f>HYPERLINK("https://patents.google.com/patent/FR2881551A1/en")</f>
        <v>https://patents.google.com/patent/FR2881551A1/en</v>
      </c>
    </row>
    <row r="4952" spans="3:5" x14ac:dyDescent="0.25">
      <c r="C4952" t="s">
        <v>8769</v>
      </c>
      <c r="D4952" t="s">
        <v>8770</v>
      </c>
      <c r="E4952" t="str">
        <f>HYPERLINK("https://patents.google.com/patent/CN207106696U/en")</f>
        <v>https://patents.google.com/patent/CN207106696U/en</v>
      </c>
    </row>
    <row r="4953" spans="3:5" x14ac:dyDescent="0.25">
      <c r="C4953" t="s">
        <v>8771</v>
      </c>
      <c r="D4953" t="s">
        <v>8772</v>
      </c>
      <c r="E4953" t="str">
        <f>HYPERLINK("https://patents.google.com/patent/JP2007502099A/en")</f>
        <v>https://patents.google.com/patent/JP2007502099A/en</v>
      </c>
    </row>
    <row r="4954" spans="3:5" x14ac:dyDescent="0.25">
      <c r="C4954" t="s">
        <v>8773</v>
      </c>
      <c r="D4954" t="s">
        <v>8774</v>
      </c>
      <c r="E4954" t="str">
        <f>HYPERLINK("https://patents.google.com/patent/CN206717634U/en")</f>
        <v>https://patents.google.com/patent/CN206717634U/en</v>
      </c>
    </row>
    <row r="4955" spans="3:5" x14ac:dyDescent="0.25">
      <c r="C4955" t="s">
        <v>8775</v>
      </c>
      <c r="D4955" t="s">
        <v>8776</v>
      </c>
      <c r="E4955" t="str">
        <f>HYPERLINK("https://patents.google.com/patent/CN1306189C/en")</f>
        <v>https://patents.google.com/patent/CN1306189C/en</v>
      </c>
    </row>
    <row r="4956" spans="3:5" x14ac:dyDescent="0.25">
      <c r="C4956" t="s">
        <v>8777</v>
      </c>
      <c r="D4956" t="s">
        <v>8778</v>
      </c>
      <c r="E4956" t="str">
        <f>HYPERLINK("https://patents.google.com/patent/CN205858214U/en")</f>
        <v>https://patents.google.com/patent/CN205858214U/en</v>
      </c>
    </row>
    <row r="4957" spans="3:5" x14ac:dyDescent="0.25">
      <c r="C4957" t="s">
        <v>8779</v>
      </c>
      <c r="D4957" t="s">
        <v>8780</v>
      </c>
      <c r="E4957" t="str">
        <f>HYPERLINK("https://patents.google.com/patent/CN207157461U/en")</f>
        <v>https://patents.google.com/patent/CN207157461U/en</v>
      </c>
    </row>
    <row r="4958" spans="3:5" x14ac:dyDescent="0.25">
      <c r="C4958" t="s">
        <v>8781</v>
      </c>
      <c r="D4958" t="s">
        <v>8782</v>
      </c>
      <c r="E4958" t="str">
        <f>HYPERLINK("https://patents.google.com/patent/CN106121559A/en")</f>
        <v>https://patents.google.com/patent/CN106121559A/en</v>
      </c>
    </row>
    <row r="4959" spans="3:5" x14ac:dyDescent="0.25">
      <c r="C4959" t="s">
        <v>8783</v>
      </c>
      <c r="D4959" t="s">
        <v>8784</v>
      </c>
      <c r="E4959" t="str">
        <f>HYPERLINK("https://patents.google.com/patent/CN106121558A/en")</f>
        <v>https://patents.google.com/patent/CN106121558A/en</v>
      </c>
    </row>
    <row r="4960" spans="3:5" x14ac:dyDescent="0.25">
      <c r="C4960" t="s">
        <v>8785</v>
      </c>
      <c r="D4960" t="s">
        <v>8786</v>
      </c>
      <c r="E4960" t="str">
        <f>HYPERLINK("https://patents.google.com/patent/BE642807A/en")</f>
        <v>https://patents.google.com/patent/BE642807A/en</v>
      </c>
    </row>
    <row r="4961" spans="1:5" x14ac:dyDescent="0.25">
      <c r="C4961" t="s">
        <v>8787</v>
      </c>
      <c r="D4961" t="s">
        <v>8788</v>
      </c>
      <c r="E4961" t="str">
        <f>HYPERLINK("https://patents.google.com/patent/WO2007065295A1/en")</f>
        <v>https://patents.google.com/patent/WO2007065295A1/en</v>
      </c>
    </row>
    <row r="4962" spans="1:5" x14ac:dyDescent="0.25">
      <c r="C4962" t="s">
        <v>8789</v>
      </c>
      <c r="D4962" t="s">
        <v>8790</v>
      </c>
      <c r="E4962" t="str">
        <f>HYPERLINK("https://patents.google.com/patent/ES2416064T3/en")</f>
        <v>https://patents.google.com/patent/ES2416064T3/en</v>
      </c>
    </row>
    <row r="4963" spans="1:5" x14ac:dyDescent="0.25">
      <c r="C4963" t="s">
        <v>8791</v>
      </c>
      <c r="D4963" t="s">
        <v>8792</v>
      </c>
      <c r="E4963" t="str">
        <f>HYPERLINK("https://patents.google.com/patent/CN2791243Y/en")</f>
        <v>https://patents.google.com/patent/CN2791243Y/en</v>
      </c>
    </row>
    <row r="4964" spans="1:5" x14ac:dyDescent="0.25">
      <c r="C4964" t="s">
        <v>8793</v>
      </c>
      <c r="D4964" t="s">
        <v>8794</v>
      </c>
      <c r="E4964" t="str">
        <f>HYPERLINK("https://patents.google.com/patent/CN107082095A/en")</f>
        <v>https://patents.google.com/patent/CN107082095A/en</v>
      </c>
    </row>
    <row r="4965" spans="1:5" x14ac:dyDescent="0.25">
      <c r="C4965" t="s">
        <v>8795</v>
      </c>
      <c r="D4965" t="s">
        <v>8796</v>
      </c>
      <c r="E4965" t="str">
        <f>HYPERLINK("https://patents.google.com/patent/CN205876227U/en")</f>
        <v>https://patents.google.com/patent/CN205876227U/en</v>
      </c>
    </row>
    <row r="4966" spans="1:5" x14ac:dyDescent="0.25">
      <c r="C4966" t="s">
        <v>8797</v>
      </c>
      <c r="D4966" t="s">
        <v>8798</v>
      </c>
      <c r="E4966" t="str">
        <f>HYPERLINK("https://patents.google.com/patent/CN205858219U/en")</f>
        <v>https://patents.google.com/patent/CN205858219U/en</v>
      </c>
    </row>
    <row r="4967" spans="1:5" x14ac:dyDescent="0.25">
      <c r="C4967" t="s">
        <v>8799</v>
      </c>
      <c r="D4967" t="s">
        <v>8800</v>
      </c>
      <c r="E4967" t="str">
        <f>HYPERLINK("https://patents.google.com/patent/CN205858218U/en")</f>
        <v>https://patents.google.com/patent/CN205858218U/en</v>
      </c>
    </row>
    <row r="4968" spans="1:5" x14ac:dyDescent="0.25">
      <c r="C4968" t="s">
        <v>8801</v>
      </c>
      <c r="D4968" t="s">
        <v>8802</v>
      </c>
      <c r="E4968" t="str">
        <f>HYPERLINK("https://patents.google.com/patent/WO2002086781A1/en")</f>
        <v>https://patents.google.com/patent/WO2002086781A1/en</v>
      </c>
    </row>
    <row r="4969" spans="1:5" x14ac:dyDescent="0.25">
      <c r="A4969" t="s">
        <v>1150</v>
      </c>
      <c r="B4969">
        <v>559</v>
      </c>
    </row>
    <row r="4970" spans="1:5" x14ac:dyDescent="0.25">
      <c r="C4970" t="s">
        <v>8803</v>
      </c>
      <c r="D4970" t="s">
        <v>8804</v>
      </c>
      <c r="E4970" t="str">
        <f>HYPERLINK("https://patents.google.com/patent/CN203958471U/en")</f>
        <v>https://patents.google.com/patent/CN203958471U/en</v>
      </c>
    </row>
    <row r="4971" spans="1:5" x14ac:dyDescent="0.25">
      <c r="C4971" t="s">
        <v>8805</v>
      </c>
      <c r="D4971" t="s">
        <v>8806</v>
      </c>
      <c r="E4971" t="str">
        <f>HYPERLINK("https://patents.google.com/patent/CN104071275B/en")</f>
        <v>https://patents.google.com/patent/CN104071275B/en</v>
      </c>
    </row>
    <row r="4972" spans="1:5" x14ac:dyDescent="0.25">
      <c r="C4972" t="s">
        <v>8807</v>
      </c>
      <c r="D4972" t="s">
        <v>8808</v>
      </c>
      <c r="E4972" t="str">
        <f>HYPERLINK("https://patents.google.com/patent/EP2995540A1/en")</f>
        <v>https://patents.google.com/patent/EP2995540A1/en</v>
      </c>
    </row>
    <row r="4973" spans="1:5" x14ac:dyDescent="0.25">
      <c r="C4973" t="s">
        <v>8809</v>
      </c>
      <c r="D4973" t="s">
        <v>8810</v>
      </c>
      <c r="E4973" t="str">
        <f>HYPERLINK("https://patents.google.com/patent/CN103600796A/en")</f>
        <v>https://patents.google.com/patent/CN103600796A/en</v>
      </c>
    </row>
    <row r="4974" spans="1:5" x14ac:dyDescent="0.25">
      <c r="C4974" t="s">
        <v>8811</v>
      </c>
      <c r="D4974" t="s">
        <v>8812</v>
      </c>
      <c r="E4974" t="str">
        <f>HYPERLINK("https://patents.google.com/patent/CN203996652U/en")</f>
        <v>https://patents.google.com/patent/CN203996652U/en</v>
      </c>
    </row>
    <row r="4975" spans="1:5" x14ac:dyDescent="0.25">
      <c r="C4975" t="s">
        <v>8813</v>
      </c>
      <c r="D4975" t="s">
        <v>8814</v>
      </c>
      <c r="E4975" t="str">
        <f>HYPERLINK("https://patents.google.com/patent/ES1167034Y/en")</f>
        <v>https://patents.google.com/patent/ES1167034Y/en</v>
      </c>
    </row>
    <row r="4976" spans="1:5" x14ac:dyDescent="0.25">
      <c r="C4976" t="s">
        <v>8815</v>
      </c>
      <c r="D4976" t="s">
        <v>8816</v>
      </c>
      <c r="E4976" t="str">
        <f>HYPERLINK("https://patents.google.com/patent/DE202014103134U1/en")</f>
        <v>https://patents.google.com/patent/DE202014103134U1/en</v>
      </c>
    </row>
    <row r="4977" spans="3:5" x14ac:dyDescent="0.25">
      <c r="C4977" t="s">
        <v>8817</v>
      </c>
      <c r="D4977" t="s">
        <v>8818</v>
      </c>
      <c r="E4977" t="str">
        <f>HYPERLINK("https://patents.google.com/patent/CN206437134U/en")</f>
        <v>https://patents.google.com/patent/CN206437134U/en</v>
      </c>
    </row>
    <row r="4978" spans="3:5" x14ac:dyDescent="0.25">
      <c r="C4978" t="s">
        <v>8819</v>
      </c>
      <c r="D4978" t="s">
        <v>8820</v>
      </c>
      <c r="E4978" t="str">
        <f>HYPERLINK("https://patents.google.com/patent/US20140251708A1/en")</f>
        <v>https://patents.google.com/patent/US20140251708A1/en</v>
      </c>
    </row>
    <row r="4979" spans="3:5" x14ac:dyDescent="0.25">
      <c r="C4979" t="s">
        <v>8821</v>
      </c>
      <c r="D4979" t="s">
        <v>8822</v>
      </c>
      <c r="E4979" t="str">
        <f>HYPERLINK("https://patents.google.com/patent/WO2011051372A1/en")</f>
        <v>https://patents.google.com/patent/WO2011051372A1/en</v>
      </c>
    </row>
    <row r="4980" spans="3:5" x14ac:dyDescent="0.25">
      <c r="C4980" t="s">
        <v>8823</v>
      </c>
      <c r="D4980" t="s">
        <v>8824</v>
      </c>
      <c r="E4980" t="str">
        <f>HYPERLINK("https://patents.google.com/patent/CN203996606U/en")</f>
        <v>https://patents.google.com/patent/CN203996606U/en</v>
      </c>
    </row>
    <row r="4981" spans="3:5" x14ac:dyDescent="0.25">
      <c r="C4981" t="s">
        <v>8825</v>
      </c>
      <c r="D4981" t="s">
        <v>8826</v>
      </c>
      <c r="E4981" t="str">
        <f>HYPERLINK("https://patents.google.com/patent/CN102514663A/en")</f>
        <v>https://patents.google.com/patent/CN102514663A/en</v>
      </c>
    </row>
    <row r="4982" spans="3:5" x14ac:dyDescent="0.25">
      <c r="C4982" t="s">
        <v>8827</v>
      </c>
      <c r="D4982" t="s">
        <v>8828</v>
      </c>
      <c r="E4982" t="str">
        <f>HYPERLINK("https://patents.google.com/patent/CN102582738A/en")</f>
        <v>https://patents.google.com/patent/CN102582738A/en</v>
      </c>
    </row>
    <row r="4983" spans="3:5" x14ac:dyDescent="0.25">
      <c r="C4983" t="s">
        <v>8829</v>
      </c>
      <c r="D4983" t="s">
        <v>8830</v>
      </c>
      <c r="E4983" t="str">
        <f>HYPERLINK("https://patents.google.com/patent/CN200957141Y/en")</f>
        <v>https://patents.google.com/patent/CN200957141Y/en</v>
      </c>
    </row>
    <row r="4984" spans="3:5" x14ac:dyDescent="0.25">
      <c r="C4984" t="s">
        <v>8831</v>
      </c>
      <c r="D4984" t="s">
        <v>8832</v>
      </c>
      <c r="E4984" t="str">
        <f>HYPERLINK("https://patents.google.com/patent/CN106882300A/en")</f>
        <v>https://patents.google.com/patent/CN106882300A/en</v>
      </c>
    </row>
    <row r="4985" spans="3:5" x14ac:dyDescent="0.25">
      <c r="C4985" t="s">
        <v>8833</v>
      </c>
      <c r="D4985" t="s">
        <v>8834</v>
      </c>
      <c r="E4985" t="str">
        <f>HYPERLINK("https://patents.google.com/patent/US20170144718A1/en")</f>
        <v>https://patents.google.com/patent/US20170144718A1/en</v>
      </c>
    </row>
    <row r="4986" spans="3:5" x14ac:dyDescent="0.25">
      <c r="C4986" t="s">
        <v>8835</v>
      </c>
      <c r="D4986" t="s">
        <v>8836</v>
      </c>
      <c r="E4986" t="str">
        <f>HYPERLINK("https://patents.google.com/patent/EP2720933B1/en")</f>
        <v>https://patents.google.com/patent/EP2720933B1/en</v>
      </c>
    </row>
    <row r="4987" spans="3:5" x14ac:dyDescent="0.25">
      <c r="C4987" t="s">
        <v>8837</v>
      </c>
      <c r="D4987" t="s">
        <v>8838</v>
      </c>
      <c r="E4987" t="str">
        <f>HYPERLINK("https://patents.google.com/patent/CN205686540U/en")</f>
        <v>https://patents.google.com/patent/CN205686540U/en</v>
      </c>
    </row>
    <row r="4988" spans="3:5" x14ac:dyDescent="0.25">
      <c r="C4988" t="s">
        <v>8839</v>
      </c>
      <c r="D4988" t="s">
        <v>8840</v>
      </c>
      <c r="E4988" t="str">
        <f>HYPERLINK("https://patents.google.com/patent/CN104503671A/en")</f>
        <v>https://patents.google.com/patent/CN104503671A/en</v>
      </c>
    </row>
    <row r="4989" spans="3:5" x14ac:dyDescent="0.25">
      <c r="C4989" t="s">
        <v>8841</v>
      </c>
      <c r="D4989" t="s">
        <v>8842</v>
      </c>
      <c r="E4989" t="str">
        <f>HYPERLINK("https://patents.google.com/patent/CN101091680A/en")</f>
        <v>https://patents.google.com/patent/CN101091680A/en</v>
      </c>
    </row>
    <row r="4990" spans="3:5" x14ac:dyDescent="0.25">
      <c r="C4990" t="s">
        <v>8843</v>
      </c>
      <c r="D4990" t="s">
        <v>8844</v>
      </c>
      <c r="E4990" t="str">
        <f>HYPERLINK("https://patents.google.com/patent/DE102008029388A1/en")</f>
        <v>https://patents.google.com/patent/DE102008029388A1/en</v>
      </c>
    </row>
    <row r="4991" spans="3:5" x14ac:dyDescent="0.25">
      <c r="C4991" t="s">
        <v>8845</v>
      </c>
      <c r="D4991" t="s">
        <v>8846</v>
      </c>
      <c r="E4991" t="str">
        <f>HYPERLINK("https://patents.google.com/patent/KR101533258B1/en")</f>
        <v>https://patents.google.com/patent/KR101533258B1/en</v>
      </c>
    </row>
    <row r="4992" spans="3:5" x14ac:dyDescent="0.25">
      <c r="C4992" t="s">
        <v>8847</v>
      </c>
      <c r="D4992" t="s">
        <v>8848</v>
      </c>
      <c r="E4992" t="str">
        <f>HYPERLINK("https://patents.google.com/patent/CN106945768A/en")</f>
        <v>https://patents.google.com/patent/CN106945768A/en</v>
      </c>
    </row>
    <row r="4993" spans="3:5" x14ac:dyDescent="0.25">
      <c r="C4993" t="s">
        <v>8849</v>
      </c>
      <c r="D4993" t="s">
        <v>8850</v>
      </c>
      <c r="E4993" t="str">
        <f>HYPERLINK("https://patents.google.com/patent/CN204197152U/en")</f>
        <v>https://patents.google.com/patent/CN204197152U/en</v>
      </c>
    </row>
    <row r="4994" spans="3:5" x14ac:dyDescent="0.25">
      <c r="C4994" t="s">
        <v>8851</v>
      </c>
      <c r="D4994" t="s">
        <v>8852</v>
      </c>
      <c r="E4994" t="str">
        <f>HYPERLINK("https://patents.google.com/patent/CN105035231A/en")</f>
        <v>https://patents.google.com/patent/CN105035231A/en</v>
      </c>
    </row>
    <row r="4995" spans="3:5" x14ac:dyDescent="0.25">
      <c r="C4995" t="s">
        <v>8853</v>
      </c>
      <c r="D4995" t="s">
        <v>8854</v>
      </c>
      <c r="E4995" t="str">
        <f>HYPERLINK("https://patents.google.com/patent/KR101816136B1/en")</f>
        <v>https://patents.google.com/patent/KR101816136B1/en</v>
      </c>
    </row>
    <row r="4996" spans="3:5" x14ac:dyDescent="0.25">
      <c r="C4996" t="s">
        <v>8855</v>
      </c>
      <c r="D4996" t="s">
        <v>8856</v>
      </c>
      <c r="E4996" t="str">
        <f>HYPERLINK("https://patents.google.com/patent/KR20140134095A/en")</f>
        <v>https://patents.google.com/patent/KR20140134095A/en</v>
      </c>
    </row>
    <row r="4997" spans="3:5" x14ac:dyDescent="0.25">
      <c r="C4997" t="s">
        <v>8857</v>
      </c>
      <c r="D4997" t="s">
        <v>8858</v>
      </c>
      <c r="E4997" t="str">
        <f>HYPERLINK("https://patents.google.com/patent/CN105539658A/en")</f>
        <v>https://patents.google.com/patent/CN105539658A/en</v>
      </c>
    </row>
    <row r="4998" spans="3:5" x14ac:dyDescent="0.25">
      <c r="C4998" t="s">
        <v>8855</v>
      </c>
      <c r="D4998" t="s">
        <v>8859</v>
      </c>
      <c r="E4998" t="str">
        <f>HYPERLINK("https://patents.google.com/patent/KR20140147618A/en")</f>
        <v>https://patents.google.com/patent/KR20140147618A/en</v>
      </c>
    </row>
    <row r="4999" spans="3:5" x14ac:dyDescent="0.25">
      <c r="C4999" t="s">
        <v>8860</v>
      </c>
      <c r="D4999" t="s">
        <v>8861</v>
      </c>
      <c r="E4999" t="str">
        <f>HYPERLINK("https://patents.google.com/patent/CN204659913U/en")</f>
        <v>https://patents.google.com/patent/CN204659913U/en</v>
      </c>
    </row>
    <row r="5000" spans="3:5" x14ac:dyDescent="0.25">
      <c r="C5000" t="s">
        <v>8862</v>
      </c>
      <c r="D5000" t="s">
        <v>8863</v>
      </c>
      <c r="E5000" t="str">
        <f>HYPERLINK("https://patents.google.com/patent/CN205158137U/en")</f>
        <v>https://patents.google.com/patent/CN205158137U/en</v>
      </c>
    </row>
    <row r="5001" spans="3:5" x14ac:dyDescent="0.25">
      <c r="C5001" t="s">
        <v>8864</v>
      </c>
      <c r="D5001" t="s">
        <v>8865</v>
      </c>
      <c r="E5001" t="str">
        <f>HYPERLINK("https://patents.google.com/patent/US20180215434A1/en")</f>
        <v>https://patents.google.com/patent/US20180215434A1/en</v>
      </c>
    </row>
    <row r="5002" spans="3:5" x14ac:dyDescent="0.25">
      <c r="C5002" t="s">
        <v>8866</v>
      </c>
      <c r="D5002" t="s">
        <v>8867</v>
      </c>
      <c r="E5002" t="str">
        <f>HYPERLINK("https://patents.google.com/patent/CN204527457U/en")</f>
        <v>https://patents.google.com/patent/CN204527457U/en</v>
      </c>
    </row>
    <row r="5003" spans="3:5" x14ac:dyDescent="0.25">
      <c r="C5003" t="s">
        <v>8868</v>
      </c>
      <c r="D5003" t="s">
        <v>8869</v>
      </c>
      <c r="E5003" t="str">
        <f>HYPERLINK("https://patents.google.com/patent/CN205769822U/en")</f>
        <v>https://patents.google.com/patent/CN205769822U/en</v>
      </c>
    </row>
    <row r="5004" spans="3:5" x14ac:dyDescent="0.25">
      <c r="C5004" t="s">
        <v>8870</v>
      </c>
      <c r="D5004" t="s">
        <v>8871</v>
      </c>
      <c r="E5004" t="str">
        <f>HYPERLINK("https://patents.google.com/patent/EP3178732A1/en")</f>
        <v>https://patents.google.com/patent/EP3178732A1/en</v>
      </c>
    </row>
    <row r="5005" spans="3:5" x14ac:dyDescent="0.25">
      <c r="C5005" t="s">
        <v>8872</v>
      </c>
      <c r="D5005" t="s">
        <v>8873</v>
      </c>
      <c r="E5005" t="str">
        <f>HYPERLINK("https://patents.google.com/patent/CN105223963A/en")</f>
        <v>https://patents.google.com/patent/CN105223963A/en</v>
      </c>
    </row>
    <row r="5006" spans="3:5" x14ac:dyDescent="0.25">
      <c r="C5006" t="s">
        <v>8874</v>
      </c>
      <c r="D5006" t="s">
        <v>8875</v>
      </c>
      <c r="E5006" t="str">
        <f>HYPERLINK("https://patents.google.com/patent/CN105564563A/en")</f>
        <v>https://patents.google.com/patent/CN105564563A/en</v>
      </c>
    </row>
    <row r="5007" spans="3:5" x14ac:dyDescent="0.25">
      <c r="C5007" t="s">
        <v>8876</v>
      </c>
      <c r="D5007" t="s">
        <v>8877</v>
      </c>
      <c r="E5007" t="str">
        <f>HYPERLINK("https://patents.google.com/patent/KR101532487B1/en")</f>
        <v>https://patents.google.com/patent/KR101532487B1/en</v>
      </c>
    </row>
    <row r="5008" spans="3:5" x14ac:dyDescent="0.25">
      <c r="C5008" t="s">
        <v>8878</v>
      </c>
      <c r="D5008" t="s">
        <v>8879</v>
      </c>
      <c r="E5008" t="str">
        <f>HYPERLINK("https://patents.google.com/patent/CN204077954U/en")</f>
        <v>https://patents.google.com/patent/CN204077954U/en</v>
      </c>
    </row>
    <row r="5009" spans="3:5" x14ac:dyDescent="0.25">
      <c r="C5009" t="s">
        <v>4412</v>
      </c>
      <c r="D5009" t="s">
        <v>8880</v>
      </c>
      <c r="E5009" t="str">
        <f>HYPERLINK("https://patents.google.com/patent/DE202014010564U1/en")</f>
        <v>https://patents.google.com/patent/DE202014010564U1/en</v>
      </c>
    </row>
    <row r="5010" spans="3:5" x14ac:dyDescent="0.25">
      <c r="C5010" t="s">
        <v>8881</v>
      </c>
      <c r="D5010" t="s">
        <v>8882</v>
      </c>
      <c r="E5010" t="str">
        <f>HYPERLINK("https://patents.google.com/patent/US20160378106A1/en")</f>
        <v>https://patents.google.com/patent/US20160378106A1/en</v>
      </c>
    </row>
    <row r="5011" spans="3:5" x14ac:dyDescent="0.25">
      <c r="C5011" t="s">
        <v>8883</v>
      </c>
      <c r="D5011" t="s">
        <v>8884</v>
      </c>
      <c r="E5011" t="str">
        <f>HYPERLINK("https://patents.google.com/patent/CN205098368U/en")</f>
        <v>https://patents.google.com/patent/CN205098368U/en</v>
      </c>
    </row>
    <row r="5012" spans="3:5" x14ac:dyDescent="0.25">
      <c r="C5012" t="s">
        <v>8885</v>
      </c>
      <c r="D5012" t="s">
        <v>8886</v>
      </c>
      <c r="E5012" t="str">
        <f>HYPERLINK("https://patents.google.com/patent/CN105292344A/en")</f>
        <v>https://patents.google.com/patent/CN105292344A/en</v>
      </c>
    </row>
    <row r="5013" spans="3:5" x14ac:dyDescent="0.25">
      <c r="C5013" t="s">
        <v>8887</v>
      </c>
      <c r="D5013" t="s">
        <v>8888</v>
      </c>
      <c r="E5013" t="str">
        <f>HYPERLINK("https://patents.google.com/patent/CN204056178U/en")</f>
        <v>https://patents.google.com/patent/CN204056178U/en</v>
      </c>
    </row>
    <row r="5014" spans="3:5" x14ac:dyDescent="0.25">
      <c r="C5014" t="s">
        <v>8889</v>
      </c>
      <c r="D5014" t="s">
        <v>8890</v>
      </c>
      <c r="E5014" t="str">
        <f>HYPERLINK("https://patents.google.com/patent/WO2010053740A1/en")</f>
        <v>https://patents.google.com/patent/WO2010053740A1/en</v>
      </c>
    </row>
    <row r="5015" spans="3:5" x14ac:dyDescent="0.25">
      <c r="C5015" t="s">
        <v>8891</v>
      </c>
      <c r="D5015" t="s">
        <v>8892</v>
      </c>
      <c r="E5015" t="str">
        <f>HYPERLINK("https://patents.google.com/patent/CN204077958U/en")</f>
        <v>https://patents.google.com/patent/CN204077958U/en</v>
      </c>
    </row>
    <row r="5016" spans="3:5" x14ac:dyDescent="0.25">
      <c r="C5016" t="s">
        <v>8893</v>
      </c>
      <c r="D5016" t="s">
        <v>8894</v>
      </c>
      <c r="E5016" t="str">
        <f>HYPERLINK("https://patents.google.com/patent/CN204110257U/en")</f>
        <v>https://patents.google.com/patent/CN204110257U/en</v>
      </c>
    </row>
    <row r="5017" spans="3:5" x14ac:dyDescent="0.25">
      <c r="C5017" t="s">
        <v>8895</v>
      </c>
      <c r="D5017" t="s">
        <v>8896</v>
      </c>
      <c r="E5017" t="str">
        <f>HYPERLINK("https://patents.google.com/patent/CN204368370U/en")</f>
        <v>https://patents.google.com/patent/CN204368370U/en</v>
      </c>
    </row>
    <row r="5018" spans="3:5" x14ac:dyDescent="0.25">
      <c r="C5018" t="s">
        <v>8897</v>
      </c>
      <c r="D5018" t="s">
        <v>8898</v>
      </c>
      <c r="E5018" t="str">
        <f>HYPERLINK("https://patents.google.com/patent/CN202847921U/en")</f>
        <v>https://patents.google.com/patent/CN202847921U/en</v>
      </c>
    </row>
    <row r="5019" spans="3:5" x14ac:dyDescent="0.25">
      <c r="C5019" t="s">
        <v>8899</v>
      </c>
      <c r="D5019" t="s">
        <v>8900</v>
      </c>
      <c r="E5019" t="str">
        <f>HYPERLINK("https://patents.google.com/patent/US8424628B1/en")</f>
        <v>https://patents.google.com/patent/US8424628B1/en</v>
      </c>
    </row>
    <row r="5020" spans="3:5" x14ac:dyDescent="0.25">
      <c r="C5020" t="s">
        <v>8901</v>
      </c>
      <c r="D5020" t="s">
        <v>8902</v>
      </c>
      <c r="E5020" t="str">
        <f>HYPERLINK("https://patents.google.com/patent/CN103144715A/en")</f>
        <v>https://patents.google.com/patent/CN103144715A/en</v>
      </c>
    </row>
    <row r="5021" spans="3:5" x14ac:dyDescent="0.25">
      <c r="C5021" t="s">
        <v>8903</v>
      </c>
      <c r="D5021" t="s">
        <v>8904</v>
      </c>
      <c r="E5021" t="str">
        <f>HYPERLINK("https://patents.google.com/patent/CN104494749A/en")</f>
        <v>https://patents.google.com/patent/CN104494749A/en</v>
      </c>
    </row>
    <row r="5022" spans="3:5" x14ac:dyDescent="0.25">
      <c r="C5022" t="s">
        <v>8905</v>
      </c>
      <c r="D5022" t="s">
        <v>8906</v>
      </c>
      <c r="E5022" t="str">
        <f>HYPERLINK("https://patents.google.com/patent/CN204077959U/en")</f>
        <v>https://patents.google.com/patent/CN204077959U/en</v>
      </c>
    </row>
    <row r="5023" spans="3:5" x14ac:dyDescent="0.25">
      <c r="C5023" t="s">
        <v>8907</v>
      </c>
      <c r="D5023" t="s">
        <v>8908</v>
      </c>
      <c r="E5023" t="str">
        <f>HYPERLINK("https://patents.google.com/patent/US20180029662A1/en")</f>
        <v>https://patents.google.com/patent/US20180029662A1/en</v>
      </c>
    </row>
    <row r="5024" spans="3:5" x14ac:dyDescent="0.25">
      <c r="C5024" t="s">
        <v>8909</v>
      </c>
      <c r="D5024" t="s">
        <v>8910</v>
      </c>
      <c r="E5024" t="str">
        <f>HYPERLINK("https://patents.google.com/patent/CN204527462U/en")</f>
        <v>https://patents.google.com/patent/CN204527462U/en</v>
      </c>
    </row>
    <row r="5025" spans="3:5" x14ac:dyDescent="0.25">
      <c r="C5025" t="s">
        <v>8911</v>
      </c>
      <c r="D5025" t="s">
        <v>8912</v>
      </c>
      <c r="E5025" t="str">
        <f>HYPERLINK("https://patents.google.com/patent/KR20140093022A/en")</f>
        <v>https://patents.google.com/patent/KR20140093022A/en</v>
      </c>
    </row>
    <row r="5026" spans="3:5" x14ac:dyDescent="0.25">
      <c r="C5026" t="s">
        <v>8913</v>
      </c>
      <c r="D5026" t="s">
        <v>8914</v>
      </c>
      <c r="E5026" t="str">
        <f>HYPERLINK("https://patents.google.com/patent/CN105438356A/en")</f>
        <v>https://patents.google.com/patent/CN105438356A/en</v>
      </c>
    </row>
    <row r="5027" spans="3:5" x14ac:dyDescent="0.25">
      <c r="C5027" t="s">
        <v>8915</v>
      </c>
      <c r="D5027" t="s">
        <v>8916</v>
      </c>
      <c r="E5027" t="str">
        <f>HYPERLINK("https://patents.google.com/patent/CN104494750A/en")</f>
        <v>https://patents.google.com/patent/CN104494750A/en</v>
      </c>
    </row>
    <row r="5028" spans="3:5" x14ac:dyDescent="0.25">
      <c r="C5028" t="s">
        <v>8917</v>
      </c>
      <c r="D5028" t="s">
        <v>8918</v>
      </c>
      <c r="E5028" t="str">
        <f>HYPERLINK("https://patents.google.com/patent/CN103661723A/en")</f>
        <v>https://patents.google.com/patent/CN103661723A/en</v>
      </c>
    </row>
    <row r="5029" spans="3:5" x14ac:dyDescent="0.25">
      <c r="C5029" t="s">
        <v>8919</v>
      </c>
      <c r="D5029" t="s">
        <v>8920</v>
      </c>
      <c r="E5029" t="str">
        <f>HYPERLINK("https://patents.google.com/patent/CN204688302U/en")</f>
        <v>https://patents.google.com/patent/CN204688302U/en</v>
      </c>
    </row>
    <row r="5030" spans="3:5" x14ac:dyDescent="0.25">
      <c r="C5030" t="s">
        <v>8921</v>
      </c>
      <c r="D5030" t="s">
        <v>8922</v>
      </c>
      <c r="E5030" t="str">
        <f>HYPERLINK("https://patents.google.com/patent/CN105480114B/en")</f>
        <v>https://patents.google.com/patent/CN105480114B/en</v>
      </c>
    </row>
    <row r="5031" spans="3:5" x14ac:dyDescent="0.25">
      <c r="C5031" t="s">
        <v>8923</v>
      </c>
      <c r="D5031" t="s">
        <v>8924</v>
      </c>
      <c r="E5031" t="str">
        <f>HYPERLINK("https://patents.google.com/patent/CN105523115A/en")</f>
        <v>https://patents.google.com/patent/CN105523115A/en</v>
      </c>
    </row>
    <row r="5032" spans="3:5" x14ac:dyDescent="0.25">
      <c r="C5032" t="s">
        <v>8925</v>
      </c>
      <c r="D5032" t="s">
        <v>8926</v>
      </c>
      <c r="E5032" t="str">
        <f>HYPERLINK("https://patents.google.com/patent/CN105857475A/en")</f>
        <v>https://patents.google.com/patent/CN105857475A/en</v>
      </c>
    </row>
    <row r="5033" spans="3:5" x14ac:dyDescent="0.25">
      <c r="C5033" t="s">
        <v>8927</v>
      </c>
      <c r="D5033" t="s">
        <v>8928</v>
      </c>
      <c r="E5033" t="str">
        <f>HYPERLINK("https://patents.google.com/patent/WO2016041485A1/en")</f>
        <v>https://patents.google.com/patent/WO2016041485A1/en</v>
      </c>
    </row>
    <row r="5034" spans="3:5" x14ac:dyDescent="0.25">
      <c r="C5034" t="s">
        <v>8929</v>
      </c>
      <c r="D5034" t="s">
        <v>8930</v>
      </c>
      <c r="E5034" t="str">
        <f>HYPERLINK("https://patents.google.com/patent/CN205059869U/en")</f>
        <v>https://patents.google.com/patent/CN205059869U/en</v>
      </c>
    </row>
    <row r="5035" spans="3:5" x14ac:dyDescent="0.25">
      <c r="C5035" t="s">
        <v>8931</v>
      </c>
      <c r="D5035" t="s">
        <v>8932</v>
      </c>
      <c r="E5035" t="str">
        <f>HYPERLINK("https://patents.google.com/patent/CN204184519U/en")</f>
        <v>https://patents.google.com/patent/CN204184519U/en</v>
      </c>
    </row>
    <row r="5036" spans="3:5" x14ac:dyDescent="0.25">
      <c r="C5036" t="s">
        <v>8933</v>
      </c>
      <c r="D5036" t="s">
        <v>8934</v>
      </c>
      <c r="E5036" t="str">
        <f>HYPERLINK("https://patents.google.com/patent/US20180257512A1/en")</f>
        <v>https://patents.google.com/patent/US20180257512A1/en</v>
      </c>
    </row>
    <row r="5037" spans="3:5" x14ac:dyDescent="0.25">
      <c r="C5037" t="s">
        <v>8935</v>
      </c>
      <c r="D5037" t="s">
        <v>8936</v>
      </c>
      <c r="E5037" t="str">
        <f>HYPERLINK("https://patents.google.com/patent/CN106005153A/en")</f>
        <v>https://patents.google.com/patent/CN106005153A/en</v>
      </c>
    </row>
    <row r="5038" spans="3:5" x14ac:dyDescent="0.25">
      <c r="C5038" t="s">
        <v>8937</v>
      </c>
      <c r="D5038" t="s">
        <v>8938</v>
      </c>
      <c r="E5038" t="str">
        <f>HYPERLINK("https://patents.google.com/patent/CN203111397U/en")</f>
        <v>https://patents.google.com/patent/CN203111397U/en</v>
      </c>
    </row>
    <row r="5039" spans="3:5" x14ac:dyDescent="0.25">
      <c r="C5039" t="s">
        <v>8927</v>
      </c>
      <c r="D5039" t="s">
        <v>8939</v>
      </c>
      <c r="E5039" t="str">
        <f>HYPERLINK("https://patents.google.com/patent/US20170233024A1/en")</f>
        <v>https://patents.google.com/patent/US20170233024A1/en</v>
      </c>
    </row>
    <row r="5040" spans="3:5" x14ac:dyDescent="0.25">
      <c r="C5040" t="s">
        <v>8940</v>
      </c>
      <c r="D5040" t="s">
        <v>8941</v>
      </c>
      <c r="E5040" t="str">
        <f>HYPERLINK("https://patents.google.com/patent/CN103407530A/en")</f>
        <v>https://patents.google.com/patent/CN103407530A/en</v>
      </c>
    </row>
    <row r="5041" spans="3:5" x14ac:dyDescent="0.25">
      <c r="C5041" t="s">
        <v>8942</v>
      </c>
      <c r="D5041" t="s">
        <v>8943</v>
      </c>
      <c r="E5041" t="str">
        <f>HYPERLINK("https://patents.google.com/patent/DE102016119729A1/en")</f>
        <v>https://patents.google.com/patent/DE102016119729A1/en</v>
      </c>
    </row>
    <row r="5042" spans="3:5" x14ac:dyDescent="0.25">
      <c r="C5042" t="s">
        <v>8944</v>
      </c>
      <c r="D5042" t="s">
        <v>8945</v>
      </c>
      <c r="E5042" t="str">
        <f>HYPERLINK("https://patents.google.com/patent/CN204527460U/en")</f>
        <v>https://patents.google.com/patent/CN204527460U/en</v>
      </c>
    </row>
    <row r="5043" spans="3:5" x14ac:dyDescent="0.25">
      <c r="C5043" t="s">
        <v>8927</v>
      </c>
      <c r="D5043" t="s">
        <v>8946</v>
      </c>
      <c r="E5043" t="str">
        <f>HYPERLINK("https://patents.google.com/patent/US20170253287A1/en")</f>
        <v>https://patents.google.com/patent/US20170253287A1/en</v>
      </c>
    </row>
    <row r="5044" spans="3:5" x14ac:dyDescent="0.25">
      <c r="C5044" t="s">
        <v>8947</v>
      </c>
      <c r="D5044" t="s">
        <v>8948</v>
      </c>
      <c r="E5044" t="str">
        <f>HYPERLINK("https://patents.google.com/patent/CN206351741U/en")</f>
        <v>https://patents.google.com/patent/CN206351741U/en</v>
      </c>
    </row>
    <row r="5045" spans="3:5" x14ac:dyDescent="0.25">
      <c r="C5045" t="s">
        <v>8949</v>
      </c>
      <c r="D5045" t="s">
        <v>8950</v>
      </c>
      <c r="E5045" t="str">
        <f>HYPERLINK("https://patents.google.com/patent/CN102009720A/en")</f>
        <v>https://patents.google.com/patent/CN102009720A/en</v>
      </c>
    </row>
    <row r="5046" spans="3:5" x14ac:dyDescent="0.25">
      <c r="C5046" t="s">
        <v>8951</v>
      </c>
      <c r="D5046" t="s">
        <v>8952</v>
      </c>
      <c r="E5046" t="str">
        <f>HYPERLINK("https://patents.google.com/patent/DE202015105515U1/en")</f>
        <v>https://patents.google.com/patent/DE202015105515U1/en</v>
      </c>
    </row>
    <row r="5047" spans="3:5" x14ac:dyDescent="0.25">
      <c r="C5047" t="s">
        <v>8953</v>
      </c>
      <c r="D5047" t="s">
        <v>8954</v>
      </c>
      <c r="E5047" t="str">
        <f>HYPERLINK("https://patents.google.com/patent/CN104527878B/en")</f>
        <v>https://patents.google.com/patent/CN104527878B/en</v>
      </c>
    </row>
    <row r="5048" spans="3:5" x14ac:dyDescent="0.25">
      <c r="C5048" t="s">
        <v>8955</v>
      </c>
      <c r="D5048" t="s">
        <v>8956</v>
      </c>
      <c r="E5048" t="str">
        <f>HYPERLINK("https://patents.google.com/patent/CN207773343U/en")</f>
        <v>https://patents.google.com/patent/CN207773343U/en</v>
      </c>
    </row>
    <row r="5049" spans="3:5" x14ac:dyDescent="0.25">
      <c r="C5049" t="s">
        <v>8957</v>
      </c>
      <c r="D5049" t="s">
        <v>8958</v>
      </c>
      <c r="E5049" t="str">
        <f>HYPERLINK("https://patents.google.com/patent/CN105197155A/en")</f>
        <v>https://patents.google.com/patent/CN105197155A/en</v>
      </c>
    </row>
    <row r="5050" spans="3:5" x14ac:dyDescent="0.25">
      <c r="C5050" t="s">
        <v>8959</v>
      </c>
      <c r="D5050" t="s">
        <v>8960</v>
      </c>
      <c r="E5050" t="str">
        <f>HYPERLINK("https://patents.google.com/patent/CN204184520U/en")</f>
        <v>https://patents.google.com/patent/CN204184520U/en</v>
      </c>
    </row>
    <row r="5051" spans="3:5" x14ac:dyDescent="0.25">
      <c r="C5051" t="s">
        <v>4446</v>
      </c>
      <c r="D5051" t="s">
        <v>8961</v>
      </c>
      <c r="E5051" t="str">
        <f>HYPERLINK("https://patents.google.com/patent/CN105857466A/en")</f>
        <v>https://patents.google.com/patent/CN105857466A/en</v>
      </c>
    </row>
    <row r="5052" spans="3:5" x14ac:dyDescent="0.25">
      <c r="C5052" t="s">
        <v>8962</v>
      </c>
      <c r="D5052" t="s">
        <v>8963</v>
      </c>
      <c r="E5052" t="str">
        <f>HYPERLINK("https://patents.google.com/patent/CN204415624U/en")</f>
        <v>https://patents.google.com/patent/CN204415624U/en</v>
      </c>
    </row>
    <row r="5053" spans="3:5" x14ac:dyDescent="0.25">
      <c r="C5053" t="s">
        <v>8964</v>
      </c>
      <c r="D5053" t="s">
        <v>8965</v>
      </c>
      <c r="E5053" t="str">
        <f>HYPERLINK("https://patents.google.com/patent/CN106080942A/en")</f>
        <v>https://patents.google.com/patent/CN106080942A/en</v>
      </c>
    </row>
    <row r="5054" spans="3:5" x14ac:dyDescent="0.25">
      <c r="C5054" t="s">
        <v>8966</v>
      </c>
      <c r="D5054" t="s">
        <v>8967</v>
      </c>
      <c r="E5054" t="str">
        <f>HYPERLINK("https://patents.google.com/patent/CN205168752U/en")</f>
        <v>https://patents.google.com/patent/CN205168752U/en</v>
      </c>
    </row>
    <row r="5055" spans="3:5" x14ac:dyDescent="0.25">
      <c r="C5055" t="s">
        <v>8968</v>
      </c>
      <c r="D5055" t="s">
        <v>8969</v>
      </c>
      <c r="E5055" t="str">
        <f>HYPERLINK("https://patents.google.com/patent/CN205632808U/en")</f>
        <v>https://patents.google.com/patent/CN205632808U/en</v>
      </c>
    </row>
    <row r="5056" spans="3:5" x14ac:dyDescent="0.25">
      <c r="C5056" t="s">
        <v>8970</v>
      </c>
      <c r="D5056" t="s">
        <v>8971</v>
      </c>
      <c r="E5056" t="str">
        <f>HYPERLINK("https://patents.google.com/patent/CN206060599U/en")</f>
        <v>https://patents.google.com/patent/CN206060599U/en</v>
      </c>
    </row>
    <row r="5057" spans="3:5" x14ac:dyDescent="0.25">
      <c r="C5057" t="s">
        <v>8972</v>
      </c>
      <c r="D5057" t="s">
        <v>8973</v>
      </c>
      <c r="E5057" t="str">
        <f>HYPERLINK("https://patents.google.com/patent/CN205554443U/en")</f>
        <v>https://patents.google.com/patent/CN205554443U/en</v>
      </c>
    </row>
    <row r="5058" spans="3:5" x14ac:dyDescent="0.25">
      <c r="C5058" t="s">
        <v>8974</v>
      </c>
      <c r="D5058" t="s">
        <v>8975</v>
      </c>
      <c r="E5058" t="str">
        <f>HYPERLINK("https://patents.google.com/patent/CN204210654U/en")</f>
        <v>https://patents.google.com/patent/CN204210654U/en</v>
      </c>
    </row>
    <row r="5059" spans="3:5" x14ac:dyDescent="0.25">
      <c r="C5059" t="s">
        <v>8976</v>
      </c>
      <c r="D5059" t="s">
        <v>8977</v>
      </c>
      <c r="E5059" t="str">
        <f>HYPERLINK("https://patents.google.com/patent/WO2016083901A1/en")</f>
        <v>https://patents.google.com/patent/WO2016083901A1/en</v>
      </c>
    </row>
    <row r="5060" spans="3:5" x14ac:dyDescent="0.25">
      <c r="C5060" t="s">
        <v>8978</v>
      </c>
      <c r="D5060" t="s">
        <v>8979</v>
      </c>
      <c r="E5060" t="str">
        <f>HYPERLINK("https://patents.google.com/patent/CN104554560A/en")</f>
        <v>https://patents.google.com/patent/CN104554560A/en</v>
      </c>
    </row>
    <row r="5061" spans="3:5" x14ac:dyDescent="0.25">
      <c r="C5061" t="s">
        <v>8980</v>
      </c>
      <c r="D5061" t="s">
        <v>8981</v>
      </c>
      <c r="E5061" t="str">
        <f>HYPERLINK("https://patents.google.com/patent/CN206141739U/en")</f>
        <v>https://patents.google.com/patent/CN206141739U/en</v>
      </c>
    </row>
    <row r="5062" spans="3:5" x14ac:dyDescent="0.25">
      <c r="C5062" t="s">
        <v>8982</v>
      </c>
      <c r="D5062" t="s">
        <v>8983</v>
      </c>
      <c r="E5062" t="str">
        <f>HYPERLINK("https://patents.google.com/patent/CN105329347A/en")</f>
        <v>https://patents.google.com/patent/CN105329347A/en</v>
      </c>
    </row>
    <row r="5063" spans="3:5" x14ac:dyDescent="0.25">
      <c r="C5063" t="s">
        <v>8984</v>
      </c>
      <c r="D5063" t="s">
        <v>8985</v>
      </c>
      <c r="E5063" t="str">
        <f>HYPERLINK("https://patents.google.com/patent/US20180286236A1/en")</f>
        <v>https://patents.google.com/patent/US20180286236A1/en</v>
      </c>
    </row>
    <row r="5064" spans="3:5" x14ac:dyDescent="0.25">
      <c r="C5064" t="s">
        <v>8986</v>
      </c>
      <c r="D5064" t="s">
        <v>8987</v>
      </c>
      <c r="E5064" t="str">
        <f>HYPERLINK("https://patents.google.com/patent/US20130261766A1/en")</f>
        <v>https://patents.google.com/patent/US20130261766A1/en</v>
      </c>
    </row>
    <row r="5065" spans="3:5" x14ac:dyDescent="0.25">
      <c r="C5065" t="s">
        <v>8988</v>
      </c>
      <c r="D5065" t="s">
        <v>8989</v>
      </c>
      <c r="E5065" t="str">
        <f>HYPERLINK("https://patents.google.com/patent/CN103612696A/en")</f>
        <v>https://patents.google.com/patent/CN103612696A/en</v>
      </c>
    </row>
    <row r="5066" spans="3:5" x14ac:dyDescent="0.25">
      <c r="C5066" t="s">
        <v>8990</v>
      </c>
      <c r="D5066" t="s">
        <v>8991</v>
      </c>
      <c r="E5066" t="str">
        <f>HYPERLINK("https://patents.google.com/patent/RU2600557C2/en")</f>
        <v>https://patents.google.com/patent/RU2600557C2/en</v>
      </c>
    </row>
    <row r="5067" spans="3:5" x14ac:dyDescent="0.25">
      <c r="C5067" t="s">
        <v>8992</v>
      </c>
      <c r="D5067" t="s">
        <v>8993</v>
      </c>
      <c r="E5067" t="str">
        <f>HYPERLINK("https://patents.google.com/patent/CN204736975U/en")</f>
        <v>https://patents.google.com/patent/CN204736975U/en</v>
      </c>
    </row>
    <row r="5068" spans="3:5" x14ac:dyDescent="0.25">
      <c r="C5068" t="s">
        <v>8994</v>
      </c>
      <c r="D5068" t="s">
        <v>8995</v>
      </c>
      <c r="E5068" t="str">
        <f>HYPERLINK("https://patents.google.com/patent/CN203638016U/en")</f>
        <v>https://patents.google.com/patent/CN203638016U/en</v>
      </c>
    </row>
    <row r="5069" spans="3:5" x14ac:dyDescent="0.25">
      <c r="C5069" t="s">
        <v>8996</v>
      </c>
      <c r="D5069" t="s">
        <v>8997</v>
      </c>
      <c r="E5069" t="str">
        <f>HYPERLINK("https://patents.google.com/patent/CN105984541A/en")</f>
        <v>https://patents.google.com/patent/CN105984541A/en</v>
      </c>
    </row>
    <row r="5070" spans="3:5" x14ac:dyDescent="0.25">
      <c r="C5070" t="s">
        <v>8998</v>
      </c>
      <c r="D5070" t="s">
        <v>8999</v>
      </c>
      <c r="E5070" t="str">
        <f>HYPERLINK("https://patents.google.com/patent/CN204210656U/en")</f>
        <v>https://patents.google.com/patent/CN204210656U/en</v>
      </c>
    </row>
    <row r="5071" spans="3:5" x14ac:dyDescent="0.25">
      <c r="C5071" t="s">
        <v>9000</v>
      </c>
      <c r="D5071" t="s">
        <v>9001</v>
      </c>
      <c r="E5071" t="str">
        <f>HYPERLINK("https://patents.google.com/patent/CN203681760U/en")</f>
        <v>https://patents.google.com/patent/CN203681760U/en</v>
      </c>
    </row>
    <row r="5072" spans="3:5" x14ac:dyDescent="0.25">
      <c r="C5072" t="s">
        <v>9002</v>
      </c>
      <c r="D5072" t="s">
        <v>9003</v>
      </c>
      <c r="E5072" t="str">
        <f>HYPERLINK("https://patents.google.com/patent/CN203638017U/en")</f>
        <v>https://patents.google.com/patent/CN203638017U/en</v>
      </c>
    </row>
    <row r="5073" spans="3:5" x14ac:dyDescent="0.25">
      <c r="C5073" t="s">
        <v>9004</v>
      </c>
      <c r="D5073" t="s">
        <v>9005</v>
      </c>
      <c r="E5073" t="str">
        <f>HYPERLINK("https://patents.google.com/patent/US5975225A/en")</f>
        <v>https://patents.google.com/patent/US5975225A/en</v>
      </c>
    </row>
    <row r="5074" spans="3:5" x14ac:dyDescent="0.25">
      <c r="C5074" t="s">
        <v>5200</v>
      </c>
      <c r="D5074" t="s">
        <v>9006</v>
      </c>
      <c r="E5074" t="str">
        <f>HYPERLINK("https://patents.google.com/patent/US6571892B2/en")</f>
        <v>https://patents.google.com/patent/US6571892B2/en</v>
      </c>
    </row>
    <row r="5075" spans="3:5" x14ac:dyDescent="0.25">
      <c r="C5075" t="s">
        <v>9007</v>
      </c>
      <c r="D5075" t="s">
        <v>9008</v>
      </c>
      <c r="E5075" t="str">
        <f>HYPERLINK("https://patents.google.com/patent/US5791425A/en")</f>
        <v>https://patents.google.com/patent/US5791425A/en</v>
      </c>
    </row>
    <row r="5076" spans="3:5" x14ac:dyDescent="0.25">
      <c r="C5076" t="s">
        <v>9009</v>
      </c>
      <c r="D5076" t="s">
        <v>9010</v>
      </c>
      <c r="E5076" t="str">
        <f>HYPERLINK("https://patents.google.com/patent/US6223104B1/en")</f>
        <v>https://patents.google.com/patent/US6223104B1/en</v>
      </c>
    </row>
    <row r="5077" spans="3:5" x14ac:dyDescent="0.25">
      <c r="C5077" t="s">
        <v>9011</v>
      </c>
      <c r="D5077" t="s">
        <v>9012</v>
      </c>
      <c r="E5077" t="str">
        <f>HYPERLINK("https://patents.google.com/patent/US5971091A/en")</f>
        <v>https://patents.google.com/patent/US5971091A/en</v>
      </c>
    </row>
    <row r="5078" spans="3:5" x14ac:dyDescent="0.25">
      <c r="C5078" t="s">
        <v>9013</v>
      </c>
      <c r="D5078" t="s">
        <v>9014</v>
      </c>
      <c r="E5078" t="str">
        <f>HYPERLINK("https://patents.google.com/patent/US8255090B2/en")</f>
        <v>https://patents.google.com/patent/US8255090B2/en</v>
      </c>
    </row>
    <row r="5079" spans="3:5" x14ac:dyDescent="0.25">
      <c r="C5079" t="s">
        <v>9015</v>
      </c>
      <c r="D5079" t="s">
        <v>9016</v>
      </c>
      <c r="E5079" t="str">
        <f>HYPERLINK("https://patents.google.com/patent/CN105539663B/en")</f>
        <v>https://patents.google.com/patent/CN105539663B/en</v>
      </c>
    </row>
    <row r="5080" spans="3:5" x14ac:dyDescent="0.25">
      <c r="C5080" t="s">
        <v>9017</v>
      </c>
      <c r="D5080" t="s">
        <v>9018</v>
      </c>
      <c r="E5080" t="str">
        <f>HYPERLINK("https://patents.google.com/patent/US20170183023A1/en")</f>
        <v>https://patents.google.com/patent/US20170183023A1/en</v>
      </c>
    </row>
    <row r="5081" spans="3:5" x14ac:dyDescent="0.25">
      <c r="C5081" t="s">
        <v>9019</v>
      </c>
      <c r="D5081" t="s">
        <v>9020</v>
      </c>
      <c r="E5081" t="str">
        <f>HYPERLINK("https://patents.google.com/patent/CN206734513U/en")</f>
        <v>https://patents.google.com/patent/CN206734513U/en</v>
      </c>
    </row>
    <row r="5082" spans="3:5" x14ac:dyDescent="0.25">
      <c r="C5082" t="s">
        <v>9021</v>
      </c>
      <c r="D5082" t="s">
        <v>9022</v>
      </c>
      <c r="E5082" t="str">
        <f>HYPERLINK("https://patents.google.com/patent/CN207060272U/en")</f>
        <v>https://patents.google.com/patent/CN207060272U/en</v>
      </c>
    </row>
    <row r="5083" spans="3:5" x14ac:dyDescent="0.25">
      <c r="C5083" t="s">
        <v>9023</v>
      </c>
      <c r="D5083" t="s">
        <v>9024</v>
      </c>
      <c r="E5083" t="str">
        <f>HYPERLINK("https://patents.google.com/patent/CN102616310A/en")</f>
        <v>https://patents.google.com/patent/CN102616310A/en</v>
      </c>
    </row>
    <row r="5084" spans="3:5" x14ac:dyDescent="0.25">
      <c r="C5084" t="s">
        <v>9025</v>
      </c>
      <c r="D5084" t="s">
        <v>9026</v>
      </c>
      <c r="E5084" t="str">
        <f>HYPERLINK("https://patents.google.com/patent/US6561294B1/en")</f>
        <v>https://patents.google.com/patent/US6561294B1/en</v>
      </c>
    </row>
    <row r="5085" spans="3:5" x14ac:dyDescent="0.25">
      <c r="C5085" t="s">
        <v>9027</v>
      </c>
      <c r="D5085" t="s">
        <v>9028</v>
      </c>
      <c r="E5085" t="str">
        <f>HYPERLINK("https://patents.google.com/patent/CN107336774A/en")</f>
        <v>https://patents.google.com/patent/CN107336774A/en</v>
      </c>
    </row>
    <row r="5086" spans="3:5" x14ac:dyDescent="0.25">
      <c r="C5086" t="s">
        <v>8998</v>
      </c>
      <c r="D5086" t="s">
        <v>9029</v>
      </c>
      <c r="E5086" t="str">
        <f>HYPERLINK("https://patents.google.com/patent/CN204415625U/en")</f>
        <v>https://patents.google.com/patent/CN204415625U/en</v>
      </c>
    </row>
    <row r="5087" spans="3:5" x14ac:dyDescent="0.25">
      <c r="C5087" t="s">
        <v>9030</v>
      </c>
      <c r="D5087" t="s">
        <v>9031</v>
      </c>
      <c r="E5087" t="str">
        <f>HYPERLINK("https://patents.google.com/patent/CN204323603U/en")</f>
        <v>https://patents.google.com/patent/CN204323603U/en</v>
      </c>
    </row>
    <row r="5088" spans="3:5" x14ac:dyDescent="0.25">
      <c r="C5088" t="s">
        <v>8998</v>
      </c>
      <c r="D5088" t="s">
        <v>9032</v>
      </c>
      <c r="E5088" t="str">
        <f>HYPERLINK("https://patents.google.com/patent/CN104386182A/en")</f>
        <v>https://patents.google.com/patent/CN104386182A/en</v>
      </c>
    </row>
    <row r="5089" spans="3:5" x14ac:dyDescent="0.25">
      <c r="C5089" t="s">
        <v>9033</v>
      </c>
      <c r="D5089" t="s">
        <v>9034</v>
      </c>
      <c r="E5089" t="str">
        <f>HYPERLINK("https://patents.google.com/patent/US6992452B1/en")</f>
        <v>https://patents.google.com/patent/US6992452B1/en</v>
      </c>
    </row>
    <row r="5090" spans="3:5" x14ac:dyDescent="0.25">
      <c r="C5090" t="s">
        <v>9035</v>
      </c>
      <c r="D5090" t="s">
        <v>9036</v>
      </c>
      <c r="E5090" t="str">
        <f>HYPERLINK("https://patents.google.com/patent/CN205239725U/en")</f>
        <v>https://patents.google.com/patent/CN205239725U/en</v>
      </c>
    </row>
    <row r="5091" spans="3:5" x14ac:dyDescent="0.25">
      <c r="C5091" t="s">
        <v>9037</v>
      </c>
      <c r="D5091" t="s">
        <v>9038</v>
      </c>
      <c r="E5091" t="str">
        <f>HYPERLINK("https://patents.google.com/patent/US7740099B2/en")</f>
        <v>https://patents.google.com/patent/US7740099B2/en</v>
      </c>
    </row>
    <row r="5092" spans="3:5" x14ac:dyDescent="0.25">
      <c r="C5092" t="s">
        <v>9039</v>
      </c>
      <c r="D5092" t="s">
        <v>9040</v>
      </c>
      <c r="E5092" t="str">
        <f>HYPERLINK("https://patents.google.com/patent/RU2657108C2/en")</f>
        <v>https://patents.google.com/patent/RU2657108C2/en</v>
      </c>
    </row>
    <row r="5093" spans="3:5" x14ac:dyDescent="0.25">
      <c r="C5093" t="s">
        <v>9041</v>
      </c>
      <c r="D5093" t="s">
        <v>9042</v>
      </c>
      <c r="E5093" t="str">
        <f>HYPERLINK("https://patents.google.com/patent/US7275607B2/en")</f>
        <v>https://patents.google.com/patent/US7275607B2/en</v>
      </c>
    </row>
    <row r="5094" spans="3:5" x14ac:dyDescent="0.25">
      <c r="C5094" t="s">
        <v>9043</v>
      </c>
      <c r="D5094" t="s">
        <v>9044</v>
      </c>
      <c r="E5094" t="str">
        <f>HYPERLINK("https://patents.google.com/patent/US6779621B2/en")</f>
        <v>https://patents.google.com/patent/US6779621B2/en</v>
      </c>
    </row>
    <row r="5095" spans="3:5" x14ac:dyDescent="0.25">
      <c r="C5095" t="s">
        <v>9045</v>
      </c>
      <c r="D5095" t="s">
        <v>9046</v>
      </c>
      <c r="E5095" t="str">
        <f>HYPERLINK("https://patents.google.com/patent/CN205239781U/en")</f>
        <v>https://patents.google.com/patent/CN205239781U/en</v>
      </c>
    </row>
    <row r="5096" spans="3:5" x14ac:dyDescent="0.25">
      <c r="C5096" t="s">
        <v>9047</v>
      </c>
      <c r="D5096" t="s">
        <v>9048</v>
      </c>
      <c r="E5096" t="str">
        <f>HYPERLINK("https://patents.google.com/patent/CN203601512U/en")</f>
        <v>https://patents.google.com/patent/CN203601512U/en</v>
      </c>
    </row>
    <row r="5097" spans="3:5" x14ac:dyDescent="0.25">
      <c r="C5097" t="s">
        <v>9049</v>
      </c>
      <c r="D5097" t="s">
        <v>9050</v>
      </c>
      <c r="E5097" t="str">
        <f>HYPERLINK("https://patents.google.com/patent/CN204077975U/en")</f>
        <v>https://patents.google.com/patent/CN204077975U/en</v>
      </c>
    </row>
    <row r="5098" spans="3:5" x14ac:dyDescent="0.25">
      <c r="C5098" t="s">
        <v>9051</v>
      </c>
      <c r="D5098" t="s">
        <v>9052</v>
      </c>
      <c r="E5098" t="str">
        <f>HYPERLINK("https://patents.google.com/patent/CN104181817A/en")</f>
        <v>https://patents.google.com/patent/CN104181817A/en</v>
      </c>
    </row>
    <row r="5099" spans="3:5" x14ac:dyDescent="0.25">
      <c r="C5099" t="s">
        <v>9053</v>
      </c>
      <c r="D5099" t="s">
        <v>9054</v>
      </c>
      <c r="E5099" t="str">
        <f>HYPERLINK("https://patents.google.com/patent/CN205273726U/en")</f>
        <v>https://patents.google.com/patent/CN205273726U/en</v>
      </c>
    </row>
    <row r="5100" spans="3:5" x14ac:dyDescent="0.25">
      <c r="C5100" t="s">
        <v>9055</v>
      </c>
      <c r="D5100" t="s">
        <v>9056</v>
      </c>
      <c r="E5100" t="str">
        <f>HYPERLINK("https://patents.google.com/patent/CN106882342A/en")</f>
        <v>https://patents.google.com/patent/CN106882342A/en</v>
      </c>
    </row>
    <row r="5101" spans="3:5" x14ac:dyDescent="0.25">
      <c r="C5101" t="s">
        <v>9057</v>
      </c>
      <c r="D5101" t="s">
        <v>9058</v>
      </c>
      <c r="E5101" t="str">
        <f>HYPERLINK("https://patents.google.com/patent/ES1200435U/en")</f>
        <v>https://patents.google.com/patent/ES1200435U/en</v>
      </c>
    </row>
    <row r="5102" spans="3:5" x14ac:dyDescent="0.25">
      <c r="C5102" t="s">
        <v>9059</v>
      </c>
      <c r="D5102" t="s">
        <v>9060</v>
      </c>
      <c r="E5102" t="str">
        <f>HYPERLINK("https://patents.google.com/patent/CN207657960U/en")</f>
        <v>https://patents.google.com/patent/CN207657960U/en</v>
      </c>
    </row>
    <row r="5103" spans="3:5" x14ac:dyDescent="0.25">
      <c r="C5103" t="s">
        <v>9061</v>
      </c>
      <c r="D5103" t="s">
        <v>9062</v>
      </c>
      <c r="E5103" t="str">
        <f>HYPERLINK("https://patents.google.com/patent/CN102275621B/en")</f>
        <v>https://patents.google.com/patent/CN102275621B/en</v>
      </c>
    </row>
    <row r="5104" spans="3:5" x14ac:dyDescent="0.25">
      <c r="C5104" t="s">
        <v>9063</v>
      </c>
      <c r="D5104" t="s">
        <v>9064</v>
      </c>
      <c r="E5104" t="str">
        <f>HYPERLINK("https://patents.google.com/patent/CN107097896A/en")</f>
        <v>https://patents.google.com/patent/CN107097896A/en</v>
      </c>
    </row>
    <row r="5105" spans="3:5" x14ac:dyDescent="0.25">
      <c r="C5105" t="s">
        <v>9065</v>
      </c>
      <c r="D5105" t="s">
        <v>9066</v>
      </c>
      <c r="E5105" t="str">
        <f>HYPERLINK("https://patents.google.com/patent/CN101565073A/en")</f>
        <v>https://patents.google.com/patent/CN101565073A/en</v>
      </c>
    </row>
    <row r="5106" spans="3:5" x14ac:dyDescent="0.25">
      <c r="C5106" t="s">
        <v>9067</v>
      </c>
      <c r="D5106" t="s">
        <v>9068</v>
      </c>
      <c r="E5106" t="str">
        <f>HYPERLINK("https://patents.google.com/patent/CN105329385A/en")</f>
        <v>https://patents.google.com/patent/CN105329385A/en</v>
      </c>
    </row>
    <row r="5107" spans="3:5" x14ac:dyDescent="0.25">
      <c r="C5107" t="s">
        <v>9069</v>
      </c>
      <c r="D5107" t="s">
        <v>9070</v>
      </c>
      <c r="E5107" t="str">
        <f>HYPERLINK("https://patents.google.com/patent/CN105329376A/en")</f>
        <v>https://patents.google.com/patent/CN105329376A/en</v>
      </c>
    </row>
    <row r="5108" spans="3:5" x14ac:dyDescent="0.25">
      <c r="C5108" t="s">
        <v>9071</v>
      </c>
      <c r="D5108" t="s">
        <v>9072</v>
      </c>
      <c r="E5108" t="str">
        <f>HYPERLINK("https://patents.google.com/patent/CN107174488A/en")</f>
        <v>https://patents.google.com/patent/CN107174488A/en</v>
      </c>
    </row>
    <row r="5109" spans="3:5" x14ac:dyDescent="0.25">
      <c r="C5109" t="s">
        <v>9073</v>
      </c>
      <c r="D5109" t="s">
        <v>9074</v>
      </c>
      <c r="E5109" t="str">
        <f>HYPERLINK("https://patents.google.com/patent/CN106945767A/en")</f>
        <v>https://patents.google.com/patent/CN106945767A/en</v>
      </c>
    </row>
    <row r="5110" spans="3:5" x14ac:dyDescent="0.25">
      <c r="C5110" t="s">
        <v>9075</v>
      </c>
      <c r="D5110" t="s">
        <v>9076</v>
      </c>
      <c r="E5110" t="str">
        <f>HYPERLINK("https://patents.google.com/patent/US20070219430A1/en")</f>
        <v>https://patents.google.com/patent/US20070219430A1/en</v>
      </c>
    </row>
    <row r="5111" spans="3:5" x14ac:dyDescent="0.25">
      <c r="C5111" t="s">
        <v>9077</v>
      </c>
      <c r="D5111" t="s">
        <v>9078</v>
      </c>
      <c r="E5111" t="str">
        <f>HYPERLINK("https://patents.google.com/patent/CN105752246A/en")</f>
        <v>https://patents.google.com/patent/CN105752246A/en</v>
      </c>
    </row>
    <row r="5112" spans="3:5" x14ac:dyDescent="0.25">
      <c r="C5112" t="s">
        <v>9079</v>
      </c>
      <c r="D5112" t="s">
        <v>9080</v>
      </c>
      <c r="E5112" t="str">
        <f>HYPERLINK("https://patents.google.com/patent/US6311794B1/en")</f>
        <v>https://patents.google.com/patent/US6311794B1/en</v>
      </c>
    </row>
    <row r="5113" spans="3:5" x14ac:dyDescent="0.25">
      <c r="C5113" t="s">
        <v>9081</v>
      </c>
      <c r="D5113" t="s">
        <v>9082</v>
      </c>
      <c r="E5113" t="str">
        <f>HYPERLINK("https://patents.google.com/patent/US8725330B2/en")</f>
        <v>https://patents.google.com/patent/US8725330B2/en</v>
      </c>
    </row>
    <row r="5114" spans="3:5" x14ac:dyDescent="0.25">
      <c r="C5114" t="s">
        <v>9083</v>
      </c>
      <c r="D5114" t="s">
        <v>9084</v>
      </c>
      <c r="E5114" t="str">
        <f>HYPERLINK("https://patents.google.com/patent/EP2606869A1/en")</f>
        <v>https://patents.google.com/patent/EP2606869A1/en</v>
      </c>
    </row>
    <row r="5115" spans="3:5" x14ac:dyDescent="0.25">
      <c r="C5115" t="s">
        <v>9085</v>
      </c>
      <c r="D5115" t="s">
        <v>9086</v>
      </c>
      <c r="E5115" t="str">
        <f>HYPERLINK("https://patents.google.com/patent/CN105365965B/en")</f>
        <v>https://patents.google.com/patent/CN105365965B/en</v>
      </c>
    </row>
    <row r="5116" spans="3:5" x14ac:dyDescent="0.25">
      <c r="C5116" t="s">
        <v>9087</v>
      </c>
      <c r="D5116" t="s">
        <v>9088</v>
      </c>
      <c r="E5116" t="str">
        <f>HYPERLINK("https://patents.google.com/patent/US7784206B2/en")</f>
        <v>https://patents.google.com/patent/US7784206B2/en</v>
      </c>
    </row>
    <row r="5117" spans="3:5" x14ac:dyDescent="0.25">
      <c r="C5117" t="s">
        <v>9089</v>
      </c>
      <c r="D5117" t="s">
        <v>9090</v>
      </c>
      <c r="E5117" t="str">
        <f>HYPERLINK("https://patents.google.com/patent/CN205961005U/en")</f>
        <v>https://patents.google.com/patent/CN205961005U/en</v>
      </c>
    </row>
    <row r="5118" spans="3:5" x14ac:dyDescent="0.25">
      <c r="C5118" t="s">
        <v>9091</v>
      </c>
      <c r="D5118" t="s">
        <v>9092</v>
      </c>
      <c r="E5118" t="str">
        <f>HYPERLINK("https://patents.google.com/patent/CN107985487A/en")</f>
        <v>https://patents.google.com/patent/CN107985487A/en</v>
      </c>
    </row>
    <row r="5119" spans="3:5" x14ac:dyDescent="0.25">
      <c r="C5119" t="s">
        <v>9093</v>
      </c>
      <c r="D5119" t="s">
        <v>9094</v>
      </c>
      <c r="E5119" t="str">
        <f>HYPERLINK("https://patents.google.com/patent/CN203652017U/en")</f>
        <v>https://patents.google.com/patent/CN203652017U/en</v>
      </c>
    </row>
    <row r="5120" spans="3:5" x14ac:dyDescent="0.25">
      <c r="C5120" t="s">
        <v>9095</v>
      </c>
      <c r="D5120" t="s">
        <v>9096</v>
      </c>
      <c r="E5120" t="str">
        <f>HYPERLINK("https://patents.google.com/patent/US7130702B2/en")</f>
        <v>https://patents.google.com/patent/US7130702B2/en</v>
      </c>
    </row>
    <row r="5121" spans="3:5" x14ac:dyDescent="0.25">
      <c r="C5121" t="s">
        <v>9097</v>
      </c>
      <c r="D5121" t="s">
        <v>9098</v>
      </c>
      <c r="E5121" t="str">
        <f>HYPERLINK("https://patents.google.com/patent/US20120150670A1/en")</f>
        <v>https://patents.google.com/patent/US20120150670A1/en</v>
      </c>
    </row>
    <row r="5122" spans="3:5" x14ac:dyDescent="0.25">
      <c r="C5122" t="s">
        <v>9099</v>
      </c>
      <c r="D5122" t="s">
        <v>9100</v>
      </c>
      <c r="E5122" t="str">
        <f>HYPERLINK("https://patents.google.com/patent/US20050074019A1/en")</f>
        <v>https://patents.google.com/patent/US20050074019A1/en</v>
      </c>
    </row>
    <row r="5123" spans="3:5" x14ac:dyDescent="0.25">
      <c r="C5123" t="s">
        <v>9101</v>
      </c>
      <c r="D5123" t="s">
        <v>9102</v>
      </c>
      <c r="E5123" t="str">
        <f>HYPERLINK("https://patents.google.com/patent/US20100228405A1/en")</f>
        <v>https://patents.google.com/patent/US20100228405A1/en</v>
      </c>
    </row>
    <row r="5124" spans="3:5" x14ac:dyDescent="0.25">
      <c r="C5124" t="s">
        <v>9103</v>
      </c>
      <c r="D5124" t="s">
        <v>9104</v>
      </c>
      <c r="E5124" t="str">
        <f>HYPERLINK("https://patents.google.com/patent/US20110184842A1/en")</f>
        <v>https://patents.google.com/patent/US20110184842A1/en</v>
      </c>
    </row>
    <row r="5125" spans="3:5" x14ac:dyDescent="0.25">
      <c r="C5125" t="s">
        <v>9105</v>
      </c>
      <c r="D5125" t="s">
        <v>9106</v>
      </c>
      <c r="E5125" t="str">
        <f>HYPERLINK("https://patents.google.com/patent/US20140191568A1/en")</f>
        <v>https://patents.google.com/patent/US20140191568A1/en</v>
      </c>
    </row>
    <row r="5126" spans="3:5" x14ac:dyDescent="0.25">
      <c r="C5126" t="s">
        <v>9107</v>
      </c>
      <c r="D5126" t="s">
        <v>9108</v>
      </c>
      <c r="E5126" t="str">
        <f>HYPERLINK("https://patents.google.com/patent/US20080191864A1/en")</f>
        <v>https://patents.google.com/patent/US20080191864A1/en</v>
      </c>
    </row>
    <row r="5127" spans="3:5" x14ac:dyDescent="0.25">
      <c r="C5127" t="s">
        <v>9109</v>
      </c>
      <c r="D5127" t="s">
        <v>9110</v>
      </c>
      <c r="E5127" t="str">
        <f>HYPERLINK("https://patents.google.com/patent/US20100174629A1/en")</f>
        <v>https://patents.google.com/patent/US20100174629A1/en</v>
      </c>
    </row>
    <row r="5128" spans="3:5" x14ac:dyDescent="0.25">
      <c r="C5128" t="s">
        <v>9111</v>
      </c>
      <c r="D5128" t="s">
        <v>9112</v>
      </c>
      <c r="E5128" t="str">
        <f>HYPERLINK("https://patents.google.com/patent/US20100289627A1/en")</f>
        <v>https://patents.google.com/patent/US20100289627A1/en</v>
      </c>
    </row>
    <row r="5129" spans="3:5" x14ac:dyDescent="0.25">
      <c r="C5129" t="s">
        <v>9113</v>
      </c>
      <c r="D5129" t="s">
        <v>9114</v>
      </c>
      <c r="E5129" t="str">
        <f>HYPERLINK("https://patents.google.com/patent/US20110208444A1/en")</f>
        <v>https://patents.google.com/patent/US20110208444A1/en</v>
      </c>
    </row>
    <row r="5130" spans="3:5" x14ac:dyDescent="0.25">
      <c r="C5130" t="s">
        <v>9115</v>
      </c>
      <c r="D5130" t="s">
        <v>9116</v>
      </c>
      <c r="E5130" t="str">
        <f>HYPERLINK("https://patents.google.com/patent/US20130300204A1/en")</f>
        <v>https://patents.google.com/patent/US20130300204A1/en</v>
      </c>
    </row>
    <row r="5131" spans="3:5" x14ac:dyDescent="0.25">
      <c r="C5131" t="s">
        <v>9117</v>
      </c>
      <c r="D5131" t="s">
        <v>9118</v>
      </c>
      <c r="E5131" t="str">
        <f>HYPERLINK("https://patents.google.com/patent/US20140130158A1/en")</f>
        <v>https://patents.google.com/patent/US20140130158A1/en</v>
      </c>
    </row>
    <row r="5132" spans="3:5" x14ac:dyDescent="0.25">
      <c r="C5132" t="s">
        <v>9119</v>
      </c>
      <c r="D5132" t="s">
        <v>9120</v>
      </c>
      <c r="E5132" t="str">
        <f>HYPERLINK("https://patents.google.com/patent/CN104986266A/en")</f>
        <v>https://patents.google.com/patent/CN104986266A/en</v>
      </c>
    </row>
    <row r="5133" spans="3:5" x14ac:dyDescent="0.25">
      <c r="C5133" t="s">
        <v>9121</v>
      </c>
      <c r="D5133" t="s">
        <v>9122</v>
      </c>
      <c r="E5133" t="str">
        <f>HYPERLINK("https://patents.google.com/patent/CN104843120A/en")</f>
        <v>https://patents.google.com/patent/CN104843120A/en</v>
      </c>
    </row>
    <row r="5134" spans="3:5" x14ac:dyDescent="0.25">
      <c r="C5134" t="s">
        <v>9123</v>
      </c>
      <c r="D5134" t="s">
        <v>9124</v>
      </c>
      <c r="E5134" t="str">
        <f>HYPERLINK("https://patents.google.com/patent/CN205239796U/en")</f>
        <v>https://patents.google.com/patent/CN205239796U/en</v>
      </c>
    </row>
    <row r="5135" spans="3:5" x14ac:dyDescent="0.25">
      <c r="C5135" t="s">
        <v>9125</v>
      </c>
      <c r="D5135" t="s">
        <v>9126</v>
      </c>
      <c r="E5135" t="str">
        <f>HYPERLINK("https://patents.google.com/patent/US20070010772A1/en")</f>
        <v>https://patents.google.com/patent/US20070010772A1/en</v>
      </c>
    </row>
    <row r="5136" spans="3:5" x14ac:dyDescent="0.25">
      <c r="C5136" t="s">
        <v>9127</v>
      </c>
      <c r="D5136" t="s">
        <v>9128</v>
      </c>
      <c r="E5136" t="str">
        <f>HYPERLINK("https://patents.google.com/patent/US20140306654A1/en")</f>
        <v>https://patents.google.com/patent/US20140306654A1/en</v>
      </c>
    </row>
    <row r="5137" spans="3:5" x14ac:dyDescent="0.25">
      <c r="C5137" t="s">
        <v>9129</v>
      </c>
      <c r="D5137" t="s">
        <v>9130</v>
      </c>
      <c r="E5137" t="str">
        <f>HYPERLINK("https://patents.google.com/patent/US20040164114A1/en")</f>
        <v>https://patents.google.com/patent/US20040164114A1/en</v>
      </c>
    </row>
    <row r="5138" spans="3:5" x14ac:dyDescent="0.25">
      <c r="C5138" t="s">
        <v>9131</v>
      </c>
      <c r="D5138" t="s">
        <v>9132</v>
      </c>
      <c r="E5138" t="str">
        <f>HYPERLINK("https://patents.google.com/patent/CN106882302A/en")</f>
        <v>https://patents.google.com/patent/CN106882302A/en</v>
      </c>
    </row>
    <row r="5139" spans="3:5" x14ac:dyDescent="0.25">
      <c r="C5139" t="s">
        <v>9133</v>
      </c>
      <c r="D5139" t="s">
        <v>9134</v>
      </c>
      <c r="E5139" t="str">
        <f>HYPERLINK("https://patents.google.com/patent/CN205256541U/en")</f>
        <v>https://patents.google.com/patent/CN205256541U/en</v>
      </c>
    </row>
    <row r="5140" spans="3:5" x14ac:dyDescent="0.25">
      <c r="C5140" t="s">
        <v>9135</v>
      </c>
      <c r="D5140" t="s">
        <v>9136</v>
      </c>
      <c r="E5140" t="str">
        <f>HYPERLINK("https://patents.google.com/patent/US20080265821A1/en")</f>
        <v>https://patents.google.com/patent/US20080265821A1/en</v>
      </c>
    </row>
    <row r="5141" spans="3:5" x14ac:dyDescent="0.25">
      <c r="C5141" t="s">
        <v>9137</v>
      </c>
      <c r="D5141" t="s">
        <v>9138</v>
      </c>
      <c r="E5141" t="str">
        <f>HYPERLINK("https://patents.google.com/patent/CN106240703A/en")</f>
        <v>https://patents.google.com/patent/CN106240703A/en</v>
      </c>
    </row>
    <row r="5142" spans="3:5" x14ac:dyDescent="0.25">
      <c r="C5142" t="s">
        <v>9139</v>
      </c>
      <c r="D5142" t="s">
        <v>9140</v>
      </c>
      <c r="E5142" t="str">
        <f>HYPERLINK("https://patents.google.com/patent/CN203714093U/en")</f>
        <v>https://patents.google.com/patent/CN203714093U/en</v>
      </c>
    </row>
    <row r="5143" spans="3:5" x14ac:dyDescent="0.25">
      <c r="C5143" t="s">
        <v>9141</v>
      </c>
      <c r="D5143" t="s">
        <v>9142</v>
      </c>
      <c r="E5143" t="str">
        <f>HYPERLINK("https://patents.google.com/patent/CN106873612A/en")</f>
        <v>https://patents.google.com/patent/CN106873612A/en</v>
      </c>
    </row>
    <row r="5144" spans="3:5" x14ac:dyDescent="0.25">
      <c r="C5144" t="s">
        <v>9143</v>
      </c>
      <c r="D5144" t="s">
        <v>9144</v>
      </c>
      <c r="E5144" t="str">
        <f>HYPERLINK("https://patents.google.com/patent/US7765029B2/en")</f>
        <v>https://patents.google.com/patent/US7765029B2/en</v>
      </c>
    </row>
    <row r="5145" spans="3:5" x14ac:dyDescent="0.25">
      <c r="C5145" t="s">
        <v>9145</v>
      </c>
      <c r="D5145" t="s">
        <v>9146</v>
      </c>
      <c r="E5145" t="str">
        <f>HYPERLINK("https://patents.google.com/patent/US20180208076A1/en")</f>
        <v>https://patents.google.com/patent/US20180208076A1/en</v>
      </c>
    </row>
    <row r="5146" spans="3:5" x14ac:dyDescent="0.25">
      <c r="C5146" t="s">
        <v>9147</v>
      </c>
      <c r="D5146" t="s">
        <v>9148</v>
      </c>
      <c r="E5146" t="str">
        <f>HYPERLINK("https://patents.google.com/patent/WO2017210854A1/en")</f>
        <v>https://patents.google.com/patent/WO2017210854A1/en</v>
      </c>
    </row>
    <row r="5147" spans="3:5" x14ac:dyDescent="0.25">
      <c r="C5147" t="s">
        <v>9149</v>
      </c>
      <c r="D5147" t="s">
        <v>9150</v>
      </c>
      <c r="E5147" t="str">
        <f>HYPERLINK("https://patents.google.com/patent/US20110004515A1/en")</f>
        <v>https://patents.google.com/patent/US20110004515A1/en</v>
      </c>
    </row>
    <row r="5148" spans="3:5" x14ac:dyDescent="0.25">
      <c r="C5148" t="s">
        <v>9151</v>
      </c>
      <c r="D5148" t="s">
        <v>9152</v>
      </c>
      <c r="E5148" t="str">
        <f>HYPERLINK("https://patents.google.com/patent/CN206087066U/en")</f>
        <v>https://patents.google.com/patent/CN206087066U/en</v>
      </c>
    </row>
    <row r="5149" spans="3:5" x14ac:dyDescent="0.25">
      <c r="C5149" t="s">
        <v>9153</v>
      </c>
      <c r="D5149" t="s">
        <v>9154</v>
      </c>
      <c r="E5149" t="str">
        <f>HYPERLINK("https://patents.google.com/patent/WO2017092102A1/en")</f>
        <v>https://patents.google.com/patent/WO2017092102A1/en</v>
      </c>
    </row>
    <row r="5150" spans="3:5" x14ac:dyDescent="0.25">
      <c r="C5150" t="s">
        <v>9121</v>
      </c>
      <c r="D5150" t="s">
        <v>9155</v>
      </c>
      <c r="E5150" t="str">
        <f>HYPERLINK("https://patents.google.com/patent/WO2017161532A1/en")</f>
        <v>https://patents.google.com/patent/WO2017161532A1/en</v>
      </c>
    </row>
    <row r="5151" spans="3:5" x14ac:dyDescent="0.25">
      <c r="C5151" t="s">
        <v>9156</v>
      </c>
      <c r="D5151" t="s">
        <v>9157</v>
      </c>
      <c r="E5151" t="str">
        <f>HYPERLINK("https://patents.google.com/patent/WO2017133184A1/en")</f>
        <v>https://patents.google.com/patent/WO2017133184A1/en</v>
      </c>
    </row>
    <row r="5152" spans="3:5" x14ac:dyDescent="0.25">
      <c r="C5152" t="s">
        <v>9158</v>
      </c>
      <c r="D5152" t="s">
        <v>9159</v>
      </c>
      <c r="E5152" t="str">
        <f>HYPERLINK("https://patents.google.com/patent/CN106564547A/en")</f>
        <v>https://patents.google.com/patent/CN106564547A/en</v>
      </c>
    </row>
    <row r="5153" spans="3:5" x14ac:dyDescent="0.25">
      <c r="C5153" t="s">
        <v>9160</v>
      </c>
      <c r="D5153" t="s">
        <v>9161</v>
      </c>
      <c r="E5153" t="str">
        <f>HYPERLINK("https://patents.google.com/patent/WO2017217936A1/en")</f>
        <v>https://patents.google.com/patent/WO2017217936A1/en</v>
      </c>
    </row>
    <row r="5154" spans="3:5" x14ac:dyDescent="0.25">
      <c r="C5154" t="s">
        <v>9162</v>
      </c>
      <c r="D5154" t="s">
        <v>9163</v>
      </c>
      <c r="E5154" t="str">
        <f>HYPERLINK("https://patents.google.com/patent/CN105404202A/en")</f>
        <v>https://patents.google.com/patent/CN105404202A/en</v>
      </c>
    </row>
    <row r="5155" spans="3:5" x14ac:dyDescent="0.25">
      <c r="C5155" t="s">
        <v>9164</v>
      </c>
      <c r="D5155" t="s">
        <v>9165</v>
      </c>
      <c r="E5155" t="str">
        <f>HYPERLINK("https://patents.google.com/patent/CN104440708A/en")</f>
        <v>https://patents.google.com/patent/CN104440708A/en</v>
      </c>
    </row>
    <row r="5156" spans="3:5" x14ac:dyDescent="0.25">
      <c r="C5156" t="s">
        <v>9166</v>
      </c>
      <c r="D5156" t="s">
        <v>9167</v>
      </c>
      <c r="E5156" t="str">
        <f>HYPERLINK("https://patents.google.com/patent/CN106741410A/en")</f>
        <v>https://patents.google.com/patent/CN106741410A/en</v>
      </c>
    </row>
    <row r="5157" spans="3:5" x14ac:dyDescent="0.25">
      <c r="C5157" t="s">
        <v>9168</v>
      </c>
      <c r="D5157" t="s">
        <v>9169</v>
      </c>
      <c r="E5157" t="str">
        <f>HYPERLINK("https://patents.google.com/patent/CN105329378A/en")</f>
        <v>https://patents.google.com/patent/CN105329378A/en</v>
      </c>
    </row>
    <row r="5158" spans="3:5" x14ac:dyDescent="0.25">
      <c r="C5158" t="s">
        <v>9170</v>
      </c>
      <c r="D5158" t="s">
        <v>9171</v>
      </c>
      <c r="E5158" t="str">
        <f>HYPERLINK("https://patents.google.com/patent/US20160311334A1/en")</f>
        <v>https://patents.google.com/patent/US20160311334A1/en</v>
      </c>
    </row>
    <row r="5159" spans="3:5" x14ac:dyDescent="0.25">
      <c r="C5159" t="s">
        <v>9172</v>
      </c>
      <c r="D5159" t="s">
        <v>9173</v>
      </c>
      <c r="E5159" t="str">
        <f>HYPERLINK("https://patents.google.com/patent/CN108032948A/en")</f>
        <v>https://patents.google.com/patent/CN108032948A/en</v>
      </c>
    </row>
    <row r="5160" spans="3:5" x14ac:dyDescent="0.25">
      <c r="C5160" t="s">
        <v>9174</v>
      </c>
      <c r="D5160" t="s">
        <v>9175</v>
      </c>
      <c r="E5160" t="str">
        <f>HYPERLINK("https://patents.google.com/patent/US20160221441A1/en")</f>
        <v>https://patents.google.com/patent/US20160221441A1/en</v>
      </c>
    </row>
    <row r="5161" spans="3:5" x14ac:dyDescent="0.25">
      <c r="C5161" t="s">
        <v>9087</v>
      </c>
      <c r="D5161" t="s">
        <v>9176</v>
      </c>
      <c r="E5161" t="str">
        <f>HYPERLINK("https://patents.google.com/patent/US20100237645A1/en")</f>
        <v>https://patents.google.com/patent/US20100237645A1/en</v>
      </c>
    </row>
    <row r="5162" spans="3:5" x14ac:dyDescent="0.25">
      <c r="C5162" t="s">
        <v>9177</v>
      </c>
      <c r="D5162" t="s">
        <v>9178</v>
      </c>
      <c r="E5162" t="str">
        <f>HYPERLINK("https://patents.google.com/patent/US20170053169A1/en")</f>
        <v>https://patents.google.com/patent/US20170053169A1/en</v>
      </c>
    </row>
    <row r="5163" spans="3:5" x14ac:dyDescent="0.25">
      <c r="C5163" t="s">
        <v>9179</v>
      </c>
      <c r="D5163" t="s">
        <v>9180</v>
      </c>
      <c r="E5163" t="str">
        <f>HYPERLINK("https://patents.google.com/patent/US20100263167A1/en")</f>
        <v>https://patents.google.com/patent/US20100263167A1/en</v>
      </c>
    </row>
    <row r="5164" spans="3:5" x14ac:dyDescent="0.25">
      <c r="C5164" t="s">
        <v>9181</v>
      </c>
      <c r="D5164" t="s">
        <v>9182</v>
      </c>
      <c r="E5164" t="str">
        <f>HYPERLINK("https://patents.google.com/patent/CN204368386U/en")</f>
        <v>https://patents.google.com/patent/CN204368386U/en</v>
      </c>
    </row>
    <row r="5165" spans="3:5" x14ac:dyDescent="0.25">
      <c r="C5165" t="s">
        <v>9183</v>
      </c>
      <c r="D5165" t="s">
        <v>9184</v>
      </c>
      <c r="E5165" t="str">
        <f>HYPERLINK("https://patents.google.com/patent/CN204368371U/en")</f>
        <v>https://patents.google.com/patent/CN204368371U/en</v>
      </c>
    </row>
    <row r="5166" spans="3:5" x14ac:dyDescent="0.25">
      <c r="C5166" t="s">
        <v>9185</v>
      </c>
      <c r="D5166" t="s">
        <v>9186</v>
      </c>
      <c r="E5166" t="str">
        <f>HYPERLINK("https://patents.google.com/patent/US20160339328A1/en")</f>
        <v>https://patents.google.com/patent/US20160339328A1/en</v>
      </c>
    </row>
    <row r="5167" spans="3:5" x14ac:dyDescent="0.25">
      <c r="C5167" t="s">
        <v>9187</v>
      </c>
      <c r="D5167" t="s">
        <v>9188</v>
      </c>
      <c r="E5167" t="str">
        <f>HYPERLINK("https://patents.google.com/patent/US8732674B1/en")</f>
        <v>https://patents.google.com/patent/US8732674B1/en</v>
      </c>
    </row>
    <row r="5168" spans="3:5" x14ac:dyDescent="0.25">
      <c r="C5168" t="s">
        <v>9189</v>
      </c>
      <c r="D5168" t="s">
        <v>9190</v>
      </c>
      <c r="E5168" t="str">
        <f>HYPERLINK("https://patents.google.com/patent/US20120255118A1/en")</f>
        <v>https://patents.google.com/patent/US20120255118A1/en</v>
      </c>
    </row>
    <row r="5169" spans="3:5" x14ac:dyDescent="0.25">
      <c r="C5169" t="s">
        <v>9191</v>
      </c>
      <c r="D5169" t="s">
        <v>9192</v>
      </c>
      <c r="E5169" t="str">
        <f>HYPERLINK("https://patents.google.com/patent/US7101293B2/en")</f>
        <v>https://patents.google.com/patent/US7101293B2/en</v>
      </c>
    </row>
    <row r="5170" spans="3:5" x14ac:dyDescent="0.25">
      <c r="C5170" t="s">
        <v>9193</v>
      </c>
      <c r="D5170" t="s">
        <v>9194</v>
      </c>
      <c r="E5170" t="str">
        <f>HYPERLINK("https://patents.google.com/patent/US6722608B1/en")</f>
        <v>https://patents.google.com/patent/US6722608B1/en</v>
      </c>
    </row>
    <row r="5171" spans="3:5" x14ac:dyDescent="0.25">
      <c r="C5171" t="s">
        <v>9195</v>
      </c>
      <c r="D5171" t="s">
        <v>9196</v>
      </c>
      <c r="E5171" t="str">
        <f>HYPERLINK("https://patents.google.com/patent/US9156516B2/en")</f>
        <v>https://patents.google.com/patent/US9156516B2/en</v>
      </c>
    </row>
    <row r="5172" spans="3:5" x14ac:dyDescent="0.25">
      <c r="C5172" t="s">
        <v>9197</v>
      </c>
      <c r="D5172" t="s">
        <v>9198</v>
      </c>
      <c r="E5172" t="str">
        <f>HYPERLINK("https://patents.google.com/patent/JP2006256401A/en")</f>
        <v>https://patents.google.com/patent/JP2006256401A/en</v>
      </c>
    </row>
    <row r="5173" spans="3:5" x14ac:dyDescent="0.25">
      <c r="C5173" t="s">
        <v>9199</v>
      </c>
      <c r="D5173" t="s">
        <v>9200</v>
      </c>
      <c r="E5173" t="str">
        <f>HYPERLINK("https://patents.google.com/patent/US20110001322A1/en")</f>
        <v>https://patents.google.com/patent/US20110001322A1/en</v>
      </c>
    </row>
    <row r="5174" spans="3:5" x14ac:dyDescent="0.25">
      <c r="C5174" t="s">
        <v>9201</v>
      </c>
      <c r="D5174" t="s">
        <v>9202</v>
      </c>
      <c r="E5174" t="str">
        <f>HYPERLINK("https://patents.google.com/patent/US20170091923A1/en")</f>
        <v>https://patents.google.com/patent/US20170091923A1/en</v>
      </c>
    </row>
    <row r="5175" spans="3:5" x14ac:dyDescent="0.25">
      <c r="C5175" t="s">
        <v>9203</v>
      </c>
      <c r="D5175" t="s">
        <v>9204</v>
      </c>
      <c r="E5175" t="str">
        <f>HYPERLINK("https://patents.google.com/patent/CN101780816A/en")</f>
        <v>https://patents.google.com/patent/CN101780816A/en</v>
      </c>
    </row>
    <row r="5176" spans="3:5" x14ac:dyDescent="0.25">
      <c r="C5176" t="s">
        <v>9205</v>
      </c>
      <c r="D5176" t="s">
        <v>9206</v>
      </c>
      <c r="E5176" t="str">
        <f>HYPERLINK("https://patents.google.com/patent/CA2810815A1/en")</f>
        <v>https://patents.google.com/patent/CA2810815A1/en</v>
      </c>
    </row>
    <row r="5177" spans="3:5" x14ac:dyDescent="0.25">
      <c r="C5177" t="s">
        <v>9073</v>
      </c>
      <c r="D5177" t="s">
        <v>9207</v>
      </c>
      <c r="E5177" t="str">
        <f>HYPERLINK("https://patents.google.com/patent/CN206456477U/en")</f>
        <v>https://patents.google.com/patent/CN206456477U/en</v>
      </c>
    </row>
    <row r="5178" spans="3:5" x14ac:dyDescent="0.25">
      <c r="C5178" t="s">
        <v>9208</v>
      </c>
      <c r="D5178" t="s">
        <v>9209</v>
      </c>
      <c r="E5178" t="str">
        <f>HYPERLINK("https://patents.google.com/patent/CN204110280U/en")</f>
        <v>https://patents.google.com/patent/CN204110280U/en</v>
      </c>
    </row>
    <row r="5179" spans="3:5" x14ac:dyDescent="0.25">
      <c r="C5179" t="s">
        <v>9210</v>
      </c>
      <c r="D5179" t="s">
        <v>9211</v>
      </c>
      <c r="E5179" t="str">
        <f>HYPERLINK("https://patents.google.com/patent/CN204323601U/en")</f>
        <v>https://patents.google.com/patent/CN204323601U/en</v>
      </c>
    </row>
    <row r="5180" spans="3:5" x14ac:dyDescent="0.25">
      <c r="C5180" t="s">
        <v>9212</v>
      </c>
      <c r="D5180" t="s">
        <v>9213</v>
      </c>
      <c r="E5180" t="str">
        <f>HYPERLINK("https://patents.google.com/patent/US20170108236A1/en")</f>
        <v>https://patents.google.com/patent/US20170108236A1/en</v>
      </c>
    </row>
    <row r="5181" spans="3:5" x14ac:dyDescent="0.25">
      <c r="C5181" t="s">
        <v>9214</v>
      </c>
      <c r="D5181" t="s">
        <v>9215</v>
      </c>
      <c r="E5181" t="str">
        <f>HYPERLINK("https://patents.google.com/patent/US20110316298A1/en")</f>
        <v>https://patents.google.com/patent/US20110316298A1/en</v>
      </c>
    </row>
    <row r="5182" spans="3:5" x14ac:dyDescent="0.25">
      <c r="C5182" t="s">
        <v>9216</v>
      </c>
      <c r="D5182" t="s">
        <v>9217</v>
      </c>
      <c r="E5182" t="str">
        <f>HYPERLINK("https://patents.google.com/patent/US9489813B1/en")</f>
        <v>https://patents.google.com/patent/US9489813B1/en</v>
      </c>
    </row>
    <row r="5183" spans="3:5" x14ac:dyDescent="0.25">
      <c r="C5183" t="s">
        <v>9218</v>
      </c>
      <c r="D5183" t="s">
        <v>9219</v>
      </c>
      <c r="E5183" t="str">
        <f>HYPERLINK("https://patents.google.com/patent/US20090320713A1/en")</f>
        <v>https://patents.google.com/patent/US20090320713A1/en</v>
      </c>
    </row>
    <row r="5184" spans="3:5" x14ac:dyDescent="0.25">
      <c r="C5184" t="s">
        <v>9220</v>
      </c>
      <c r="D5184" t="s">
        <v>9221</v>
      </c>
      <c r="E5184" t="str">
        <f>HYPERLINK("https://patents.google.com/patent/US20140240322A1/en")</f>
        <v>https://patents.google.com/patent/US20140240322A1/en</v>
      </c>
    </row>
    <row r="5185" spans="3:5" x14ac:dyDescent="0.25">
      <c r="C5185" t="s">
        <v>9222</v>
      </c>
      <c r="D5185" t="s">
        <v>9223</v>
      </c>
      <c r="E5185" t="str">
        <f>HYPERLINK("https://patents.google.com/patent/US20060254841A1/en")</f>
        <v>https://patents.google.com/patent/US20060254841A1/en</v>
      </c>
    </row>
    <row r="5186" spans="3:5" x14ac:dyDescent="0.25">
      <c r="C5186" t="s">
        <v>9224</v>
      </c>
      <c r="D5186" t="s">
        <v>9225</v>
      </c>
      <c r="E5186" t="str">
        <f>HYPERLINK("https://patents.google.com/patent/CN205345211U/en")</f>
        <v>https://patents.google.com/patent/CN205345211U/en</v>
      </c>
    </row>
    <row r="5187" spans="3:5" x14ac:dyDescent="0.25">
      <c r="C5187" t="s">
        <v>9226</v>
      </c>
      <c r="D5187" t="s">
        <v>9227</v>
      </c>
      <c r="E5187" t="str">
        <f>HYPERLINK("https://patents.google.com/patent/KR100876695B1/en")</f>
        <v>https://patents.google.com/patent/KR100876695B1/en</v>
      </c>
    </row>
    <row r="5188" spans="3:5" x14ac:dyDescent="0.25">
      <c r="C5188" t="s">
        <v>9228</v>
      </c>
      <c r="D5188" t="s">
        <v>9229</v>
      </c>
      <c r="E5188" t="str">
        <f>HYPERLINK("https://patents.google.com/patent/KR101222849B1/en")</f>
        <v>https://patents.google.com/patent/KR101222849B1/en</v>
      </c>
    </row>
    <row r="5189" spans="3:5" x14ac:dyDescent="0.25">
      <c r="C5189" t="s">
        <v>9230</v>
      </c>
      <c r="D5189" t="s">
        <v>9231</v>
      </c>
      <c r="E5189" t="str">
        <f>HYPERLINK("https://patents.google.com/patent/CN103119819A/en")</f>
        <v>https://patents.google.com/patent/CN103119819A/en</v>
      </c>
    </row>
    <row r="5190" spans="3:5" x14ac:dyDescent="0.25">
      <c r="C5190" t="s">
        <v>9232</v>
      </c>
      <c r="D5190" t="s">
        <v>9233</v>
      </c>
      <c r="E5190" t="str">
        <f>HYPERLINK("https://patents.google.com/patent/US20140136511A1/en")</f>
        <v>https://patents.google.com/patent/US20140136511A1/en</v>
      </c>
    </row>
    <row r="5191" spans="3:5" x14ac:dyDescent="0.25">
      <c r="C5191" t="s">
        <v>9234</v>
      </c>
      <c r="D5191" t="s">
        <v>9235</v>
      </c>
      <c r="E5191" t="str">
        <f>HYPERLINK("https://patents.google.com/patent/WO2013074790A1/en")</f>
        <v>https://patents.google.com/patent/WO2013074790A1/en</v>
      </c>
    </row>
    <row r="5192" spans="3:5" x14ac:dyDescent="0.25">
      <c r="C5192" t="s">
        <v>9236</v>
      </c>
      <c r="D5192" t="s">
        <v>9237</v>
      </c>
      <c r="E5192" t="str">
        <f>HYPERLINK("https://patents.google.com/patent/US8253572B2/en")</f>
        <v>https://patents.google.com/patent/US8253572B2/en</v>
      </c>
    </row>
    <row r="5193" spans="3:5" x14ac:dyDescent="0.25">
      <c r="C5193" t="s">
        <v>9238</v>
      </c>
      <c r="D5193" t="s">
        <v>9239</v>
      </c>
      <c r="E5193" t="str">
        <f>HYPERLINK("https://patents.google.com/patent/US20110278088A1/en")</f>
        <v>https://patents.google.com/patent/US20110278088A1/en</v>
      </c>
    </row>
    <row r="5194" spans="3:5" x14ac:dyDescent="0.25">
      <c r="C5194" t="s">
        <v>9240</v>
      </c>
      <c r="D5194" t="s">
        <v>9241</v>
      </c>
      <c r="E5194" t="str">
        <f>HYPERLINK("https://patents.google.com/patent/KR100756717B1/en")</f>
        <v>https://patents.google.com/patent/KR100756717B1/en</v>
      </c>
    </row>
    <row r="5195" spans="3:5" x14ac:dyDescent="0.25">
      <c r="C5195" t="s">
        <v>9242</v>
      </c>
      <c r="D5195" t="s">
        <v>9243</v>
      </c>
      <c r="E5195" t="str">
        <f>HYPERLINK("https://patents.google.com/patent/US20120216347A1/en")</f>
        <v>https://patents.google.com/patent/US20120216347A1/en</v>
      </c>
    </row>
    <row r="5196" spans="3:5" x14ac:dyDescent="0.25">
      <c r="C5196" t="s">
        <v>9244</v>
      </c>
      <c r="D5196" t="s">
        <v>9245</v>
      </c>
      <c r="E5196" t="str">
        <f>HYPERLINK("https://patents.google.com/patent/US20160068016A1/en")</f>
        <v>https://patents.google.com/patent/US20160068016A1/en</v>
      </c>
    </row>
    <row r="5197" spans="3:5" x14ac:dyDescent="0.25">
      <c r="C5197" t="s">
        <v>9246</v>
      </c>
      <c r="D5197" t="s">
        <v>9247</v>
      </c>
      <c r="E5197" t="str">
        <f>HYPERLINK("https://patents.google.com/patent/US9656713B1/en")</f>
        <v>https://patents.google.com/patent/US9656713B1/en</v>
      </c>
    </row>
    <row r="5198" spans="3:5" x14ac:dyDescent="0.25">
      <c r="C5198" t="s">
        <v>9248</v>
      </c>
      <c r="D5198" t="s">
        <v>9249</v>
      </c>
      <c r="E5198" t="str">
        <f>HYPERLINK("https://patents.google.com/patent/US8072180B1/en")</f>
        <v>https://patents.google.com/patent/US8072180B1/en</v>
      </c>
    </row>
    <row r="5199" spans="3:5" x14ac:dyDescent="0.25">
      <c r="C5199" t="s">
        <v>9250</v>
      </c>
      <c r="D5199" t="s">
        <v>9251</v>
      </c>
      <c r="E5199" t="str">
        <f>HYPERLINK("https://patents.google.com/patent/US20130103245A1/en")</f>
        <v>https://patents.google.com/patent/US20130103245A1/en</v>
      </c>
    </row>
    <row r="5200" spans="3:5" x14ac:dyDescent="0.25">
      <c r="C5200" t="s">
        <v>9129</v>
      </c>
      <c r="D5200" t="s">
        <v>9252</v>
      </c>
      <c r="E5200" t="str">
        <f>HYPERLINK("https://patents.google.com/patent/WO2004075804A1/en")</f>
        <v>https://patents.google.com/patent/WO2004075804A1/en</v>
      </c>
    </row>
    <row r="5201" spans="3:5" x14ac:dyDescent="0.25">
      <c r="C5201" t="s">
        <v>9253</v>
      </c>
      <c r="D5201" t="s">
        <v>9254</v>
      </c>
      <c r="E5201" t="str">
        <f>HYPERLINK("https://patents.google.com/patent/CN106005156A/en")</f>
        <v>https://patents.google.com/patent/CN106005156A/en</v>
      </c>
    </row>
    <row r="5202" spans="3:5" x14ac:dyDescent="0.25">
      <c r="C5202" t="s">
        <v>9185</v>
      </c>
      <c r="D5202" t="s">
        <v>9255</v>
      </c>
      <c r="E5202" t="str">
        <f>HYPERLINK("https://patents.google.com/patent/EP3116772A2/en")</f>
        <v>https://patents.google.com/patent/EP3116772A2/en</v>
      </c>
    </row>
    <row r="5203" spans="3:5" x14ac:dyDescent="0.25">
      <c r="C5203" t="s">
        <v>9256</v>
      </c>
      <c r="D5203" t="s">
        <v>9257</v>
      </c>
      <c r="E5203" t="str">
        <f>HYPERLINK("https://patents.google.com/patent/FR3035636A1/en")</f>
        <v>https://patents.google.com/patent/FR3035636A1/en</v>
      </c>
    </row>
    <row r="5204" spans="3:5" x14ac:dyDescent="0.25">
      <c r="C5204" t="s">
        <v>9073</v>
      </c>
      <c r="D5204" t="s">
        <v>9258</v>
      </c>
      <c r="E5204" t="str">
        <f>HYPERLINK("https://patents.google.com/patent/CN108341005A/en")</f>
        <v>https://patents.google.com/patent/CN108341005A/en</v>
      </c>
    </row>
    <row r="5205" spans="3:5" x14ac:dyDescent="0.25">
      <c r="C5205" t="s">
        <v>9259</v>
      </c>
      <c r="D5205" t="s">
        <v>9260</v>
      </c>
      <c r="E5205" t="str">
        <f>HYPERLINK("https://patents.google.com/patent/US20170341690A1/en")</f>
        <v>https://patents.google.com/patent/US20170341690A1/en</v>
      </c>
    </row>
    <row r="5206" spans="3:5" x14ac:dyDescent="0.25">
      <c r="C5206" t="s">
        <v>9261</v>
      </c>
      <c r="D5206" t="s">
        <v>9262</v>
      </c>
      <c r="E5206" t="str">
        <f>HYPERLINK("https://patents.google.com/patent/CN204633534U/en")</f>
        <v>https://patents.google.com/patent/CN204633534U/en</v>
      </c>
    </row>
    <row r="5207" spans="3:5" x14ac:dyDescent="0.25">
      <c r="C5207" t="s">
        <v>9263</v>
      </c>
      <c r="D5207" t="s">
        <v>9264</v>
      </c>
      <c r="E5207" t="str">
        <f>HYPERLINK("https://patents.google.com/patent/CN106573165A/en")</f>
        <v>https://patents.google.com/patent/CN106573165A/en</v>
      </c>
    </row>
    <row r="5208" spans="3:5" x14ac:dyDescent="0.25">
      <c r="C5208" t="s">
        <v>9265</v>
      </c>
      <c r="D5208" t="s">
        <v>9266</v>
      </c>
      <c r="E5208" t="str">
        <f>HYPERLINK("https://patents.google.com/patent/CN204548287U/en")</f>
        <v>https://patents.google.com/patent/CN204548287U/en</v>
      </c>
    </row>
    <row r="5209" spans="3:5" x14ac:dyDescent="0.25">
      <c r="C5209" t="s">
        <v>9267</v>
      </c>
      <c r="D5209" t="s">
        <v>9268</v>
      </c>
      <c r="E5209" t="str">
        <f>HYPERLINK("https://patents.google.com/patent/CN107902011A/en")</f>
        <v>https://patents.google.com/patent/CN107902011A/en</v>
      </c>
    </row>
    <row r="5210" spans="3:5" x14ac:dyDescent="0.25">
      <c r="C5210" t="s">
        <v>9269</v>
      </c>
      <c r="D5210" t="s">
        <v>9270</v>
      </c>
      <c r="E5210" t="str">
        <f>HYPERLINK("https://patents.google.com/patent/CN101229818A/en")</f>
        <v>https://patents.google.com/patent/CN101229818A/en</v>
      </c>
    </row>
    <row r="5211" spans="3:5" x14ac:dyDescent="0.25">
      <c r="C5211" t="s">
        <v>9271</v>
      </c>
      <c r="D5211" t="s">
        <v>9272</v>
      </c>
      <c r="E5211" t="str">
        <f>HYPERLINK("https://patents.google.com/patent/JP2006123014A/en")</f>
        <v>https://patents.google.com/patent/JP2006123014A/en</v>
      </c>
    </row>
    <row r="5212" spans="3:5" x14ac:dyDescent="0.25">
      <c r="C5212" t="s">
        <v>9273</v>
      </c>
      <c r="D5212" t="s">
        <v>9274</v>
      </c>
      <c r="E5212" t="str">
        <f>HYPERLINK("https://patents.google.com/patent/US9135580B1/en")</f>
        <v>https://patents.google.com/patent/US9135580B1/en</v>
      </c>
    </row>
    <row r="5213" spans="3:5" x14ac:dyDescent="0.25">
      <c r="C5213" t="s">
        <v>9275</v>
      </c>
      <c r="D5213" t="s">
        <v>9276</v>
      </c>
      <c r="E5213" t="str">
        <f>HYPERLINK("https://patents.google.com/patent/WO2007060336A2/en")</f>
        <v>https://patents.google.com/patent/WO2007060336A2/en</v>
      </c>
    </row>
    <row r="5214" spans="3:5" x14ac:dyDescent="0.25">
      <c r="C5214" t="s">
        <v>9277</v>
      </c>
      <c r="D5214" t="s">
        <v>9278</v>
      </c>
      <c r="E5214" t="str">
        <f>HYPERLINK("https://patents.google.com/patent/US9469322B2/en")</f>
        <v>https://patents.google.com/patent/US9469322B2/en</v>
      </c>
    </row>
    <row r="5215" spans="3:5" x14ac:dyDescent="0.25">
      <c r="C5215" t="s">
        <v>9279</v>
      </c>
      <c r="D5215" t="s">
        <v>9280</v>
      </c>
      <c r="E5215" t="str">
        <f>HYPERLINK("https://patents.google.com/patent/CN102815358A/en")</f>
        <v>https://patents.google.com/patent/CN102815358A/en</v>
      </c>
    </row>
    <row r="5216" spans="3:5" x14ac:dyDescent="0.25">
      <c r="C5216" t="s">
        <v>9281</v>
      </c>
      <c r="D5216" t="s">
        <v>9282</v>
      </c>
      <c r="E5216" t="str">
        <f>HYPERLINK("https://patents.google.com/patent/CN105539672A/en")</f>
        <v>https://patents.google.com/patent/CN105539672A/en</v>
      </c>
    </row>
    <row r="5217" spans="3:5" x14ac:dyDescent="0.25">
      <c r="C5217" t="s">
        <v>9283</v>
      </c>
      <c r="D5217" t="s">
        <v>9284</v>
      </c>
      <c r="E5217" t="str">
        <f>HYPERLINK("https://patents.google.com/patent/US9994142B2/en")</f>
        <v>https://patents.google.com/patent/US9994142B2/en</v>
      </c>
    </row>
    <row r="5218" spans="3:5" x14ac:dyDescent="0.25">
      <c r="C5218" t="s">
        <v>9285</v>
      </c>
      <c r="D5218" t="s">
        <v>9286</v>
      </c>
      <c r="E5218" t="str">
        <f>HYPERLINK("https://patents.google.com/patent/CN2680557Y/en")</f>
        <v>https://patents.google.com/patent/CN2680557Y/en</v>
      </c>
    </row>
    <row r="5219" spans="3:5" x14ac:dyDescent="0.25">
      <c r="C5219" t="s">
        <v>9287</v>
      </c>
      <c r="D5219" t="s">
        <v>9288</v>
      </c>
      <c r="E5219" t="str">
        <f>HYPERLINK("https://patents.google.com/patent/US20090043438A1/en")</f>
        <v>https://patents.google.com/patent/US20090043438A1/en</v>
      </c>
    </row>
    <row r="5220" spans="3:5" x14ac:dyDescent="0.25">
      <c r="C5220" t="s">
        <v>9289</v>
      </c>
      <c r="D5220" t="s">
        <v>9290</v>
      </c>
      <c r="E5220" t="str">
        <f>HYPERLINK("https://patents.google.com/patent/US20120291319A1/en")</f>
        <v>https://patents.google.com/patent/US20120291319A1/en</v>
      </c>
    </row>
    <row r="5221" spans="3:5" x14ac:dyDescent="0.25">
      <c r="C5221" t="s">
        <v>9291</v>
      </c>
      <c r="D5221" t="s">
        <v>9292</v>
      </c>
      <c r="E5221" t="str">
        <f>HYPERLINK("https://patents.google.com/patent/US9399398B1/en")</f>
        <v>https://patents.google.com/patent/US9399398B1/en</v>
      </c>
    </row>
    <row r="5222" spans="3:5" x14ac:dyDescent="0.25">
      <c r="C5222" t="s">
        <v>9293</v>
      </c>
      <c r="D5222" t="s">
        <v>9294</v>
      </c>
      <c r="E5222" t="str">
        <f>HYPERLINK("https://patents.google.com/patent/US7592900B2/en")</f>
        <v>https://patents.google.com/patent/US7592900B2/en</v>
      </c>
    </row>
    <row r="5223" spans="3:5" x14ac:dyDescent="0.25">
      <c r="C5223" t="s">
        <v>9295</v>
      </c>
      <c r="D5223" t="s">
        <v>9296</v>
      </c>
      <c r="E5223" t="str">
        <f>HYPERLINK("https://patents.google.com/patent/CN205087068U/en")</f>
        <v>https://patents.google.com/patent/CN205087068U/en</v>
      </c>
    </row>
    <row r="5224" spans="3:5" x14ac:dyDescent="0.25">
      <c r="C5224" t="s">
        <v>9297</v>
      </c>
      <c r="D5224" t="s">
        <v>9298</v>
      </c>
      <c r="E5224" t="str">
        <f>HYPERLINK("https://patents.google.com/patent/US20170136875A1/en")</f>
        <v>https://patents.google.com/patent/US20170136875A1/en</v>
      </c>
    </row>
    <row r="5225" spans="3:5" x14ac:dyDescent="0.25">
      <c r="C5225" t="s">
        <v>9291</v>
      </c>
      <c r="D5225" t="s">
        <v>9299</v>
      </c>
      <c r="E5225" t="str">
        <f>HYPERLINK("https://patents.google.com/patent/US9550418B1/en")</f>
        <v>https://patents.google.com/patent/US9550418B1/en</v>
      </c>
    </row>
    <row r="5226" spans="3:5" x14ac:dyDescent="0.25">
      <c r="C5226" t="s">
        <v>9300</v>
      </c>
      <c r="D5226" t="s">
        <v>9301</v>
      </c>
      <c r="E5226" t="str">
        <f>HYPERLINK("https://patents.google.com/patent/CN104943786A/en")</f>
        <v>https://patents.google.com/patent/CN104943786A/en</v>
      </c>
    </row>
    <row r="5227" spans="3:5" x14ac:dyDescent="0.25">
      <c r="C5227" t="s">
        <v>9302</v>
      </c>
      <c r="D5227" t="s">
        <v>9303</v>
      </c>
      <c r="E5227" t="str">
        <f>HYPERLINK("https://patents.google.com/patent/CN206171646U/en")</f>
        <v>https://patents.google.com/patent/CN206171646U/en</v>
      </c>
    </row>
    <row r="5228" spans="3:5" x14ac:dyDescent="0.25">
      <c r="C5228" t="s">
        <v>9304</v>
      </c>
      <c r="D5228" t="s">
        <v>9305</v>
      </c>
      <c r="E5228" t="str">
        <f>HYPERLINK("https://patents.google.com/patent/CN106364610A/en")</f>
        <v>https://patents.google.com/patent/CN106364610A/en</v>
      </c>
    </row>
    <row r="5229" spans="3:5" x14ac:dyDescent="0.25">
      <c r="C5229" t="s">
        <v>9306</v>
      </c>
      <c r="D5229" t="s">
        <v>9307</v>
      </c>
      <c r="E5229" t="str">
        <f>HYPERLINK("https://patents.google.com/patent/CN204166864U/en")</f>
        <v>https://patents.google.com/patent/CN204166864U/en</v>
      </c>
    </row>
    <row r="5230" spans="3:5" x14ac:dyDescent="0.25">
      <c r="C5230" t="s">
        <v>9308</v>
      </c>
      <c r="D5230" t="s">
        <v>9309</v>
      </c>
      <c r="E5230" t="str">
        <f>HYPERLINK("https://patents.google.com/patent/US20180127012A1/en")</f>
        <v>https://patents.google.com/patent/US20180127012A1/en</v>
      </c>
    </row>
    <row r="5231" spans="3:5" x14ac:dyDescent="0.25">
      <c r="C5231" t="s">
        <v>9308</v>
      </c>
      <c r="D5231" t="s">
        <v>9310</v>
      </c>
      <c r="E5231" t="str">
        <f>HYPERLINK("https://patents.google.com/patent/US20180127038A1/en")</f>
        <v>https://patents.google.com/patent/US20180127038A1/en</v>
      </c>
    </row>
    <row r="5232" spans="3:5" x14ac:dyDescent="0.25">
      <c r="C5232" t="s">
        <v>9308</v>
      </c>
      <c r="D5232" t="s">
        <v>9311</v>
      </c>
      <c r="E5232" t="str">
        <f>HYPERLINK("https://patents.google.com/patent/US20180127013A1/en")</f>
        <v>https://patents.google.com/patent/US20180127013A1/en</v>
      </c>
    </row>
    <row r="5233" spans="3:5" x14ac:dyDescent="0.25">
      <c r="C5233" t="s">
        <v>9312</v>
      </c>
      <c r="D5233" t="s">
        <v>9313</v>
      </c>
      <c r="E5233" t="str">
        <f>HYPERLINK("https://patents.google.com/patent/CN104991557A/en")</f>
        <v>https://patents.google.com/patent/CN104991557A/en</v>
      </c>
    </row>
    <row r="5234" spans="3:5" x14ac:dyDescent="0.25">
      <c r="C5234" t="s">
        <v>9314</v>
      </c>
      <c r="D5234" t="s">
        <v>9315</v>
      </c>
      <c r="E5234" t="str">
        <f>HYPERLINK("https://patents.google.com/patent/CN203698533U/en")</f>
        <v>https://patents.google.com/patent/CN203698533U/en</v>
      </c>
    </row>
    <row r="5235" spans="3:5" x14ac:dyDescent="0.25">
      <c r="C5235" t="s">
        <v>9316</v>
      </c>
      <c r="D5235" t="s">
        <v>9317</v>
      </c>
      <c r="E5235" t="str">
        <f>HYPERLINK("https://patents.google.com/patent/CN101554302A/en")</f>
        <v>https://patents.google.com/patent/CN101554302A/en</v>
      </c>
    </row>
    <row r="5236" spans="3:5" x14ac:dyDescent="0.25">
      <c r="C5236" t="s">
        <v>9318</v>
      </c>
      <c r="D5236" t="s">
        <v>9319</v>
      </c>
      <c r="E5236" t="str">
        <f>HYPERLINK("https://patents.google.com/patent/CN105460130A/en")</f>
        <v>https://patents.google.com/patent/CN105460130A/en</v>
      </c>
    </row>
    <row r="5237" spans="3:5" x14ac:dyDescent="0.25">
      <c r="C5237" t="s">
        <v>9320</v>
      </c>
      <c r="D5237" t="s">
        <v>9321</v>
      </c>
      <c r="E5237" t="str">
        <f>HYPERLINK("https://patents.google.com/patent/CN205044873U/en")</f>
        <v>https://patents.google.com/patent/CN205044873U/en</v>
      </c>
    </row>
    <row r="5238" spans="3:5" x14ac:dyDescent="0.25">
      <c r="C5238" t="s">
        <v>9322</v>
      </c>
      <c r="D5238" t="s">
        <v>9323</v>
      </c>
      <c r="E5238" t="str">
        <f>HYPERLINK("https://patents.google.com/patent/CN204077882U/en")</f>
        <v>https://patents.google.com/patent/CN204077882U/en</v>
      </c>
    </row>
    <row r="5239" spans="3:5" x14ac:dyDescent="0.25">
      <c r="C5239" t="s">
        <v>9324</v>
      </c>
      <c r="D5239" t="s">
        <v>9325</v>
      </c>
      <c r="E5239" t="str">
        <f>HYPERLINK("https://patents.google.com/patent/US20160063474A1/en")</f>
        <v>https://patents.google.com/patent/US20160063474A1/en</v>
      </c>
    </row>
    <row r="5240" spans="3:5" x14ac:dyDescent="0.25">
      <c r="C5240" t="s">
        <v>9326</v>
      </c>
      <c r="D5240" t="s">
        <v>9327</v>
      </c>
      <c r="E5240" t="str">
        <f>HYPERLINK("https://patents.google.com/patent/CN106672140A/en")</f>
        <v>https://patents.google.com/patent/CN106672140A/en</v>
      </c>
    </row>
    <row r="5241" spans="3:5" x14ac:dyDescent="0.25">
      <c r="C5241" t="s">
        <v>9328</v>
      </c>
      <c r="D5241" t="s">
        <v>9329</v>
      </c>
      <c r="E5241" t="str">
        <f>HYPERLINK("https://patents.google.com/patent/DE102011056561A1/en")</f>
        <v>https://patents.google.com/patent/DE102011056561A1/en</v>
      </c>
    </row>
    <row r="5242" spans="3:5" x14ac:dyDescent="0.25">
      <c r="C5242" t="s">
        <v>9330</v>
      </c>
      <c r="D5242" t="s">
        <v>9331</v>
      </c>
      <c r="E5242" t="str">
        <f>HYPERLINK("https://patents.google.com/patent/US20170149171A1/en")</f>
        <v>https://patents.google.com/patent/US20170149171A1/en</v>
      </c>
    </row>
    <row r="5243" spans="3:5" x14ac:dyDescent="0.25">
      <c r="C5243" t="s">
        <v>9332</v>
      </c>
      <c r="D5243" t="s">
        <v>9333</v>
      </c>
      <c r="E5243" t="str">
        <f>HYPERLINK("https://patents.google.com/patent/US20150310488A1/en")</f>
        <v>https://patents.google.com/patent/US20150310488A1/en</v>
      </c>
    </row>
    <row r="5244" spans="3:5" x14ac:dyDescent="0.25">
      <c r="C5244" t="s">
        <v>9334</v>
      </c>
      <c r="D5244" t="s">
        <v>9335</v>
      </c>
      <c r="E5244" t="str">
        <f>HYPERLINK("https://patents.google.com/patent/US20030171170A1/en")</f>
        <v>https://patents.google.com/patent/US20030171170A1/en</v>
      </c>
    </row>
    <row r="5245" spans="3:5" x14ac:dyDescent="0.25">
      <c r="C5245" t="s">
        <v>9336</v>
      </c>
      <c r="D5245" t="s">
        <v>9337</v>
      </c>
      <c r="E5245" t="str">
        <f>HYPERLINK("https://patents.google.com/patent/CN202765191U/en")</f>
        <v>https://patents.google.com/patent/CN202765191U/en</v>
      </c>
    </row>
    <row r="5246" spans="3:5" x14ac:dyDescent="0.25">
      <c r="C5246" t="s">
        <v>9338</v>
      </c>
      <c r="D5246" t="s">
        <v>9339</v>
      </c>
      <c r="E5246" t="str">
        <f>HYPERLINK("https://patents.google.com/patent/RU99438U1/en")</f>
        <v>https://patents.google.com/patent/RU99438U1/en</v>
      </c>
    </row>
    <row r="5247" spans="3:5" x14ac:dyDescent="0.25">
      <c r="C5247" t="s">
        <v>9340</v>
      </c>
      <c r="D5247" t="s">
        <v>9341</v>
      </c>
      <c r="E5247" t="str">
        <f>HYPERLINK("https://patents.google.com/patent/JP6086636B1/en")</f>
        <v>https://patents.google.com/patent/JP6086636B1/en</v>
      </c>
    </row>
    <row r="5248" spans="3:5" x14ac:dyDescent="0.25">
      <c r="C5248" t="s">
        <v>9342</v>
      </c>
      <c r="D5248" t="s">
        <v>9343</v>
      </c>
      <c r="E5248" t="str">
        <f>HYPERLINK("https://patents.google.com/patent/DE202011052336U1/en")</f>
        <v>https://patents.google.com/patent/DE202011052336U1/en</v>
      </c>
    </row>
    <row r="5249" spans="3:5" x14ac:dyDescent="0.25">
      <c r="C5249" t="s">
        <v>9344</v>
      </c>
      <c r="D5249" t="s">
        <v>9345</v>
      </c>
      <c r="E5249" t="str">
        <f>HYPERLINK("https://patents.google.com/patent/US20150053366A1/en")</f>
        <v>https://patents.google.com/patent/US20150053366A1/en</v>
      </c>
    </row>
    <row r="5250" spans="3:5" x14ac:dyDescent="0.25">
      <c r="C5250" t="s">
        <v>9346</v>
      </c>
      <c r="D5250" t="s">
        <v>9347</v>
      </c>
      <c r="E5250" t="str">
        <f>HYPERLINK("https://patents.google.com/patent/CN201863985U/en")</f>
        <v>https://patents.google.com/patent/CN201863985U/en</v>
      </c>
    </row>
    <row r="5251" spans="3:5" x14ac:dyDescent="0.25">
      <c r="C5251" t="s">
        <v>9318</v>
      </c>
      <c r="D5251" t="s">
        <v>9348</v>
      </c>
      <c r="E5251" t="str">
        <f>HYPERLINK("https://patents.google.com/patent/CN205469471U/en")</f>
        <v>https://patents.google.com/patent/CN205469471U/en</v>
      </c>
    </row>
    <row r="5252" spans="3:5" x14ac:dyDescent="0.25">
      <c r="C5252" t="s">
        <v>9349</v>
      </c>
      <c r="D5252" t="s">
        <v>9350</v>
      </c>
      <c r="E5252" t="str">
        <f>HYPERLINK("https://patents.google.com/patent/CN2545073Y/en")</f>
        <v>https://patents.google.com/patent/CN2545073Y/en</v>
      </c>
    </row>
    <row r="5253" spans="3:5" x14ac:dyDescent="0.25">
      <c r="C5253" t="s">
        <v>9351</v>
      </c>
      <c r="D5253" t="s">
        <v>9352</v>
      </c>
      <c r="E5253" t="str">
        <f>HYPERLINK("https://patents.google.com/patent/CN202729525U/en")</f>
        <v>https://patents.google.com/patent/CN202729525U/en</v>
      </c>
    </row>
    <row r="5254" spans="3:5" x14ac:dyDescent="0.25">
      <c r="C5254" t="s">
        <v>9353</v>
      </c>
      <c r="D5254" t="s">
        <v>9354</v>
      </c>
      <c r="E5254" t="str">
        <f>HYPERLINK("https://patents.google.com/patent/CN204821899U/en")</f>
        <v>https://patents.google.com/patent/CN204821899U/en</v>
      </c>
    </row>
    <row r="5255" spans="3:5" x14ac:dyDescent="0.25">
      <c r="C5255" t="s">
        <v>9320</v>
      </c>
      <c r="D5255" t="s">
        <v>9355</v>
      </c>
      <c r="E5255" t="str">
        <f>HYPERLINK("https://patents.google.com/patent/CN205345231U/en")</f>
        <v>https://patents.google.com/patent/CN205345231U/en</v>
      </c>
    </row>
    <row r="5256" spans="3:5" x14ac:dyDescent="0.25">
      <c r="C5256" t="s">
        <v>9356</v>
      </c>
      <c r="D5256" t="s">
        <v>9357</v>
      </c>
      <c r="E5256" t="str">
        <f>HYPERLINK("https://patents.google.com/patent/CN205632809U/en")</f>
        <v>https://patents.google.com/patent/CN205632809U/en</v>
      </c>
    </row>
    <row r="5257" spans="3:5" x14ac:dyDescent="0.25">
      <c r="C5257" t="s">
        <v>9358</v>
      </c>
      <c r="D5257" t="s">
        <v>9359</v>
      </c>
      <c r="E5257" t="str">
        <f>HYPERLINK("https://patents.google.com/patent/JP2006174396A/en")</f>
        <v>https://patents.google.com/patent/JP2006174396A/en</v>
      </c>
    </row>
    <row r="5258" spans="3:5" x14ac:dyDescent="0.25">
      <c r="C5258" t="s">
        <v>9360</v>
      </c>
      <c r="D5258" t="s">
        <v>9361</v>
      </c>
      <c r="E5258" t="str">
        <f>HYPERLINK("https://patents.google.com/patent/CN205113555U/en")</f>
        <v>https://patents.google.com/patent/CN205113555U/en</v>
      </c>
    </row>
    <row r="5259" spans="3:5" x14ac:dyDescent="0.25">
      <c r="C5259" t="s">
        <v>9362</v>
      </c>
      <c r="D5259" t="s">
        <v>9363</v>
      </c>
      <c r="E5259" t="str">
        <f>HYPERLINK("https://patents.google.com/patent/KR101626975B1/en")</f>
        <v>https://patents.google.com/patent/KR101626975B1/en</v>
      </c>
    </row>
    <row r="5260" spans="3:5" x14ac:dyDescent="0.25">
      <c r="C5260" t="s">
        <v>9364</v>
      </c>
      <c r="D5260" t="s">
        <v>9365</v>
      </c>
      <c r="E5260" t="str">
        <f>HYPERLINK("https://patents.google.com/patent/CN204925791U/en")</f>
        <v>https://patents.google.com/patent/CN204925791U/en</v>
      </c>
    </row>
    <row r="5261" spans="3:5" x14ac:dyDescent="0.25">
      <c r="C5261" t="s">
        <v>9366</v>
      </c>
      <c r="D5261" t="s">
        <v>9367</v>
      </c>
      <c r="E5261" t="str">
        <f>HYPERLINK("https://patents.google.com/patent/CN204548347U/en")</f>
        <v>https://patents.google.com/patent/CN204548347U/en</v>
      </c>
    </row>
    <row r="5262" spans="3:5" x14ac:dyDescent="0.25">
      <c r="C5262" t="s">
        <v>9368</v>
      </c>
      <c r="D5262" t="s">
        <v>9369</v>
      </c>
      <c r="E5262" t="str">
        <f>HYPERLINK("https://patents.google.com/patent/CN204846115U/en")</f>
        <v>https://patents.google.com/patent/CN204846115U/en</v>
      </c>
    </row>
    <row r="5263" spans="3:5" x14ac:dyDescent="0.25">
      <c r="C5263" t="s">
        <v>9370</v>
      </c>
      <c r="D5263" t="s">
        <v>9371</v>
      </c>
      <c r="E5263" t="str">
        <f>HYPERLINK("https://patents.google.com/patent/CN204110244U/en")</f>
        <v>https://patents.google.com/patent/CN204110244U/en</v>
      </c>
    </row>
    <row r="5264" spans="3:5" x14ac:dyDescent="0.25">
      <c r="C5264" t="s">
        <v>9372</v>
      </c>
      <c r="D5264" t="s">
        <v>9373</v>
      </c>
      <c r="E5264" t="str">
        <f>HYPERLINK("https://patents.google.com/patent/US10026309B1/en")</f>
        <v>https://patents.google.com/patent/US10026309B1/en</v>
      </c>
    </row>
    <row r="5265" spans="3:5" x14ac:dyDescent="0.25">
      <c r="C5265" t="s">
        <v>9374</v>
      </c>
      <c r="D5265" t="s">
        <v>9375</v>
      </c>
      <c r="E5265" t="str">
        <f>HYPERLINK("https://patents.google.com/patent/CN205239800U/en")</f>
        <v>https://patents.google.com/patent/CN205239800U/en</v>
      </c>
    </row>
    <row r="5266" spans="3:5" x14ac:dyDescent="0.25">
      <c r="C5266" t="s">
        <v>9376</v>
      </c>
      <c r="D5266" t="s">
        <v>9377</v>
      </c>
      <c r="E5266" t="str">
        <f>HYPERLINK("https://patents.google.com/patent/CN105539659A/en")</f>
        <v>https://patents.google.com/patent/CN105539659A/en</v>
      </c>
    </row>
    <row r="5267" spans="3:5" x14ac:dyDescent="0.25">
      <c r="C5267" t="s">
        <v>9378</v>
      </c>
      <c r="D5267" t="s">
        <v>9379</v>
      </c>
      <c r="E5267" t="str">
        <f>HYPERLINK("https://patents.google.com/patent/KR100876693B1/en")</f>
        <v>https://patents.google.com/patent/KR100876693B1/en</v>
      </c>
    </row>
    <row r="5268" spans="3:5" x14ac:dyDescent="0.25">
      <c r="C5268" t="s">
        <v>9318</v>
      </c>
      <c r="D5268" t="s">
        <v>9380</v>
      </c>
      <c r="E5268" t="str">
        <f>HYPERLINK("https://patents.google.com/patent/CN205273742U/en")</f>
        <v>https://patents.google.com/patent/CN205273742U/en</v>
      </c>
    </row>
    <row r="5269" spans="3:5" x14ac:dyDescent="0.25">
      <c r="C5269" t="s">
        <v>9378</v>
      </c>
      <c r="D5269" t="s">
        <v>9381</v>
      </c>
      <c r="E5269" t="str">
        <f>HYPERLINK("https://patents.google.com/patent/KR100876696B1/en")</f>
        <v>https://patents.google.com/patent/KR100876696B1/en</v>
      </c>
    </row>
    <row r="5270" spans="3:5" x14ac:dyDescent="0.25">
      <c r="C5270" t="s">
        <v>9378</v>
      </c>
      <c r="D5270" t="s">
        <v>9382</v>
      </c>
      <c r="E5270" t="str">
        <f>HYPERLINK("https://patents.google.com/patent/KR100876697B1/en")</f>
        <v>https://patents.google.com/patent/KR100876697B1/en</v>
      </c>
    </row>
    <row r="5271" spans="3:5" x14ac:dyDescent="0.25">
      <c r="C5271" t="s">
        <v>9378</v>
      </c>
      <c r="D5271" t="s">
        <v>9383</v>
      </c>
      <c r="E5271" t="str">
        <f>HYPERLINK("https://patents.google.com/patent/KR100876698B1/en")</f>
        <v>https://patents.google.com/patent/KR100876698B1/en</v>
      </c>
    </row>
    <row r="5272" spans="3:5" x14ac:dyDescent="0.25">
      <c r="C5272" t="s">
        <v>9384</v>
      </c>
      <c r="D5272" t="s">
        <v>9385</v>
      </c>
      <c r="E5272" t="str">
        <f>HYPERLINK("https://patents.google.com/patent/CN206327483U/en")</f>
        <v>https://patents.google.com/patent/CN206327483U/en</v>
      </c>
    </row>
    <row r="5273" spans="3:5" x14ac:dyDescent="0.25">
      <c r="C5273" t="s">
        <v>9386</v>
      </c>
      <c r="D5273" t="s">
        <v>9387</v>
      </c>
      <c r="E5273" t="str">
        <f>HYPERLINK("https://patents.google.com/patent/CN106335584A/en")</f>
        <v>https://patents.google.com/patent/CN106335584A/en</v>
      </c>
    </row>
    <row r="5274" spans="3:5" x14ac:dyDescent="0.25">
      <c r="C5274" t="s">
        <v>9388</v>
      </c>
      <c r="D5274" t="s">
        <v>9389</v>
      </c>
      <c r="E5274" t="str">
        <f>HYPERLINK("https://patents.google.com/patent/RU2542840C2/en")</f>
        <v>https://patents.google.com/patent/RU2542840C2/en</v>
      </c>
    </row>
    <row r="5275" spans="3:5" x14ac:dyDescent="0.25">
      <c r="C5275" t="s">
        <v>9390</v>
      </c>
      <c r="D5275" t="s">
        <v>9391</v>
      </c>
      <c r="E5275" t="str">
        <f>HYPERLINK("https://patents.google.com/patent/JP6159931B1/en")</f>
        <v>https://patents.google.com/patent/JP6159931B1/en</v>
      </c>
    </row>
    <row r="5276" spans="3:5" x14ac:dyDescent="0.25">
      <c r="C5276" t="s">
        <v>9392</v>
      </c>
      <c r="D5276" t="s">
        <v>9393</v>
      </c>
      <c r="E5276" t="str">
        <f>HYPERLINK("https://patents.google.com/patent/CN205345210U/en")</f>
        <v>https://patents.google.com/patent/CN205345210U/en</v>
      </c>
    </row>
    <row r="5277" spans="3:5" x14ac:dyDescent="0.25">
      <c r="C5277" t="s">
        <v>9394</v>
      </c>
      <c r="D5277" t="s">
        <v>9395</v>
      </c>
      <c r="E5277" t="str">
        <f>HYPERLINK("https://patents.google.com/patent/US20180162478A1/en")</f>
        <v>https://patents.google.com/patent/US20180162478A1/en</v>
      </c>
    </row>
    <row r="5278" spans="3:5" x14ac:dyDescent="0.25">
      <c r="C5278" t="s">
        <v>9396</v>
      </c>
      <c r="D5278" t="s">
        <v>9397</v>
      </c>
      <c r="E5278" t="str">
        <f>HYPERLINK("https://patents.google.com/patent/CN202379030U/en")</f>
        <v>https://patents.google.com/patent/CN202379030U/en</v>
      </c>
    </row>
    <row r="5279" spans="3:5" x14ac:dyDescent="0.25">
      <c r="C5279" t="s">
        <v>9398</v>
      </c>
      <c r="D5279" t="s">
        <v>9399</v>
      </c>
      <c r="E5279" t="str">
        <f>HYPERLINK("https://patents.google.com/patent/CN205499170U/en")</f>
        <v>https://patents.google.com/patent/CN205499170U/en</v>
      </c>
    </row>
    <row r="5280" spans="3:5" x14ac:dyDescent="0.25">
      <c r="C5280" t="s">
        <v>9400</v>
      </c>
      <c r="D5280" t="s">
        <v>9401</v>
      </c>
      <c r="E5280" t="str">
        <f>HYPERLINK("https://patents.google.com/patent/CN204124060U/en")</f>
        <v>https://patents.google.com/patent/CN204124060U/en</v>
      </c>
    </row>
    <row r="5281" spans="3:5" x14ac:dyDescent="0.25">
      <c r="C5281" t="s">
        <v>9402</v>
      </c>
      <c r="D5281" t="s">
        <v>9403</v>
      </c>
      <c r="E5281" t="str">
        <f>HYPERLINK("https://patents.google.com/patent/CN206412855U/en")</f>
        <v>https://patents.google.com/patent/CN206412855U/en</v>
      </c>
    </row>
    <row r="5282" spans="3:5" x14ac:dyDescent="0.25">
      <c r="C5282" t="s">
        <v>9404</v>
      </c>
      <c r="D5282" t="s">
        <v>9405</v>
      </c>
      <c r="E5282" t="str">
        <f>HYPERLINK("https://patents.google.com/patent/WO2012095302A1/en")</f>
        <v>https://patents.google.com/patent/WO2012095302A1/en</v>
      </c>
    </row>
    <row r="5283" spans="3:5" x14ac:dyDescent="0.25">
      <c r="C5283" t="s">
        <v>9406</v>
      </c>
      <c r="D5283" t="s">
        <v>9407</v>
      </c>
      <c r="E5283" t="str">
        <f>HYPERLINK("https://patents.google.com/patent/WO2016001451A1/en")</f>
        <v>https://patents.google.com/patent/WO2016001451A1/en</v>
      </c>
    </row>
    <row r="5284" spans="3:5" x14ac:dyDescent="0.25">
      <c r="C5284" t="s">
        <v>9408</v>
      </c>
      <c r="D5284" t="s">
        <v>9409</v>
      </c>
      <c r="E5284" t="str">
        <f>HYPERLINK("https://patents.google.com/patent/JP2013509850A/en")</f>
        <v>https://patents.google.com/patent/JP2013509850A/en</v>
      </c>
    </row>
    <row r="5285" spans="3:5" x14ac:dyDescent="0.25">
      <c r="C5285" t="s">
        <v>9410</v>
      </c>
      <c r="D5285" t="s">
        <v>9411</v>
      </c>
      <c r="E5285" t="str">
        <f>HYPERLINK("https://patents.google.com/patent/ES1142388U/en")</f>
        <v>https://patents.google.com/patent/ES1142388U/en</v>
      </c>
    </row>
    <row r="5286" spans="3:5" x14ac:dyDescent="0.25">
      <c r="C5286" t="s">
        <v>9412</v>
      </c>
      <c r="D5286" t="s">
        <v>9413</v>
      </c>
      <c r="E5286" t="str">
        <f>HYPERLINK("https://patents.google.com/patent/CN108482550A/en")</f>
        <v>https://patents.google.com/patent/CN108482550A/en</v>
      </c>
    </row>
    <row r="5287" spans="3:5" x14ac:dyDescent="0.25">
      <c r="C5287" t="s">
        <v>9414</v>
      </c>
      <c r="D5287" t="s">
        <v>9415</v>
      </c>
      <c r="E5287" t="str">
        <f>HYPERLINK("https://patents.google.com/patent/CN106515944A/en")</f>
        <v>https://patents.google.com/patent/CN106515944A/en</v>
      </c>
    </row>
    <row r="5288" spans="3:5" x14ac:dyDescent="0.25">
      <c r="C5288" t="s">
        <v>9416</v>
      </c>
      <c r="D5288" t="s">
        <v>9417</v>
      </c>
      <c r="E5288" t="str">
        <f>HYPERLINK("https://patents.google.com/patent/CN105151213A/en")</f>
        <v>https://patents.google.com/patent/CN105151213A/en</v>
      </c>
    </row>
    <row r="5289" spans="3:5" x14ac:dyDescent="0.25">
      <c r="C5289" t="s">
        <v>9418</v>
      </c>
      <c r="D5289" t="s">
        <v>9419</v>
      </c>
      <c r="E5289" t="str">
        <f>HYPERLINK("https://patents.google.com/patent/CN106741403A/en")</f>
        <v>https://patents.google.com/patent/CN106741403A/en</v>
      </c>
    </row>
    <row r="5290" spans="3:5" x14ac:dyDescent="0.25">
      <c r="C5290" t="s">
        <v>9420</v>
      </c>
      <c r="D5290" t="s">
        <v>9421</v>
      </c>
      <c r="E5290" t="str">
        <f>HYPERLINK("https://patents.google.com/patent/CN107792268A/en")</f>
        <v>https://patents.google.com/patent/CN107792268A/en</v>
      </c>
    </row>
    <row r="5291" spans="3:5" x14ac:dyDescent="0.25">
      <c r="C5291" t="s">
        <v>9422</v>
      </c>
      <c r="D5291" t="s">
        <v>9423</v>
      </c>
      <c r="E5291" t="str">
        <f>HYPERLINK("https://patents.google.com/patent/DE102015217342A1/en")</f>
        <v>https://patents.google.com/patent/DE102015217342A1/en</v>
      </c>
    </row>
    <row r="5292" spans="3:5" x14ac:dyDescent="0.25">
      <c r="C5292" t="s">
        <v>9424</v>
      </c>
      <c r="D5292" t="s">
        <v>9425</v>
      </c>
      <c r="E5292" t="str">
        <f>HYPERLINK("https://patents.google.com/patent/US20170160793A1/en")</f>
        <v>https://patents.google.com/patent/US20170160793A1/en</v>
      </c>
    </row>
    <row r="5293" spans="3:5" x14ac:dyDescent="0.25">
      <c r="C5293" t="s">
        <v>9426</v>
      </c>
      <c r="D5293" t="s">
        <v>9427</v>
      </c>
      <c r="E5293" t="str">
        <f>HYPERLINK("https://patents.google.com/patent/WO2015196319A1/en")</f>
        <v>https://patents.google.com/patent/WO2015196319A1/en</v>
      </c>
    </row>
    <row r="5294" spans="3:5" x14ac:dyDescent="0.25">
      <c r="C5294" t="s">
        <v>9320</v>
      </c>
      <c r="D5294" t="s">
        <v>9428</v>
      </c>
      <c r="E5294" t="str">
        <f>HYPERLINK("https://patents.google.com/patent/CN206087089U/en")</f>
        <v>https://patents.google.com/patent/CN206087089U/en</v>
      </c>
    </row>
    <row r="5295" spans="3:5" x14ac:dyDescent="0.25">
      <c r="C5295" t="s">
        <v>9429</v>
      </c>
      <c r="D5295" t="s">
        <v>9430</v>
      </c>
      <c r="E5295" t="str">
        <f>HYPERLINK("https://patents.google.com/patent/CN201161674Y/en")</f>
        <v>https://patents.google.com/patent/CN201161674Y/en</v>
      </c>
    </row>
    <row r="5296" spans="3:5" x14ac:dyDescent="0.25">
      <c r="C5296" t="s">
        <v>9431</v>
      </c>
      <c r="D5296" t="s">
        <v>9432</v>
      </c>
      <c r="E5296" t="str">
        <f>HYPERLINK("https://patents.google.com/patent/CN205381338U/en")</f>
        <v>https://patents.google.com/patent/CN205381338U/en</v>
      </c>
    </row>
    <row r="5297" spans="3:5" x14ac:dyDescent="0.25">
      <c r="C5297" t="s">
        <v>9433</v>
      </c>
      <c r="D5297" t="s">
        <v>9434</v>
      </c>
      <c r="E5297" t="str">
        <f>HYPERLINK("https://patents.google.com/patent/CN205292926U/en")</f>
        <v>https://patents.google.com/patent/CN205292926U/en</v>
      </c>
    </row>
    <row r="5298" spans="3:5" x14ac:dyDescent="0.25">
      <c r="C5298" t="s">
        <v>9435</v>
      </c>
      <c r="D5298" t="s">
        <v>9436</v>
      </c>
      <c r="E5298" t="str">
        <f>HYPERLINK("https://patents.google.com/patent/CN205273727U/en")</f>
        <v>https://patents.google.com/patent/CN205273727U/en</v>
      </c>
    </row>
    <row r="5299" spans="3:5" x14ac:dyDescent="0.25">
      <c r="C5299" t="s">
        <v>9437</v>
      </c>
      <c r="D5299" t="s">
        <v>9438</v>
      </c>
      <c r="E5299" t="str">
        <f>HYPERLINK("https://patents.google.com/patent/US20170231856A1/en")</f>
        <v>https://patents.google.com/patent/US20170231856A1/en</v>
      </c>
    </row>
    <row r="5300" spans="3:5" x14ac:dyDescent="0.25">
      <c r="C5300" t="s">
        <v>9439</v>
      </c>
      <c r="D5300" t="s">
        <v>9440</v>
      </c>
      <c r="E5300" t="str">
        <f>HYPERLINK("https://patents.google.com/patent/CN205203232U/en")</f>
        <v>https://patents.google.com/patent/CN205203232U/en</v>
      </c>
    </row>
    <row r="5301" spans="3:5" x14ac:dyDescent="0.25">
      <c r="C5301" t="s">
        <v>9441</v>
      </c>
      <c r="D5301" t="s">
        <v>9442</v>
      </c>
      <c r="E5301" t="str">
        <f>HYPERLINK("https://patents.google.com/patent/CN205469478U/en")</f>
        <v>https://patents.google.com/patent/CN205469478U/en</v>
      </c>
    </row>
    <row r="5302" spans="3:5" x14ac:dyDescent="0.25">
      <c r="C5302" t="s">
        <v>9443</v>
      </c>
      <c r="D5302" t="s">
        <v>9444</v>
      </c>
      <c r="E5302" t="str">
        <f>HYPERLINK("https://patents.google.com/patent/US20130275296A1/en")</f>
        <v>https://patents.google.com/patent/US20130275296A1/en</v>
      </c>
    </row>
    <row r="5303" spans="3:5" x14ac:dyDescent="0.25">
      <c r="C5303" t="s">
        <v>9445</v>
      </c>
      <c r="D5303" t="s">
        <v>9446</v>
      </c>
      <c r="E5303" t="str">
        <f>HYPERLINK("https://patents.google.com/patent/CN205336392U/en")</f>
        <v>https://patents.google.com/patent/CN205336392U/en</v>
      </c>
    </row>
    <row r="5304" spans="3:5" x14ac:dyDescent="0.25">
      <c r="C5304" t="s">
        <v>9447</v>
      </c>
      <c r="D5304" t="s">
        <v>9448</v>
      </c>
      <c r="E5304" t="str">
        <f>HYPERLINK("https://patents.google.com/patent/CN206187203U/en")</f>
        <v>https://patents.google.com/patent/CN206187203U/en</v>
      </c>
    </row>
    <row r="5305" spans="3:5" x14ac:dyDescent="0.25">
      <c r="C5305" t="s">
        <v>9449</v>
      </c>
      <c r="D5305" t="s">
        <v>9450</v>
      </c>
      <c r="E5305" t="str">
        <f>HYPERLINK("https://patents.google.com/patent/US9919560B1/en")</f>
        <v>https://patents.google.com/patent/US9919560B1/en</v>
      </c>
    </row>
    <row r="5306" spans="3:5" x14ac:dyDescent="0.25">
      <c r="C5306" t="s">
        <v>9451</v>
      </c>
      <c r="D5306" t="s">
        <v>9452</v>
      </c>
      <c r="E5306" t="str">
        <f>HYPERLINK("https://patents.google.com/patent/US20180024558A1/en")</f>
        <v>https://patents.google.com/patent/US20180024558A1/en</v>
      </c>
    </row>
    <row r="5307" spans="3:5" x14ac:dyDescent="0.25">
      <c r="C5307" t="s">
        <v>9453</v>
      </c>
      <c r="D5307" t="s">
        <v>9454</v>
      </c>
      <c r="E5307" t="str">
        <f>HYPERLINK("https://patents.google.com/patent/NL2015058B1/en")</f>
        <v>https://patents.google.com/patent/NL2015058B1/en</v>
      </c>
    </row>
    <row r="5308" spans="3:5" x14ac:dyDescent="0.25">
      <c r="C5308" t="s">
        <v>9455</v>
      </c>
      <c r="D5308" t="s">
        <v>9456</v>
      </c>
      <c r="E5308" t="str">
        <f>HYPERLINK("https://patents.google.com/patent/KR101651790B1/en")</f>
        <v>https://patents.google.com/patent/KR101651790B1/en</v>
      </c>
    </row>
    <row r="5309" spans="3:5" x14ac:dyDescent="0.25">
      <c r="C5309" t="s">
        <v>9457</v>
      </c>
      <c r="D5309" t="s">
        <v>9458</v>
      </c>
      <c r="E5309" t="str">
        <f>HYPERLINK("https://patents.google.com/patent/KR101840619B1/en")</f>
        <v>https://patents.google.com/patent/KR101840619B1/en</v>
      </c>
    </row>
    <row r="5310" spans="3:5" x14ac:dyDescent="0.25">
      <c r="C5310" t="s">
        <v>9459</v>
      </c>
      <c r="D5310" t="s">
        <v>9460</v>
      </c>
      <c r="E5310" t="str">
        <f>HYPERLINK("https://patents.google.com/patent/JP5577487B2/en")</f>
        <v>https://patents.google.com/patent/JP5577487B2/en</v>
      </c>
    </row>
    <row r="5311" spans="3:5" x14ac:dyDescent="0.25">
      <c r="C5311" t="s">
        <v>9461</v>
      </c>
      <c r="D5311" t="s">
        <v>9462</v>
      </c>
      <c r="E5311" t="str">
        <f>HYPERLINK("https://patents.google.com/patent/KR101105667B1/en")</f>
        <v>https://patents.google.com/patent/KR101105667B1/en</v>
      </c>
    </row>
    <row r="5312" spans="3:5" x14ac:dyDescent="0.25">
      <c r="C5312" t="s">
        <v>9463</v>
      </c>
      <c r="D5312" t="s">
        <v>9464</v>
      </c>
      <c r="E5312" t="str">
        <f>HYPERLINK("https://patents.google.com/patent/CN206734369U/en")</f>
        <v>https://patents.google.com/patent/CN206734369U/en</v>
      </c>
    </row>
    <row r="5313" spans="3:5" x14ac:dyDescent="0.25">
      <c r="C5313" t="s">
        <v>9465</v>
      </c>
      <c r="D5313" t="s">
        <v>9466</v>
      </c>
      <c r="E5313" t="str">
        <f>HYPERLINK("https://patents.google.com/patent/ES1075809U/en")</f>
        <v>https://patents.google.com/patent/ES1075809U/en</v>
      </c>
    </row>
    <row r="5314" spans="3:5" x14ac:dyDescent="0.25">
      <c r="C5314" t="s">
        <v>9467</v>
      </c>
      <c r="D5314" t="s">
        <v>9468</v>
      </c>
      <c r="E5314" t="str">
        <f>HYPERLINK("https://patents.google.com/patent/CN106741408A/en")</f>
        <v>https://patents.google.com/patent/CN106741408A/en</v>
      </c>
    </row>
    <row r="5315" spans="3:5" x14ac:dyDescent="0.25">
      <c r="C5315" t="s">
        <v>9469</v>
      </c>
      <c r="D5315" t="s">
        <v>9470</v>
      </c>
      <c r="E5315" t="str">
        <f>HYPERLINK("https://patents.google.com/patent/ES1182510U/en")</f>
        <v>https://patents.google.com/patent/ES1182510U/en</v>
      </c>
    </row>
    <row r="5316" spans="3:5" x14ac:dyDescent="0.25">
      <c r="C5316" t="s">
        <v>9471</v>
      </c>
      <c r="D5316" t="s">
        <v>9472</v>
      </c>
      <c r="E5316" t="str">
        <f>HYPERLINK("https://patents.google.com/patent/WO2002045998A2/en")</f>
        <v>https://patents.google.com/patent/WO2002045998A2/en</v>
      </c>
    </row>
    <row r="5317" spans="3:5" x14ac:dyDescent="0.25">
      <c r="C5317" t="s">
        <v>9473</v>
      </c>
      <c r="D5317" t="s">
        <v>9474</v>
      </c>
      <c r="E5317" t="str">
        <f>HYPERLINK("https://patents.google.com/patent/CN105644699A/en")</f>
        <v>https://patents.google.com/patent/CN105644699A/en</v>
      </c>
    </row>
    <row r="5318" spans="3:5" x14ac:dyDescent="0.25">
      <c r="C5318" t="s">
        <v>9475</v>
      </c>
      <c r="D5318" t="s">
        <v>9476</v>
      </c>
      <c r="E5318" t="str">
        <f>HYPERLINK("https://patents.google.com/patent/CN106303956A/en")</f>
        <v>https://patents.google.com/patent/CN106303956A/en</v>
      </c>
    </row>
    <row r="5319" spans="3:5" x14ac:dyDescent="0.25">
      <c r="C5319" t="s">
        <v>9463</v>
      </c>
      <c r="D5319" t="s">
        <v>9477</v>
      </c>
      <c r="E5319" t="str">
        <f>HYPERLINK("https://patents.google.com/patent/CN206615254U/en")</f>
        <v>https://patents.google.com/patent/CN206615254U/en</v>
      </c>
    </row>
    <row r="5320" spans="3:5" x14ac:dyDescent="0.25">
      <c r="C5320" t="s">
        <v>9478</v>
      </c>
      <c r="D5320" t="s">
        <v>9479</v>
      </c>
      <c r="E5320" t="str">
        <f>HYPERLINK("https://patents.google.com/patent/WO2014053713A1/en")</f>
        <v>https://patents.google.com/patent/WO2014053713A1/en</v>
      </c>
    </row>
    <row r="5321" spans="3:5" x14ac:dyDescent="0.25">
      <c r="C5321" t="s">
        <v>9480</v>
      </c>
      <c r="D5321" t="s">
        <v>9481</v>
      </c>
      <c r="E5321" t="str">
        <f>HYPERLINK("https://patents.google.com/patent/WO2016187838A1/en")</f>
        <v>https://patents.google.com/patent/WO2016187838A1/en</v>
      </c>
    </row>
    <row r="5322" spans="3:5" x14ac:dyDescent="0.25">
      <c r="C5322" t="s">
        <v>9482</v>
      </c>
      <c r="D5322" t="s">
        <v>9483</v>
      </c>
      <c r="E5322" t="str">
        <f>HYPERLINK("https://patents.google.com/patent/WO2016187834A1/en")</f>
        <v>https://patents.google.com/patent/WO2016187834A1/en</v>
      </c>
    </row>
    <row r="5323" spans="3:5" x14ac:dyDescent="0.25">
      <c r="C5323" t="s">
        <v>9484</v>
      </c>
      <c r="D5323" t="s">
        <v>9485</v>
      </c>
      <c r="E5323" t="str">
        <f>HYPERLINK("https://patents.google.com/patent/CN105416468A/en")</f>
        <v>https://patents.google.com/patent/CN105416468A/en</v>
      </c>
    </row>
    <row r="5324" spans="3:5" x14ac:dyDescent="0.25">
      <c r="C5324" t="s">
        <v>9486</v>
      </c>
      <c r="D5324" t="s">
        <v>9487</v>
      </c>
      <c r="E5324" t="str">
        <f>HYPERLINK("https://patents.google.com/patent/CN206214723U/en")</f>
        <v>https://patents.google.com/patent/CN206214723U/en</v>
      </c>
    </row>
    <row r="5325" spans="3:5" x14ac:dyDescent="0.25">
      <c r="C5325" t="s">
        <v>9488</v>
      </c>
      <c r="D5325" t="s">
        <v>9489</v>
      </c>
      <c r="E5325" t="str">
        <f>HYPERLINK("https://patents.google.com/patent/CN106741399A/en")</f>
        <v>https://patents.google.com/patent/CN106741399A/en</v>
      </c>
    </row>
    <row r="5326" spans="3:5" x14ac:dyDescent="0.25">
      <c r="C5326" t="s">
        <v>9490</v>
      </c>
      <c r="D5326" t="s">
        <v>9491</v>
      </c>
      <c r="E5326" t="str">
        <f>HYPERLINK("https://patents.google.com/patent/CN107298148A/en")</f>
        <v>https://patents.google.com/patent/CN107298148A/en</v>
      </c>
    </row>
    <row r="5327" spans="3:5" x14ac:dyDescent="0.25">
      <c r="C5327" t="s">
        <v>9492</v>
      </c>
      <c r="D5327" t="s">
        <v>9493</v>
      </c>
      <c r="E5327" t="str">
        <f>HYPERLINK("https://patents.google.com/patent/CN106549546A/en")</f>
        <v>https://patents.google.com/patent/CN106549546A/en</v>
      </c>
    </row>
    <row r="5328" spans="3:5" x14ac:dyDescent="0.25">
      <c r="C5328" t="s">
        <v>9494</v>
      </c>
      <c r="D5328" t="s">
        <v>9495</v>
      </c>
      <c r="E5328" t="str">
        <f>HYPERLINK("https://patents.google.com/patent/CN107472419A/en")</f>
        <v>https://patents.google.com/patent/CN107472419A/en</v>
      </c>
    </row>
    <row r="5329" spans="3:5" x14ac:dyDescent="0.25">
      <c r="C5329" t="s">
        <v>9496</v>
      </c>
      <c r="D5329" t="s">
        <v>9497</v>
      </c>
      <c r="E5329" t="str">
        <f>HYPERLINK("https://patents.google.com/patent/CN105667661B/en")</f>
        <v>https://patents.google.com/patent/CN105667661B/en</v>
      </c>
    </row>
    <row r="5330" spans="3:5" x14ac:dyDescent="0.25">
      <c r="C5330" t="s">
        <v>9498</v>
      </c>
      <c r="D5330" t="s">
        <v>9499</v>
      </c>
      <c r="E5330" t="str">
        <f>HYPERLINK("https://patents.google.com/patent/CN206466087U/en")</f>
        <v>https://patents.google.com/patent/CN206466087U/en</v>
      </c>
    </row>
    <row r="5331" spans="3:5" x14ac:dyDescent="0.25">
      <c r="C5331" t="s">
        <v>9500</v>
      </c>
      <c r="D5331" t="s">
        <v>9501</v>
      </c>
      <c r="E5331" t="str">
        <f>HYPERLINK("https://patents.google.com/patent/CN108583760A/en")</f>
        <v>https://patents.google.com/patent/CN108583760A/en</v>
      </c>
    </row>
    <row r="5332" spans="3:5" x14ac:dyDescent="0.25">
      <c r="C5332" t="s">
        <v>9320</v>
      </c>
      <c r="D5332" t="s">
        <v>9502</v>
      </c>
      <c r="E5332" t="str">
        <f>HYPERLINK("https://patents.google.com/patent/CN205524773U/en")</f>
        <v>https://patents.google.com/patent/CN205524773U/en</v>
      </c>
    </row>
    <row r="5333" spans="3:5" x14ac:dyDescent="0.25">
      <c r="C5333" t="s">
        <v>9503</v>
      </c>
      <c r="D5333" t="s">
        <v>9504</v>
      </c>
      <c r="E5333" t="str">
        <f>HYPERLINK("https://patents.google.com/patent/CN205345263U/en")</f>
        <v>https://patents.google.com/patent/CN205345263U/en</v>
      </c>
    </row>
    <row r="5334" spans="3:5" x14ac:dyDescent="0.25">
      <c r="C5334" t="s">
        <v>9505</v>
      </c>
      <c r="D5334" t="s">
        <v>9506</v>
      </c>
      <c r="E5334" t="str">
        <f>HYPERLINK("https://patents.google.com/patent/CN205365895U/en")</f>
        <v>https://patents.google.com/patent/CN205365895U/en</v>
      </c>
    </row>
    <row r="5335" spans="3:5" x14ac:dyDescent="0.25">
      <c r="C5335" t="s">
        <v>9507</v>
      </c>
      <c r="D5335" t="s">
        <v>9508</v>
      </c>
      <c r="E5335" t="str">
        <f>HYPERLINK("https://patents.google.com/patent/JP2017081376A/en")</f>
        <v>https://patents.google.com/patent/JP2017081376A/en</v>
      </c>
    </row>
    <row r="5336" spans="3:5" x14ac:dyDescent="0.25">
      <c r="C5336" t="s">
        <v>9447</v>
      </c>
      <c r="D5336" t="s">
        <v>9509</v>
      </c>
      <c r="E5336" t="str">
        <f>HYPERLINK("https://patents.google.com/patent/CN206528563U/en")</f>
        <v>https://patents.google.com/patent/CN206528563U/en</v>
      </c>
    </row>
    <row r="5337" spans="3:5" x14ac:dyDescent="0.25">
      <c r="C5337" t="s">
        <v>9447</v>
      </c>
      <c r="D5337" t="s">
        <v>9510</v>
      </c>
      <c r="E5337" t="str">
        <f>HYPERLINK("https://patents.google.com/patent/CN206590036U/en")</f>
        <v>https://patents.google.com/patent/CN206590036U/en</v>
      </c>
    </row>
    <row r="5338" spans="3:5" x14ac:dyDescent="0.25">
      <c r="C5338" t="s">
        <v>9511</v>
      </c>
      <c r="D5338" t="s">
        <v>9512</v>
      </c>
      <c r="E5338" t="str">
        <f>HYPERLINK("https://patents.google.com/patent/CN205440668U/en")</f>
        <v>https://patents.google.com/patent/CN205440668U/en</v>
      </c>
    </row>
    <row r="5339" spans="3:5" x14ac:dyDescent="0.25">
      <c r="C5339" t="s">
        <v>9513</v>
      </c>
      <c r="D5339" t="s">
        <v>9514</v>
      </c>
      <c r="E5339" t="str">
        <f>HYPERLINK("https://patents.google.com/patent/CN205707039U/en")</f>
        <v>https://patents.google.com/patent/CN205707039U/en</v>
      </c>
    </row>
    <row r="5340" spans="3:5" x14ac:dyDescent="0.25">
      <c r="C5340" t="s">
        <v>9447</v>
      </c>
      <c r="D5340" t="s">
        <v>9515</v>
      </c>
      <c r="E5340" t="str">
        <f>HYPERLINK("https://patents.google.com/patent/CN206644917U/en")</f>
        <v>https://patents.google.com/patent/CN206644917U/en</v>
      </c>
    </row>
    <row r="5341" spans="3:5" x14ac:dyDescent="0.25">
      <c r="C5341" t="s">
        <v>9516</v>
      </c>
      <c r="D5341" t="s">
        <v>9517</v>
      </c>
      <c r="E5341" t="str">
        <f>HYPERLINK("https://patents.google.com/patent/WO2018039909A1/en")</f>
        <v>https://patents.google.com/patent/WO2018039909A1/en</v>
      </c>
    </row>
    <row r="5342" spans="3:5" x14ac:dyDescent="0.25">
      <c r="C5342" t="s">
        <v>9518</v>
      </c>
      <c r="D5342" t="s">
        <v>9519</v>
      </c>
      <c r="E5342" t="str">
        <f>HYPERLINK("https://patents.google.com/patent/WO2014016174A1/en")</f>
        <v>https://patents.google.com/patent/WO2014016174A1/en</v>
      </c>
    </row>
    <row r="5343" spans="3:5" x14ac:dyDescent="0.25">
      <c r="C5343" t="s">
        <v>9520</v>
      </c>
      <c r="D5343" t="s">
        <v>9521</v>
      </c>
      <c r="E5343" t="str">
        <f>HYPERLINK("https://patents.google.com/patent/WO2018006302A1/en")</f>
        <v>https://patents.google.com/patent/WO2018006302A1/en</v>
      </c>
    </row>
    <row r="5344" spans="3:5" x14ac:dyDescent="0.25">
      <c r="C5344" t="s">
        <v>9522</v>
      </c>
      <c r="D5344" t="s">
        <v>9523</v>
      </c>
      <c r="E5344" t="str">
        <f>HYPERLINK("https://patents.google.com/patent/CN203172789U/en")</f>
        <v>https://patents.google.com/patent/CN203172789U/en</v>
      </c>
    </row>
    <row r="5345" spans="3:5" x14ac:dyDescent="0.25">
      <c r="C5345" t="s">
        <v>9447</v>
      </c>
      <c r="D5345" t="s">
        <v>9524</v>
      </c>
      <c r="E5345" t="str">
        <f>HYPERLINK("https://patents.google.com/patent/CN206644916U/en")</f>
        <v>https://patents.google.com/patent/CN206644916U/en</v>
      </c>
    </row>
    <row r="5346" spans="3:5" x14ac:dyDescent="0.25">
      <c r="C5346" t="s">
        <v>9525</v>
      </c>
      <c r="D5346" t="s">
        <v>9526</v>
      </c>
      <c r="E5346" t="str">
        <f>HYPERLINK("https://patents.google.com/patent/CN206766222U/en")</f>
        <v>https://patents.google.com/patent/CN206766222U/en</v>
      </c>
    </row>
    <row r="5347" spans="3:5" x14ac:dyDescent="0.25">
      <c r="C5347" t="s">
        <v>9527</v>
      </c>
      <c r="D5347" t="s">
        <v>9528</v>
      </c>
      <c r="E5347" t="str">
        <f>HYPERLINK("https://patents.google.com/patent/CN105691512A/en")</f>
        <v>https://patents.google.com/patent/CN105691512A/en</v>
      </c>
    </row>
    <row r="5348" spans="3:5" x14ac:dyDescent="0.25">
      <c r="C5348" t="s">
        <v>9447</v>
      </c>
      <c r="D5348" t="s">
        <v>9529</v>
      </c>
      <c r="E5348" t="str">
        <f>HYPERLINK("https://patents.google.com/patent/CN206528566U/en")</f>
        <v>https://patents.google.com/patent/CN206528566U/en</v>
      </c>
    </row>
    <row r="5349" spans="3:5" x14ac:dyDescent="0.25">
      <c r="C5349" t="s">
        <v>9447</v>
      </c>
      <c r="D5349" t="s">
        <v>9530</v>
      </c>
      <c r="E5349" t="str">
        <f>HYPERLINK("https://patents.google.com/patent/CN206528564U/en")</f>
        <v>https://patents.google.com/patent/CN206528564U/en</v>
      </c>
    </row>
    <row r="5350" spans="3:5" x14ac:dyDescent="0.25">
      <c r="C5350" t="s">
        <v>9531</v>
      </c>
      <c r="D5350" t="s">
        <v>9532</v>
      </c>
      <c r="E5350" t="str">
        <f>HYPERLINK("https://patents.google.com/patent/FR2895359A1/en")</f>
        <v>https://patents.google.com/patent/FR2895359A1/en</v>
      </c>
    </row>
    <row r="5351" spans="3:5" x14ac:dyDescent="0.25">
      <c r="C5351" t="s">
        <v>9533</v>
      </c>
      <c r="D5351" t="s">
        <v>9534</v>
      </c>
      <c r="E5351" t="str">
        <f>HYPERLINK("https://patents.google.com/patent/CN207000687U/en")</f>
        <v>https://patents.google.com/patent/CN207000687U/en</v>
      </c>
    </row>
    <row r="5352" spans="3:5" x14ac:dyDescent="0.25">
      <c r="C5352" t="s">
        <v>9535</v>
      </c>
      <c r="D5352" t="s">
        <v>9536</v>
      </c>
      <c r="E5352" t="str">
        <f>HYPERLINK("https://patents.google.com/patent/CN108407950A/en")</f>
        <v>https://patents.google.com/patent/CN108407950A/en</v>
      </c>
    </row>
    <row r="5353" spans="3:5" x14ac:dyDescent="0.25">
      <c r="C5353" t="s">
        <v>9537</v>
      </c>
      <c r="D5353" t="s">
        <v>9538</v>
      </c>
      <c r="E5353" t="str">
        <f>HYPERLINK("https://patents.google.com/patent/US20170203811A1/en")</f>
        <v>https://patents.google.com/patent/US20170203811A1/en</v>
      </c>
    </row>
    <row r="5354" spans="3:5" x14ac:dyDescent="0.25">
      <c r="C5354" t="s">
        <v>9539</v>
      </c>
      <c r="D5354" t="s">
        <v>9540</v>
      </c>
      <c r="E5354" t="str">
        <f>HYPERLINK("https://patents.google.com/patent/WO2017217929A1/en")</f>
        <v>https://patents.google.com/patent/WO2017217929A1/en</v>
      </c>
    </row>
    <row r="5355" spans="3:5" x14ac:dyDescent="0.25">
      <c r="C5355" t="s">
        <v>9541</v>
      </c>
      <c r="D5355" t="s">
        <v>9542</v>
      </c>
      <c r="E5355" t="str">
        <f>HYPERLINK("https://patents.google.com/patent/CN106371443A/en")</f>
        <v>https://patents.google.com/patent/CN106371443A/en</v>
      </c>
    </row>
    <row r="5356" spans="3:5" x14ac:dyDescent="0.25">
      <c r="C5356" t="s">
        <v>9543</v>
      </c>
      <c r="D5356" t="s">
        <v>9544</v>
      </c>
      <c r="E5356" t="str">
        <f>HYPERLINK("https://patents.google.com/patent/WO2018039908A1/en")</f>
        <v>https://patents.google.com/patent/WO2018039908A1/en</v>
      </c>
    </row>
    <row r="5357" spans="3:5" x14ac:dyDescent="0.25">
      <c r="C5357" t="s">
        <v>9447</v>
      </c>
      <c r="D5357" t="s">
        <v>9545</v>
      </c>
      <c r="E5357" t="str">
        <f>HYPERLINK("https://patents.google.com/patent/CN206374883U/en")</f>
        <v>https://patents.google.com/patent/CN206374883U/en</v>
      </c>
    </row>
    <row r="5358" spans="3:5" x14ac:dyDescent="0.25">
      <c r="C5358" t="s">
        <v>9447</v>
      </c>
      <c r="D5358" t="s">
        <v>9546</v>
      </c>
      <c r="E5358" t="str">
        <f>HYPERLINK("https://patents.google.com/patent/CN206528565U/en")</f>
        <v>https://patents.google.com/patent/CN206528565U/en</v>
      </c>
    </row>
    <row r="5359" spans="3:5" x14ac:dyDescent="0.25">
      <c r="C5359" t="s">
        <v>9547</v>
      </c>
      <c r="D5359" t="s">
        <v>9548</v>
      </c>
      <c r="E5359" t="str">
        <f>HYPERLINK("https://patents.google.com/patent/CN205801356U/en")</f>
        <v>https://patents.google.com/patent/CN205801356U/en</v>
      </c>
    </row>
    <row r="5360" spans="3:5" x14ac:dyDescent="0.25">
      <c r="C5360" t="s">
        <v>9447</v>
      </c>
      <c r="D5360" t="s">
        <v>9549</v>
      </c>
      <c r="E5360" t="str">
        <f>HYPERLINK("https://patents.google.com/patent/CN206374884U/en")</f>
        <v>https://patents.google.com/patent/CN206374884U/en</v>
      </c>
    </row>
    <row r="5361" spans="3:5" x14ac:dyDescent="0.25">
      <c r="C5361" t="s">
        <v>9550</v>
      </c>
      <c r="D5361" t="s">
        <v>9551</v>
      </c>
      <c r="E5361" t="str">
        <f>HYPERLINK("https://patents.google.com/patent/CN207052656U/en")</f>
        <v>https://patents.google.com/patent/CN207052656U/en</v>
      </c>
    </row>
    <row r="5362" spans="3:5" x14ac:dyDescent="0.25">
      <c r="C5362" t="s">
        <v>9552</v>
      </c>
      <c r="D5362" t="s">
        <v>9553</v>
      </c>
      <c r="E5362" t="str">
        <f>HYPERLINK("https://patents.google.com/patent/CN106828726A/en")</f>
        <v>https://patents.google.com/patent/CN106828726A/en</v>
      </c>
    </row>
    <row r="5363" spans="3:5" x14ac:dyDescent="0.25">
      <c r="C5363" t="s">
        <v>9318</v>
      </c>
      <c r="D5363" t="s">
        <v>9554</v>
      </c>
      <c r="E5363" t="str">
        <f>HYPERLINK("https://patents.google.com/patent/CN205854360U/en")</f>
        <v>https://patents.google.com/patent/CN205854360U/en</v>
      </c>
    </row>
    <row r="5364" spans="3:5" x14ac:dyDescent="0.25">
      <c r="C5364" t="s">
        <v>9555</v>
      </c>
      <c r="D5364" t="s">
        <v>9556</v>
      </c>
      <c r="E5364" t="str">
        <f>HYPERLINK("https://patents.google.com/patent/CN205880557U/en")</f>
        <v>https://patents.google.com/patent/CN205880557U/en</v>
      </c>
    </row>
    <row r="5365" spans="3:5" x14ac:dyDescent="0.25">
      <c r="C5365" t="s">
        <v>9557</v>
      </c>
      <c r="D5365" t="s">
        <v>9558</v>
      </c>
      <c r="E5365" t="str">
        <f>HYPERLINK("https://patents.google.com/patent/CN205498482U/en")</f>
        <v>https://patents.google.com/patent/CN205498482U/en</v>
      </c>
    </row>
    <row r="5366" spans="3:5" x14ac:dyDescent="0.25">
      <c r="C5366" t="s">
        <v>9559</v>
      </c>
      <c r="D5366" t="s">
        <v>9560</v>
      </c>
      <c r="E5366" t="str">
        <f>HYPERLINK("https://patents.google.com/patent/CN106828727A/en")</f>
        <v>https://patents.google.com/patent/CN106828727A/en</v>
      </c>
    </row>
    <row r="5367" spans="3:5" x14ac:dyDescent="0.25">
      <c r="C5367" t="s">
        <v>9561</v>
      </c>
      <c r="D5367" t="s">
        <v>9562</v>
      </c>
      <c r="E5367" t="str">
        <f>HYPERLINK("https://patents.google.com/patent/CN205632802U/en")</f>
        <v>https://patents.google.com/patent/CN205632802U/en</v>
      </c>
    </row>
    <row r="5368" spans="3:5" x14ac:dyDescent="0.25">
      <c r="C5368" t="s">
        <v>9563</v>
      </c>
      <c r="D5368" t="s">
        <v>9564</v>
      </c>
      <c r="E5368" t="str">
        <f>HYPERLINK("https://patents.google.com/patent/US20180127048A1/en")</f>
        <v>https://patents.google.com/patent/US20180127048A1/en</v>
      </c>
    </row>
    <row r="5369" spans="3:5" x14ac:dyDescent="0.25">
      <c r="C5369" t="s">
        <v>9565</v>
      </c>
      <c r="D5369" t="s">
        <v>9566</v>
      </c>
      <c r="E5369" t="str">
        <f>HYPERLINK("https://patents.google.com/patent/CN207683694U/en")</f>
        <v>https://patents.google.com/patent/CN207683694U/en</v>
      </c>
    </row>
    <row r="5370" spans="3:5" x14ac:dyDescent="0.25">
      <c r="C5370" t="s">
        <v>9320</v>
      </c>
      <c r="D5370" t="s">
        <v>9567</v>
      </c>
      <c r="E5370" t="str">
        <f>HYPERLINK("https://patents.google.com/patent/CN205345232U/en")</f>
        <v>https://patents.google.com/patent/CN205345232U/en</v>
      </c>
    </row>
    <row r="5371" spans="3:5" x14ac:dyDescent="0.25">
      <c r="C5371" t="s">
        <v>9568</v>
      </c>
      <c r="D5371" t="s">
        <v>9569</v>
      </c>
      <c r="E5371" t="str">
        <f>HYPERLINK("https://patents.google.com/patent/CN107416097A/en")</f>
        <v>https://patents.google.com/patent/CN107416097A/en</v>
      </c>
    </row>
    <row r="5372" spans="3:5" x14ac:dyDescent="0.25">
      <c r="C5372" t="s">
        <v>9552</v>
      </c>
      <c r="D5372" t="s">
        <v>9570</v>
      </c>
      <c r="E5372" t="str">
        <f>HYPERLINK("https://patents.google.com/patent/CN106627896A/en")</f>
        <v>https://patents.google.com/patent/CN106627896A/en</v>
      </c>
    </row>
    <row r="5373" spans="3:5" x14ac:dyDescent="0.25">
      <c r="C5373" t="s">
        <v>9571</v>
      </c>
      <c r="D5373" t="s">
        <v>9572</v>
      </c>
      <c r="E5373" t="str">
        <f>HYPERLINK("https://patents.google.com/patent/ES2390175B1/en")</f>
        <v>https://patents.google.com/patent/ES2390175B1/en</v>
      </c>
    </row>
    <row r="5374" spans="3:5" x14ac:dyDescent="0.25">
      <c r="C5374" t="s">
        <v>9573</v>
      </c>
      <c r="D5374" t="s">
        <v>9574</v>
      </c>
      <c r="E5374" t="str">
        <f>HYPERLINK("https://patents.google.com/patent/US20180177665A1/en")</f>
        <v>https://patents.google.com/patent/US20180177665A1/en</v>
      </c>
    </row>
    <row r="5375" spans="3:5" x14ac:dyDescent="0.25">
      <c r="C5375" t="s">
        <v>9575</v>
      </c>
      <c r="D5375" t="s">
        <v>9576</v>
      </c>
      <c r="E5375" t="str">
        <f>HYPERLINK("https://patents.google.com/patent/CN107200089A/en")</f>
        <v>https://patents.google.com/patent/CN107200089A/en</v>
      </c>
    </row>
    <row r="5376" spans="3:5" x14ac:dyDescent="0.25">
      <c r="C5376" t="s">
        <v>9559</v>
      </c>
      <c r="D5376" t="s">
        <v>9577</v>
      </c>
      <c r="E5376" t="str">
        <f>HYPERLINK("https://patents.google.com/patent/CN106828729A/en")</f>
        <v>https://patents.google.com/patent/CN106828729A/en</v>
      </c>
    </row>
    <row r="5377" spans="3:5" x14ac:dyDescent="0.25">
      <c r="C5377" t="s">
        <v>9578</v>
      </c>
      <c r="D5377" t="s">
        <v>9579</v>
      </c>
      <c r="E5377" t="str">
        <f>HYPERLINK("https://patents.google.com/patent/CN105711710A/en")</f>
        <v>https://patents.google.com/patent/CN105711710A/en</v>
      </c>
    </row>
    <row r="5378" spans="3:5" x14ac:dyDescent="0.25">
      <c r="C5378" t="s">
        <v>9447</v>
      </c>
      <c r="D5378" t="s">
        <v>9580</v>
      </c>
      <c r="E5378" t="str">
        <f>HYPERLINK("https://patents.google.com/patent/CN207496851U/en")</f>
        <v>https://patents.google.com/patent/CN207496851U/en</v>
      </c>
    </row>
    <row r="5379" spans="3:5" x14ac:dyDescent="0.25">
      <c r="C5379" t="s">
        <v>9581</v>
      </c>
      <c r="D5379" t="s">
        <v>9582</v>
      </c>
      <c r="E5379" t="str">
        <f>HYPERLINK("https://patents.google.com/patent/KR20180074871A/en")</f>
        <v>https://patents.google.com/patent/KR20180074871A/en</v>
      </c>
    </row>
    <row r="5380" spans="3:5" x14ac:dyDescent="0.25">
      <c r="C5380" t="s">
        <v>9552</v>
      </c>
      <c r="D5380" t="s">
        <v>9583</v>
      </c>
      <c r="E5380" t="str">
        <f>HYPERLINK("https://patents.google.com/patent/CN106828725A/en")</f>
        <v>https://patents.google.com/patent/CN106828725A/en</v>
      </c>
    </row>
    <row r="5381" spans="3:5" x14ac:dyDescent="0.25">
      <c r="C5381" t="s">
        <v>9584</v>
      </c>
      <c r="D5381" t="s">
        <v>9585</v>
      </c>
      <c r="E5381" t="str">
        <f>HYPERLINK("https://patents.google.com/patent/WO2017127979A1/en")</f>
        <v>https://patents.google.com/patent/WO2017127979A1/en</v>
      </c>
    </row>
    <row r="5382" spans="3:5" x14ac:dyDescent="0.25">
      <c r="C5382" t="s">
        <v>9586</v>
      </c>
      <c r="D5382" t="s">
        <v>9587</v>
      </c>
      <c r="E5382" t="str">
        <f>HYPERLINK("https://patents.google.com/patent/CN107215418A/en")</f>
        <v>https://patents.google.com/patent/CN107215418A/en</v>
      </c>
    </row>
    <row r="5383" spans="3:5" x14ac:dyDescent="0.25">
      <c r="C5383" t="s">
        <v>9588</v>
      </c>
      <c r="D5383" t="s">
        <v>9589</v>
      </c>
      <c r="E5383" t="str">
        <f>HYPERLINK("https://patents.google.com/patent/CN106882306A/en")</f>
        <v>https://patents.google.com/patent/CN106882306A/en</v>
      </c>
    </row>
    <row r="5384" spans="3:5" x14ac:dyDescent="0.25">
      <c r="C5384" t="s">
        <v>8911</v>
      </c>
      <c r="D5384" t="s">
        <v>9590</v>
      </c>
      <c r="E5384" t="str">
        <f>HYPERLINK("https://patents.google.com/patent/KR20140099667A/en")</f>
        <v>https://patents.google.com/patent/KR20140099667A/en</v>
      </c>
    </row>
    <row r="5385" spans="3:5" x14ac:dyDescent="0.25">
      <c r="C5385" t="s">
        <v>9591</v>
      </c>
      <c r="D5385" t="s">
        <v>9592</v>
      </c>
      <c r="E5385" t="str">
        <f>HYPERLINK("https://patents.google.com/patent/CN205247787U/en")</f>
        <v>https://patents.google.com/patent/CN205247787U/en</v>
      </c>
    </row>
    <row r="5386" spans="3:5" x14ac:dyDescent="0.25">
      <c r="C5386" t="s">
        <v>9593</v>
      </c>
      <c r="D5386" t="s">
        <v>9594</v>
      </c>
      <c r="E5386" t="str">
        <f>HYPERLINK("https://patents.google.com/patent/WO2017028302A1/en")</f>
        <v>https://patents.google.com/patent/WO2017028302A1/en</v>
      </c>
    </row>
    <row r="5387" spans="3:5" x14ac:dyDescent="0.25">
      <c r="C5387" t="s">
        <v>9447</v>
      </c>
      <c r="D5387" t="s">
        <v>9595</v>
      </c>
      <c r="E5387" t="str">
        <f>HYPERLINK("https://patents.google.com/patent/CN206644918U/en")</f>
        <v>https://patents.google.com/patent/CN206644918U/en</v>
      </c>
    </row>
    <row r="5388" spans="3:5" x14ac:dyDescent="0.25">
      <c r="C5388" t="s">
        <v>9596</v>
      </c>
      <c r="D5388" t="s">
        <v>9597</v>
      </c>
      <c r="E5388" t="str">
        <f>HYPERLINK("https://patents.google.com/patent/DE102015106370A1/en")</f>
        <v>https://patents.google.com/patent/DE102015106370A1/en</v>
      </c>
    </row>
    <row r="5389" spans="3:5" x14ac:dyDescent="0.25">
      <c r="C5389" t="s">
        <v>9598</v>
      </c>
      <c r="D5389" t="s">
        <v>9599</v>
      </c>
      <c r="E5389" t="str">
        <f>HYPERLINK("https://patents.google.com/patent/WO2017210855A1/en")</f>
        <v>https://patents.google.com/patent/WO2017210855A1/en</v>
      </c>
    </row>
    <row r="5390" spans="3:5" x14ac:dyDescent="0.25">
      <c r="C5390" t="s">
        <v>9600</v>
      </c>
      <c r="D5390" t="s">
        <v>9601</v>
      </c>
      <c r="E5390" t="str">
        <f>HYPERLINK("https://patents.google.com/patent/CN204548349U/en")</f>
        <v>https://patents.google.com/patent/CN204548349U/en</v>
      </c>
    </row>
    <row r="5391" spans="3:5" x14ac:dyDescent="0.25">
      <c r="C5391" t="s">
        <v>9602</v>
      </c>
      <c r="D5391" t="s">
        <v>9603</v>
      </c>
      <c r="E5391" t="str">
        <f>HYPERLINK("https://patents.google.com/patent/CN205916247U/en")</f>
        <v>https://patents.google.com/patent/CN205916247U/en</v>
      </c>
    </row>
    <row r="5392" spans="3:5" x14ac:dyDescent="0.25">
      <c r="C5392" t="s">
        <v>9604</v>
      </c>
      <c r="D5392" t="s">
        <v>9605</v>
      </c>
      <c r="E5392" t="str">
        <f>HYPERLINK("https://patents.google.com/patent/WO2013138739A1/en")</f>
        <v>https://patents.google.com/patent/WO2013138739A1/en</v>
      </c>
    </row>
    <row r="5393" spans="3:5" x14ac:dyDescent="0.25">
      <c r="C5393" t="s">
        <v>9606</v>
      </c>
      <c r="D5393" t="s">
        <v>9607</v>
      </c>
      <c r="E5393" t="str">
        <f>HYPERLINK("https://patents.google.com/patent/CN207045554U/en")</f>
        <v>https://patents.google.com/patent/CN207045554U/en</v>
      </c>
    </row>
    <row r="5394" spans="3:5" x14ac:dyDescent="0.25">
      <c r="C5394" t="s">
        <v>9608</v>
      </c>
      <c r="D5394" t="s">
        <v>9609</v>
      </c>
      <c r="E5394" t="str">
        <f>HYPERLINK("https://patents.google.com/patent/CN205964949U/en")</f>
        <v>https://patents.google.com/patent/CN205964949U/en</v>
      </c>
    </row>
    <row r="5395" spans="3:5" x14ac:dyDescent="0.25">
      <c r="C5395" t="s">
        <v>9610</v>
      </c>
      <c r="D5395" t="s">
        <v>9611</v>
      </c>
      <c r="E5395" t="str">
        <f>HYPERLINK("https://patents.google.com/patent/CN206766224U/en")</f>
        <v>https://patents.google.com/patent/CN206766224U/en</v>
      </c>
    </row>
    <row r="5396" spans="3:5" x14ac:dyDescent="0.25">
      <c r="C5396" t="s">
        <v>9612</v>
      </c>
      <c r="D5396" t="s">
        <v>9613</v>
      </c>
      <c r="E5396" t="str">
        <f>HYPERLINK("https://patents.google.com/patent/WO2015187813A1/en")</f>
        <v>https://patents.google.com/patent/WO2015187813A1/en</v>
      </c>
    </row>
    <row r="5397" spans="3:5" x14ac:dyDescent="0.25">
      <c r="C5397" t="s">
        <v>9610</v>
      </c>
      <c r="D5397" t="s">
        <v>9614</v>
      </c>
      <c r="E5397" t="str">
        <f>HYPERLINK("https://patents.google.com/patent/CN206766223U/en")</f>
        <v>https://patents.google.com/patent/CN206766223U/en</v>
      </c>
    </row>
    <row r="5398" spans="3:5" x14ac:dyDescent="0.25">
      <c r="C5398" t="s">
        <v>9615</v>
      </c>
      <c r="D5398" t="s">
        <v>9616</v>
      </c>
      <c r="E5398" t="str">
        <f>HYPERLINK("https://patents.google.com/patent/CN205469579U/en")</f>
        <v>https://patents.google.com/patent/CN205469579U/en</v>
      </c>
    </row>
    <row r="5399" spans="3:5" x14ac:dyDescent="0.25">
      <c r="C5399" t="s">
        <v>9617</v>
      </c>
      <c r="D5399" t="s">
        <v>9618</v>
      </c>
      <c r="E5399" t="str">
        <f>HYPERLINK("https://patents.google.com/patent/CN105329373A/en")</f>
        <v>https://patents.google.com/patent/CN105329373A/en</v>
      </c>
    </row>
    <row r="5400" spans="3:5" x14ac:dyDescent="0.25">
      <c r="C5400" t="s">
        <v>9619</v>
      </c>
      <c r="D5400" t="s">
        <v>9620</v>
      </c>
      <c r="E5400" t="str">
        <f>HYPERLINK("https://patents.google.com/patent/CN205499169U/en")</f>
        <v>https://patents.google.com/patent/CN205499169U/en</v>
      </c>
    </row>
    <row r="5401" spans="3:5" x14ac:dyDescent="0.25">
      <c r="C5401" t="s">
        <v>9621</v>
      </c>
      <c r="D5401" t="s">
        <v>9622</v>
      </c>
      <c r="E5401" t="str">
        <f>HYPERLINK("https://patents.google.com/patent/KR20130108779A/en")</f>
        <v>https://patents.google.com/patent/KR20130108779A/en</v>
      </c>
    </row>
    <row r="5402" spans="3:5" x14ac:dyDescent="0.25">
      <c r="C5402" t="s">
        <v>9623</v>
      </c>
      <c r="D5402" t="s">
        <v>9624</v>
      </c>
      <c r="E5402" t="str">
        <f>HYPERLINK("https://patents.google.com/patent/CN207000688U/en")</f>
        <v>https://patents.google.com/patent/CN207000688U/en</v>
      </c>
    </row>
    <row r="5403" spans="3:5" x14ac:dyDescent="0.25">
      <c r="C5403" t="s">
        <v>9625</v>
      </c>
      <c r="D5403" t="s">
        <v>9626</v>
      </c>
      <c r="E5403" t="str">
        <f>HYPERLINK("https://patents.google.com/patent/KR20160002888A/en")</f>
        <v>https://patents.google.com/patent/KR20160002888A/en</v>
      </c>
    </row>
    <row r="5404" spans="3:5" x14ac:dyDescent="0.25">
      <c r="C5404" t="s">
        <v>9627</v>
      </c>
      <c r="D5404" t="s">
        <v>9628</v>
      </c>
      <c r="E5404" t="str">
        <f>HYPERLINK("https://patents.google.com/patent/CN206087094U/en")</f>
        <v>https://patents.google.com/patent/CN206087094U/en</v>
      </c>
    </row>
    <row r="5405" spans="3:5" x14ac:dyDescent="0.25">
      <c r="C5405" t="s">
        <v>9629</v>
      </c>
      <c r="D5405" t="s">
        <v>9630</v>
      </c>
      <c r="E5405" t="str">
        <f>HYPERLINK("https://patents.google.com/patent/US20180127047A1/en")</f>
        <v>https://patents.google.com/patent/US20180127047A1/en</v>
      </c>
    </row>
    <row r="5406" spans="3:5" x14ac:dyDescent="0.25">
      <c r="C5406" t="s">
        <v>9631</v>
      </c>
      <c r="D5406" t="s">
        <v>9632</v>
      </c>
      <c r="E5406" t="str">
        <f>HYPERLINK("https://patents.google.com/patent/WO2018075645A1/en")</f>
        <v>https://patents.google.com/patent/WO2018075645A1/en</v>
      </c>
    </row>
    <row r="5407" spans="3:5" x14ac:dyDescent="0.25">
      <c r="C5407" t="s">
        <v>9633</v>
      </c>
      <c r="D5407" t="s">
        <v>9634</v>
      </c>
      <c r="E5407" t="str">
        <f>HYPERLINK("https://patents.google.com/patent/CN106249892A/en")</f>
        <v>https://patents.google.com/patent/CN106249892A/en</v>
      </c>
    </row>
    <row r="5408" spans="3:5" x14ac:dyDescent="0.25">
      <c r="C5408" t="s">
        <v>9635</v>
      </c>
      <c r="D5408" t="s">
        <v>9636</v>
      </c>
      <c r="E5408" t="str">
        <f>HYPERLINK("https://patents.google.com/patent/CN104973166B/en")</f>
        <v>https://patents.google.com/patent/CN104973166B/en</v>
      </c>
    </row>
    <row r="5409" spans="1:5" x14ac:dyDescent="0.25">
      <c r="C5409" t="s">
        <v>9637</v>
      </c>
      <c r="D5409" t="s">
        <v>9638</v>
      </c>
      <c r="E5409" t="str">
        <f>HYPERLINK("https://patents.google.com/patent/CN205524656U/en")</f>
        <v>https://patents.google.com/patent/CN205524656U/en</v>
      </c>
    </row>
    <row r="5410" spans="1:5" x14ac:dyDescent="0.25">
      <c r="A5410" t="s">
        <v>1153</v>
      </c>
      <c r="B5410">
        <v>586</v>
      </c>
    </row>
    <row r="5411" spans="1:5" x14ac:dyDescent="0.25">
      <c r="C5411" t="s">
        <v>9639</v>
      </c>
      <c r="D5411" t="s">
        <v>9640</v>
      </c>
      <c r="E5411" t="str">
        <f>HYPERLINK("https://patents.google.com/patent/CN106339960A/en")</f>
        <v>https://patents.google.com/patent/CN106339960A/en</v>
      </c>
    </row>
    <row r="5412" spans="1:5" x14ac:dyDescent="0.25">
      <c r="C5412" t="s">
        <v>9641</v>
      </c>
      <c r="D5412" t="s">
        <v>9642</v>
      </c>
      <c r="E5412" t="str">
        <f>HYPERLINK("https://patents.google.com/patent/CN204399433U/en")</f>
        <v>https://patents.google.com/patent/CN204399433U/en</v>
      </c>
    </row>
    <row r="5413" spans="1:5" x14ac:dyDescent="0.25">
      <c r="C5413" t="s">
        <v>9643</v>
      </c>
      <c r="D5413" t="s">
        <v>9644</v>
      </c>
      <c r="E5413" t="str">
        <f>HYPERLINK("https://patents.google.com/patent/US6753830B2/en")</f>
        <v>https://patents.google.com/patent/US6753830B2/en</v>
      </c>
    </row>
    <row r="5414" spans="1:5" x14ac:dyDescent="0.25">
      <c r="C5414" t="s">
        <v>9643</v>
      </c>
      <c r="D5414" t="s">
        <v>9645</v>
      </c>
      <c r="E5414" t="str">
        <f>HYPERLINK("https://patents.google.com/patent/US6924781B1/en")</f>
        <v>https://patents.google.com/patent/US6924781B1/en</v>
      </c>
    </row>
    <row r="5415" spans="1:5" x14ac:dyDescent="0.25">
      <c r="C5415" t="s">
        <v>9646</v>
      </c>
      <c r="D5415" t="s">
        <v>9647</v>
      </c>
      <c r="E5415" t="str">
        <f>HYPERLINK("https://patents.google.com/patent/US7117034B2/en")</f>
        <v>https://patents.google.com/patent/US7117034B2/en</v>
      </c>
    </row>
    <row r="5416" spans="1:5" x14ac:dyDescent="0.25">
      <c r="C5416" t="s">
        <v>9648</v>
      </c>
      <c r="D5416" t="s">
        <v>9649</v>
      </c>
      <c r="E5416" t="str">
        <f>HYPERLINK("https://patents.google.com/patent/US8036788B2/en")</f>
        <v>https://patents.google.com/patent/US8036788B2/en</v>
      </c>
    </row>
    <row r="5417" spans="1:5" x14ac:dyDescent="0.25">
      <c r="C5417" t="s">
        <v>9650</v>
      </c>
      <c r="D5417" t="s">
        <v>9651</v>
      </c>
      <c r="E5417" t="str">
        <f>HYPERLINK("https://patents.google.com/patent/US6386451B1/en")</f>
        <v>https://patents.google.com/patent/US6386451B1/en</v>
      </c>
    </row>
    <row r="5418" spans="1:5" x14ac:dyDescent="0.25">
      <c r="C5418" t="s">
        <v>9652</v>
      </c>
      <c r="D5418" t="s">
        <v>9653</v>
      </c>
      <c r="E5418" t="str">
        <f>HYPERLINK("https://patents.google.com/patent/US6091956A/en")</f>
        <v>https://patents.google.com/patent/US6091956A/en</v>
      </c>
    </row>
    <row r="5419" spans="1:5" x14ac:dyDescent="0.25">
      <c r="C5419" t="s">
        <v>9654</v>
      </c>
      <c r="D5419" t="s">
        <v>9655</v>
      </c>
      <c r="E5419" t="str">
        <f>HYPERLINK("https://patents.google.com/patent/US8539567B1/en")</f>
        <v>https://patents.google.com/patent/US8539567B1/en</v>
      </c>
    </row>
    <row r="5420" spans="1:5" x14ac:dyDescent="0.25">
      <c r="C5420" t="s">
        <v>6374</v>
      </c>
      <c r="D5420" t="s">
        <v>9656</v>
      </c>
      <c r="E5420" t="str">
        <f>HYPERLINK("https://patents.google.com/patent/US8385971B2/en")</f>
        <v>https://patents.google.com/patent/US8385971B2/en</v>
      </c>
    </row>
    <row r="5421" spans="1:5" x14ac:dyDescent="0.25">
      <c r="C5421" t="s">
        <v>9657</v>
      </c>
      <c r="D5421" t="s">
        <v>9658</v>
      </c>
      <c r="E5421" t="str">
        <f>HYPERLINK("https://patents.google.com/patent/US6697824B1/en")</f>
        <v>https://patents.google.com/patent/US6697824B1/en</v>
      </c>
    </row>
    <row r="5422" spans="1:5" x14ac:dyDescent="0.25">
      <c r="C5422" t="s">
        <v>9659</v>
      </c>
      <c r="D5422" t="s">
        <v>9660</v>
      </c>
      <c r="E5422" t="str">
        <f>HYPERLINK("https://patents.google.com/patent/US7082359B2/en")</f>
        <v>https://patents.google.com/patent/US7082359B2/en</v>
      </c>
    </row>
    <row r="5423" spans="1:5" x14ac:dyDescent="0.25">
      <c r="C5423" t="s">
        <v>9661</v>
      </c>
      <c r="D5423" t="s">
        <v>9662</v>
      </c>
      <c r="E5423" t="str">
        <f>HYPERLINK("https://patents.google.com/patent/US6859931B1/en")</f>
        <v>https://patents.google.com/patent/US6859931B1/en</v>
      </c>
    </row>
    <row r="5424" spans="1:5" x14ac:dyDescent="0.25">
      <c r="C5424" t="s">
        <v>9663</v>
      </c>
      <c r="D5424" t="s">
        <v>9664</v>
      </c>
      <c r="E5424" t="str">
        <f>HYPERLINK("https://patents.google.com/patent/US6282362B1/en")</f>
        <v>https://patents.google.com/patent/US6282362B1/en</v>
      </c>
    </row>
    <row r="5425" spans="3:5" x14ac:dyDescent="0.25">
      <c r="C5425" t="s">
        <v>9665</v>
      </c>
      <c r="D5425" t="s">
        <v>9666</v>
      </c>
      <c r="E5425" t="str">
        <f>HYPERLINK("https://patents.google.com/patent/US5970143A/en")</f>
        <v>https://patents.google.com/patent/US5970143A/en</v>
      </c>
    </row>
    <row r="5426" spans="3:5" x14ac:dyDescent="0.25">
      <c r="C5426" t="s">
        <v>9667</v>
      </c>
      <c r="D5426" t="s">
        <v>9668</v>
      </c>
      <c r="E5426" t="str">
        <f>HYPERLINK("https://patents.google.com/patent/US6757898B1/en")</f>
        <v>https://patents.google.com/patent/US6757898B1/en</v>
      </c>
    </row>
    <row r="5427" spans="3:5" x14ac:dyDescent="0.25">
      <c r="C5427" t="s">
        <v>9669</v>
      </c>
      <c r="D5427" t="s">
        <v>9670</v>
      </c>
      <c r="E5427" t="str">
        <f>HYPERLINK("https://patents.google.com/patent/US7036128B1/en")</f>
        <v>https://patents.google.com/patent/US7036128B1/en</v>
      </c>
    </row>
    <row r="5428" spans="3:5" x14ac:dyDescent="0.25">
      <c r="C5428" t="s">
        <v>9671</v>
      </c>
      <c r="D5428" t="s">
        <v>9672</v>
      </c>
      <c r="E5428" t="str">
        <f>HYPERLINK("https://patents.google.com/patent/US6628899B1/en")</f>
        <v>https://patents.google.com/patent/US6628899B1/en</v>
      </c>
    </row>
    <row r="5429" spans="3:5" x14ac:dyDescent="0.25">
      <c r="C5429" t="s">
        <v>9673</v>
      </c>
      <c r="D5429" t="s">
        <v>9674</v>
      </c>
      <c r="E5429" t="str">
        <f>HYPERLINK("https://patents.google.com/patent/US4112818A/en")</f>
        <v>https://patents.google.com/patent/US4112818A/en</v>
      </c>
    </row>
    <row r="5430" spans="3:5" x14ac:dyDescent="0.25">
      <c r="C5430" t="s">
        <v>9675</v>
      </c>
      <c r="D5430" t="s">
        <v>9676</v>
      </c>
      <c r="E5430" t="str">
        <f>HYPERLINK("https://patents.google.com/patent/US5949492A/en")</f>
        <v>https://patents.google.com/patent/US5949492A/en</v>
      </c>
    </row>
    <row r="5431" spans="3:5" x14ac:dyDescent="0.25">
      <c r="C5431" t="s">
        <v>9677</v>
      </c>
      <c r="D5431" t="s">
        <v>9678</v>
      </c>
      <c r="E5431" t="str">
        <f>HYPERLINK("https://patents.google.com/patent/US5353219A/en")</f>
        <v>https://patents.google.com/patent/US5353219A/en</v>
      </c>
    </row>
    <row r="5432" spans="3:5" x14ac:dyDescent="0.25">
      <c r="C5432" t="s">
        <v>9679</v>
      </c>
      <c r="D5432" t="s">
        <v>9680</v>
      </c>
      <c r="E5432" t="str">
        <f>HYPERLINK("https://patents.google.com/patent/US5235509A/en")</f>
        <v>https://patents.google.com/patent/US5235509A/en</v>
      </c>
    </row>
    <row r="5433" spans="3:5" x14ac:dyDescent="0.25">
      <c r="C5433" t="s">
        <v>9681</v>
      </c>
      <c r="D5433" t="s">
        <v>9682</v>
      </c>
      <c r="E5433" t="str">
        <f>HYPERLINK("https://patents.google.com/patent/US6327994B1/en")</f>
        <v>https://patents.google.com/patent/US6327994B1/en</v>
      </c>
    </row>
    <row r="5434" spans="3:5" x14ac:dyDescent="0.25">
      <c r="C5434" t="s">
        <v>9683</v>
      </c>
      <c r="D5434" t="s">
        <v>9684</v>
      </c>
      <c r="E5434" t="str">
        <f>HYPERLINK("https://patents.google.com/patent/US8385896B2/en")</f>
        <v>https://patents.google.com/patent/US8385896B2/en</v>
      </c>
    </row>
    <row r="5435" spans="3:5" x14ac:dyDescent="0.25">
      <c r="C5435" t="s">
        <v>9685</v>
      </c>
      <c r="D5435" t="s">
        <v>9686</v>
      </c>
      <c r="E5435" t="str">
        <f>HYPERLINK("https://patents.google.com/patent/US6712615B2/en")</f>
        <v>https://patents.google.com/patent/US6712615B2/en</v>
      </c>
    </row>
    <row r="5436" spans="3:5" x14ac:dyDescent="0.25">
      <c r="C5436" t="s">
        <v>9687</v>
      </c>
      <c r="D5436" t="s">
        <v>9688</v>
      </c>
      <c r="E5436" t="str">
        <f>HYPERLINK("https://patents.google.com/patent/US6842877B2/en")</f>
        <v>https://patents.google.com/patent/US6842877B2/en</v>
      </c>
    </row>
    <row r="5437" spans="3:5" x14ac:dyDescent="0.25">
      <c r="C5437" t="s">
        <v>9689</v>
      </c>
      <c r="D5437" t="s">
        <v>9690</v>
      </c>
      <c r="E5437" t="str">
        <f>HYPERLINK("https://patents.google.com/patent/US5537314A/en")</f>
        <v>https://patents.google.com/patent/US5537314A/en</v>
      </c>
    </row>
    <row r="5438" spans="3:5" x14ac:dyDescent="0.25">
      <c r="C5438" t="s">
        <v>9691</v>
      </c>
      <c r="D5438" t="s">
        <v>9692</v>
      </c>
      <c r="E5438" t="str">
        <f>HYPERLINK("https://patents.google.com/patent/US7548915B2/en")</f>
        <v>https://patents.google.com/patent/US7548915B2/en</v>
      </c>
    </row>
    <row r="5439" spans="3:5" x14ac:dyDescent="0.25">
      <c r="C5439" t="s">
        <v>9693</v>
      </c>
      <c r="D5439" t="s">
        <v>9694</v>
      </c>
      <c r="E5439" t="str">
        <f>HYPERLINK("https://patents.google.com/patent/US8468244B2/en")</f>
        <v>https://patents.google.com/patent/US8468244B2/en</v>
      </c>
    </row>
    <row r="5440" spans="3:5" x14ac:dyDescent="0.25">
      <c r="C5440" t="s">
        <v>9695</v>
      </c>
      <c r="D5440" t="s">
        <v>9696</v>
      </c>
      <c r="E5440" t="str">
        <f>HYPERLINK("https://patents.google.com/patent/US6884172B1/en")</f>
        <v>https://patents.google.com/patent/US6884172B1/en</v>
      </c>
    </row>
    <row r="5441" spans="3:5" x14ac:dyDescent="0.25">
      <c r="C5441" t="s">
        <v>9697</v>
      </c>
      <c r="D5441" t="s">
        <v>9698</v>
      </c>
      <c r="E5441" t="str">
        <f>HYPERLINK("https://patents.google.com/patent/US7055101B2/en")</f>
        <v>https://patents.google.com/patent/US7055101B2/en</v>
      </c>
    </row>
    <row r="5442" spans="3:5" x14ac:dyDescent="0.25">
      <c r="C5442" t="s">
        <v>9697</v>
      </c>
      <c r="D5442" t="s">
        <v>9699</v>
      </c>
      <c r="E5442" t="str">
        <f>HYPERLINK("https://patents.google.com/patent/US7076737B2/en")</f>
        <v>https://patents.google.com/patent/US7076737B2/en</v>
      </c>
    </row>
    <row r="5443" spans="3:5" x14ac:dyDescent="0.25">
      <c r="C5443" t="s">
        <v>9700</v>
      </c>
      <c r="D5443" t="s">
        <v>9701</v>
      </c>
      <c r="E5443" t="str">
        <f>HYPERLINK("https://patents.google.com/patent/US8229914B2/en")</f>
        <v>https://patents.google.com/patent/US8229914B2/en</v>
      </c>
    </row>
    <row r="5444" spans="3:5" x14ac:dyDescent="0.25">
      <c r="C5444" t="s">
        <v>9702</v>
      </c>
      <c r="D5444" t="s">
        <v>9703</v>
      </c>
      <c r="E5444" t="str">
        <f>HYPERLINK("https://patents.google.com/patent/US6823244B2/en")</f>
        <v>https://patents.google.com/patent/US6823244B2/en</v>
      </c>
    </row>
    <row r="5445" spans="3:5" x14ac:dyDescent="0.25">
      <c r="C5445" t="s">
        <v>9704</v>
      </c>
      <c r="D5445" t="s">
        <v>9705</v>
      </c>
      <c r="E5445" t="str">
        <f>HYPERLINK("https://patents.google.com/patent/US8302030B2/en")</f>
        <v>https://patents.google.com/patent/US8302030B2/en</v>
      </c>
    </row>
    <row r="5446" spans="3:5" x14ac:dyDescent="0.25">
      <c r="C5446" t="s">
        <v>9706</v>
      </c>
      <c r="D5446" t="s">
        <v>9707</v>
      </c>
      <c r="E5446" t="str">
        <f>HYPERLINK("https://patents.google.com/patent/US8027879B2/en")</f>
        <v>https://patents.google.com/patent/US8027879B2/en</v>
      </c>
    </row>
    <row r="5447" spans="3:5" x14ac:dyDescent="0.25">
      <c r="C5447" t="s">
        <v>9708</v>
      </c>
      <c r="D5447" t="s">
        <v>9709</v>
      </c>
      <c r="E5447" t="str">
        <f>HYPERLINK("https://patents.google.com/patent/CN202608979U/en")</f>
        <v>https://patents.google.com/patent/CN202608979U/en</v>
      </c>
    </row>
    <row r="5448" spans="3:5" x14ac:dyDescent="0.25">
      <c r="C5448" t="s">
        <v>9675</v>
      </c>
      <c r="D5448" t="s">
        <v>9710</v>
      </c>
      <c r="E5448" t="str">
        <f>HYPERLINK("https://patents.google.com/patent/USRE38600E1/en")</f>
        <v>https://patents.google.com/patent/USRE38600E1/en</v>
      </c>
    </row>
    <row r="5449" spans="3:5" x14ac:dyDescent="0.25">
      <c r="C5449" t="s">
        <v>9711</v>
      </c>
      <c r="D5449" t="s">
        <v>9712</v>
      </c>
      <c r="E5449" t="str">
        <f>HYPERLINK("https://patents.google.com/patent/US8195133B2/en")</f>
        <v>https://patents.google.com/patent/US8195133B2/en</v>
      </c>
    </row>
    <row r="5450" spans="3:5" x14ac:dyDescent="0.25">
      <c r="C5450" t="s">
        <v>9713</v>
      </c>
      <c r="D5450" t="s">
        <v>9714</v>
      </c>
      <c r="E5450" t="str">
        <f>HYPERLINK("https://patents.google.com/patent/US7921686B2/en")</f>
        <v>https://patents.google.com/patent/US7921686B2/en</v>
      </c>
    </row>
    <row r="5451" spans="3:5" x14ac:dyDescent="0.25">
      <c r="C5451" t="s">
        <v>9715</v>
      </c>
      <c r="D5451" t="s">
        <v>9716</v>
      </c>
      <c r="E5451" t="str">
        <f>HYPERLINK("https://patents.google.com/patent/US7172112B2/en")</f>
        <v>https://patents.google.com/patent/US7172112B2/en</v>
      </c>
    </row>
    <row r="5452" spans="3:5" x14ac:dyDescent="0.25">
      <c r="C5452" t="s">
        <v>9717</v>
      </c>
      <c r="D5452" t="s">
        <v>9718</v>
      </c>
      <c r="E5452" t="str">
        <f>HYPERLINK("https://patents.google.com/patent/US7340433B1/en")</f>
        <v>https://patents.google.com/patent/US7340433B1/en</v>
      </c>
    </row>
    <row r="5453" spans="3:5" x14ac:dyDescent="0.25">
      <c r="C5453" t="s">
        <v>9697</v>
      </c>
      <c r="D5453" t="s">
        <v>9719</v>
      </c>
      <c r="E5453" t="str">
        <f>HYPERLINK("https://patents.google.com/patent/US7107539B2/en")</f>
        <v>https://patents.google.com/patent/US7107539B2/en</v>
      </c>
    </row>
    <row r="5454" spans="3:5" x14ac:dyDescent="0.25">
      <c r="C5454" t="s">
        <v>9697</v>
      </c>
      <c r="D5454" t="s">
        <v>9720</v>
      </c>
      <c r="E5454" t="str">
        <f>HYPERLINK("https://patents.google.com/patent/US7137069B2/en")</f>
        <v>https://patents.google.com/patent/US7137069B2/en</v>
      </c>
    </row>
    <row r="5455" spans="3:5" x14ac:dyDescent="0.25">
      <c r="C5455" t="s">
        <v>6374</v>
      </c>
      <c r="D5455" t="s">
        <v>9721</v>
      </c>
      <c r="E5455" t="str">
        <f>HYPERLINK("https://patents.google.com/patent/US8194986B2/en")</f>
        <v>https://patents.google.com/patent/US8194986B2/en</v>
      </c>
    </row>
    <row r="5456" spans="3:5" x14ac:dyDescent="0.25">
      <c r="C5456" t="s">
        <v>9722</v>
      </c>
      <c r="D5456" t="s">
        <v>9723</v>
      </c>
      <c r="E5456" t="str">
        <f>HYPERLINK("https://patents.google.com/patent/US7496527B2/en")</f>
        <v>https://patents.google.com/patent/US7496527B2/en</v>
      </c>
    </row>
    <row r="5457" spans="3:5" x14ac:dyDescent="0.25">
      <c r="C5457" t="s">
        <v>9673</v>
      </c>
      <c r="D5457" t="s">
        <v>9724</v>
      </c>
      <c r="E5457" t="str">
        <f>HYPERLINK("https://patents.google.com/patent/US4644845A/en")</f>
        <v>https://patents.google.com/patent/US4644845A/en</v>
      </c>
    </row>
    <row r="5458" spans="3:5" x14ac:dyDescent="0.25">
      <c r="C5458" t="s">
        <v>9725</v>
      </c>
      <c r="D5458" t="s">
        <v>9726</v>
      </c>
      <c r="E5458" t="str">
        <f>HYPERLINK("https://patents.google.com/patent/US6874683B2/en")</f>
        <v>https://patents.google.com/patent/US6874683B2/en</v>
      </c>
    </row>
    <row r="5459" spans="3:5" x14ac:dyDescent="0.25">
      <c r="C5459" t="s">
        <v>9727</v>
      </c>
      <c r="D5459" t="s">
        <v>9728</v>
      </c>
      <c r="E5459" t="str">
        <f>HYPERLINK("https://patents.google.com/patent/US6036101A/en")</f>
        <v>https://patents.google.com/patent/US6036101A/en</v>
      </c>
    </row>
    <row r="5460" spans="3:5" x14ac:dyDescent="0.25">
      <c r="C5460" t="s">
        <v>9729</v>
      </c>
      <c r="D5460" t="s">
        <v>9730</v>
      </c>
      <c r="E5460" t="str">
        <f>HYPERLINK("https://patents.google.com/patent/US7362862B2/en")</f>
        <v>https://patents.google.com/patent/US7362862B2/en</v>
      </c>
    </row>
    <row r="5461" spans="3:5" x14ac:dyDescent="0.25">
      <c r="C5461" t="s">
        <v>9731</v>
      </c>
      <c r="D5461" t="s">
        <v>9732</v>
      </c>
      <c r="E5461" t="str">
        <f>HYPERLINK("https://patents.google.com/patent/US8187101B2/en")</f>
        <v>https://patents.google.com/patent/US8187101B2/en</v>
      </c>
    </row>
    <row r="5462" spans="3:5" x14ac:dyDescent="0.25">
      <c r="C5462" t="s">
        <v>9691</v>
      </c>
      <c r="D5462" t="s">
        <v>9733</v>
      </c>
      <c r="E5462" t="str">
        <f>HYPERLINK("https://patents.google.com/patent/US8156128B2/en")</f>
        <v>https://patents.google.com/patent/US8156128B2/en</v>
      </c>
    </row>
    <row r="5463" spans="3:5" x14ac:dyDescent="0.25">
      <c r="C5463" t="s">
        <v>9734</v>
      </c>
      <c r="D5463" t="s">
        <v>9735</v>
      </c>
      <c r="E5463" t="str">
        <f>HYPERLINK("https://patents.google.com/patent/US7236060B2/en")</f>
        <v>https://patents.google.com/patent/US7236060B2/en</v>
      </c>
    </row>
    <row r="5464" spans="3:5" x14ac:dyDescent="0.25">
      <c r="C5464" t="s">
        <v>9736</v>
      </c>
      <c r="D5464" t="s">
        <v>9737</v>
      </c>
      <c r="E5464" t="str">
        <f>HYPERLINK("https://patents.google.com/patent/US7580782B2/en")</f>
        <v>https://patents.google.com/patent/US7580782B2/en</v>
      </c>
    </row>
    <row r="5465" spans="3:5" x14ac:dyDescent="0.25">
      <c r="C5465" t="s">
        <v>9738</v>
      </c>
      <c r="D5465" t="s">
        <v>9739</v>
      </c>
      <c r="E5465" t="str">
        <f>HYPERLINK("https://patents.google.com/patent/US8364540B2/en")</f>
        <v>https://patents.google.com/patent/US8364540B2/en</v>
      </c>
    </row>
    <row r="5466" spans="3:5" x14ac:dyDescent="0.25">
      <c r="C5466" t="s">
        <v>9740</v>
      </c>
      <c r="D5466" t="s">
        <v>9741</v>
      </c>
      <c r="E5466" t="str">
        <f>HYPERLINK("https://patents.google.com/patent/US8078485B1/en")</f>
        <v>https://patents.google.com/patent/US8078485B1/en</v>
      </c>
    </row>
    <row r="5467" spans="3:5" x14ac:dyDescent="0.25">
      <c r="C5467" t="s">
        <v>9742</v>
      </c>
      <c r="D5467" t="s">
        <v>9743</v>
      </c>
      <c r="E5467" t="str">
        <f>HYPERLINK("https://patents.google.com/patent/US7778884B2/en")</f>
        <v>https://patents.google.com/patent/US7778884B2/en</v>
      </c>
    </row>
    <row r="5468" spans="3:5" x14ac:dyDescent="0.25">
      <c r="C5468" t="s">
        <v>9744</v>
      </c>
      <c r="D5468" t="s">
        <v>9745</v>
      </c>
      <c r="E5468" t="str">
        <f>HYPERLINK("https://patents.google.com/patent/US8131271B2/en")</f>
        <v>https://patents.google.com/patent/US8131271B2/en</v>
      </c>
    </row>
    <row r="5469" spans="3:5" x14ac:dyDescent="0.25">
      <c r="C5469" t="s">
        <v>9746</v>
      </c>
      <c r="D5469" t="s">
        <v>9747</v>
      </c>
      <c r="E5469" t="str">
        <f>HYPERLINK("https://patents.google.com/patent/US7555370B2/en")</f>
        <v>https://patents.google.com/patent/US7555370B2/en</v>
      </c>
    </row>
    <row r="5470" spans="3:5" x14ac:dyDescent="0.25">
      <c r="C5470" t="s">
        <v>9748</v>
      </c>
      <c r="D5470" t="s">
        <v>9749</v>
      </c>
      <c r="E5470" t="str">
        <f>HYPERLINK("https://patents.google.com/patent/US5619066A/en")</f>
        <v>https://patents.google.com/patent/US5619066A/en</v>
      </c>
    </row>
    <row r="5471" spans="3:5" x14ac:dyDescent="0.25">
      <c r="C5471" t="s">
        <v>9750</v>
      </c>
      <c r="D5471" t="s">
        <v>9751</v>
      </c>
      <c r="E5471" t="str">
        <f>HYPERLINK("https://patents.google.com/patent/US8175617B2/en")</f>
        <v>https://patents.google.com/patent/US8175617B2/en</v>
      </c>
    </row>
    <row r="5472" spans="3:5" x14ac:dyDescent="0.25">
      <c r="C5472" t="s">
        <v>9752</v>
      </c>
      <c r="D5472" t="s">
        <v>9753</v>
      </c>
      <c r="E5472" t="str">
        <f>HYPERLINK("https://patents.google.com/patent/US5163059A/en")</f>
        <v>https://patents.google.com/patent/US5163059A/en</v>
      </c>
    </row>
    <row r="5473" spans="3:5" x14ac:dyDescent="0.25">
      <c r="C5473" t="s">
        <v>9754</v>
      </c>
      <c r="D5473" t="s">
        <v>9755</v>
      </c>
      <c r="E5473" t="str">
        <f>HYPERLINK("https://patents.google.com/patent/US5252933A/en")</f>
        <v>https://patents.google.com/patent/US5252933A/en</v>
      </c>
    </row>
    <row r="5474" spans="3:5" x14ac:dyDescent="0.25">
      <c r="C5474" t="s">
        <v>9756</v>
      </c>
      <c r="D5474" t="s">
        <v>9757</v>
      </c>
      <c r="E5474" t="str">
        <f>HYPERLINK("https://patents.google.com/patent/US7603321B2/en")</f>
        <v>https://patents.google.com/patent/US7603321B2/en</v>
      </c>
    </row>
    <row r="5475" spans="3:5" x14ac:dyDescent="0.25">
      <c r="C5475" t="s">
        <v>9758</v>
      </c>
      <c r="D5475" t="s">
        <v>9759</v>
      </c>
      <c r="E5475" t="str">
        <f>HYPERLINK("https://patents.google.com/patent/US8793065B2/en")</f>
        <v>https://patents.google.com/patent/US8793065B2/en</v>
      </c>
    </row>
    <row r="5476" spans="3:5" x14ac:dyDescent="0.25">
      <c r="C5476" t="s">
        <v>9760</v>
      </c>
      <c r="D5476" t="s">
        <v>9761</v>
      </c>
      <c r="E5476" t="str">
        <f>HYPERLINK("https://patents.google.com/patent/CN202608978U/en")</f>
        <v>https://patents.google.com/patent/CN202608978U/en</v>
      </c>
    </row>
    <row r="5477" spans="3:5" x14ac:dyDescent="0.25">
      <c r="C5477" t="s">
        <v>9762</v>
      </c>
      <c r="D5477" t="s">
        <v>9763</v>
      </c>
      <c r="E5477" t="str">
        <f>HYPERLINK("https://patents.google.com/patent/US8666376B2/en")</f>
        <v>https://patents.google.com/patent/US8666376B2/en</v>
      </c>
    </row>
    <row r="5478" spans="3:5" x14ac:dyDescent="0.25">
      <c r="C5478" t="s">
        <v>9764</v>
      </c>
      <c r="D5478" t="s">
        <v>9765</v>
      </c>
      <c r="E5478" t="str">
        <f>HYPERLINK("https://patents.google.com/patent/US7536336B1/en")</f>
        <v>https://patents.google.com/patent/US7536336B1/en</v>
      </c>
    </row>
    <row r="5479" spans="3:5" x14ac:dyDescent="0.25">
      <c r="C5479" t="s">
        <v>9752</v>
      </c>
      <c r="D5479" t="s">
        <v>9766</v>
      </c>
      <c r="E5479" t="str">
        <f>HYPERLINK("https://patents.google.com/patent/US5079772A/en")</f>
        <v>https://patents.google.com/patent/US5079772A/en</v>
      </c>
    </row>
    <row r="5480" spans="3:5" x14ac:dyDescent="0.25">
      <c r="C5480" t="s">
        <v>9767</v>
      </c>
      <c r="D5480" t="s">
        <v>9768</v>
      </c>
      <c r="E5480" t="str">
        <f>HYPERLINK("https://patents.google.com/patent/US6976066B1/en")</f>
        <v>https://patents.google.com/patent/US6976066B1/en</v>
      </c>
    </row>
    <row r="5481" spans="3:5" x14ac:dyDescent="0.25">
      <c r="C5481" t="s">
        <v>9769</v>
      </c>
      <c r="D5481" t="s">
        <v>9770</v>
      </c>
      <c r="E5481" t="str">
        <f>HYPERLINK("https://patents.google.com/patent/US7603894B2/en")</f>
        <v>https://patents.google.com/patent/US7603894B2/en</v>
      </c>
    </row>
    <row r="5482" spans="3:5" x14ac:dyDescent="0.25">
      <c r="C5482" t="s">
        <v>9643</v>
      </c>
      <c r="D5482" t="s">
        <v>9771</v>
      </c>
      <c r="E5482" t="str">
        <f>HYPERLINK("https://patents.google.com/patent/US20020167500A1/en")</f>
        <v>https://patents.google.com/patent/US20020167500A1/en</v>
      </c>
    </row>
    <row r="5483" spans="3:5" x14ac:dyDescent="0.25">
      <c r="C5483" t="s">
        <v>9772</v>
      </c>
      <c r="D5483" t="s">
        <v>9773</v>
      </c>
      <c r="E5483" t="str">
        <f>HYPERLINK("https://patents.google.com/patent/US5637846A/en")</f>
        <v>https://patents.google.com/patent/US5637846A/en</v>
      </c>
    </row>
    <row r="5484" spans="3:5" x14ac:dyDescent="0.25">
      <c r="C5484" t="s">
        <v>9774</v>
      </c>
      <c r="D5484" t="s">
        <v>9775</v>
      </c>
      <c r="E5484" t="str">
        <f>HYPERLINK("https://patents.google.com/patent/US8819659B2/en")</f>
        <v>https://patents.google.com/patent/US8819659B2/en</v>
      </c>
    </row>
    <row r="5485" spans="3:5" x14ac:dyDescent="0.25">
      <c r="C5485" t="s">
        <v>9776</v>
      </c>
      <c r="D5485" t="s">
        <v>9777</v>
      </c>
      <c r="E5485" t="str">
        <f>HYPERLINK("https://patents.google.com/patent/US7693778B2/en")</f>
        <v>https://patents.google.com/patent/US7693778B2/en</v>
      </c>
    </row>
    <row r="5486" spans="3:5" x14ac:dyDescent="0.25">
      <c r="C5486" t="s">
        <v>9778</v>
      </c>
      <c r="D5486" t="s">
        <v>9779</v>
      </c>
      <c r="E5486" t="str">
        <f>HYPERLINK("https://patents.google.com/patent/US7643673B2/en")</f>
        <v>https://patents.google.com/patent/US7643673B2/en</v>
      </c>
    </row>
    <row r="5487" spans="3:5" x14ac:dyDescent="0.25">
      <c r="C5487" t="s">
        <v>8044</v>
      </c>
      <c r="D5487" t="s">
        <v>9780</v>
      </c>
      <c r="E5487" t="str">
        <f>HYPERLINK("https://patents.google.com/patent/US20060259589A1/en")</f>
        <v>https://patents.google.com/patent/US20060259589A1/en</v>
      </c>
    </row>
    <row r="5488" spans="3:5" x14ac:dyDescent="0.25">
      <c r="C5488" t="s">
        <v>9781</v>
      </c>
      <c r="D5488" t="s">
        <v>9782</v>
      </c>
      <c r="E5488" t="str">
        <f>HYPERLINK("https://patents.google.com/patent/US8095911B2/en")</f>
        <v>https://patents.google.com/patent/US8095911B2/en</v>
      </c>
    </row>
    <row r="5489" spans="3:5" x14ac:dyDescent="0.25">
      <c r="C5489" t="s">
        <v>9783</v>
      </c>
      <c r="D5489" t="s">
        <v>9784</v>
      </c>
      <c r="E5489" t="str">
        <f>HYPERLINK("https://patents.google.com/patent/US7077601B2/en")</f>
        <v>https://patents.google.com/patent/US7077601B2/en</v>
      </c>
    </row>
    <row r="5490" spans="3:5" x14ac:dyDescent="0.25">
      <c r="C5490" t="s">
        <v>9785</v>
      </c>
      <c r="D5490" t="s">
        <v>9786</v>
      </c>
      <c r="E5490" t="str">
        <f>HYPERLINK("https://patents.google.com/patent/US7608776B2/en")</f>
        <v>https://patents.google.com/patent/US7608776B2/en</v>
      </c>
    </row>
    <row r="5491" spans="3:5" x14ac:dyDescent="0.25">
      <c r="C5491" t="s">
        <v>9787</v>
      </c>
      <c r="D5491" t="s">
        <v>9788</v>
      </c>
      <c r="E5491" t="str">
        <f>HYPERLINK("https://patents.google.com/patent/US8630820B2/en")</f>
        <v>https://patents.google.com/patent/US8630820B2/en</v>
      </c>
    </row>
    <row r="5492" spans="3:5" x14ac:dyDescent="0.25">
      <c r="C5492" t="s">
        <v>9789</v>
      </c>
      <c r="D5492" t="s">
        <v>9790</v>
      </c>
      <c r="E5492" t="str">
        <f>HYPERLINK("https://patents.google.com/patent/US20070192318A1/en")</f>
        <v>https://patents.google.com/patent/US20070192318A1/en</v>
      </c>
    </row>
    <row r="5493" spans="3:5" x14ac:dyDescent="0.25">
      <c r="C5493" t="s">
        <v>9791</v>
      </c>
      <c r="D5493" t="s">
        <v>9792</v>
      </c>
      <c r="E5493" t="str">
        <f>HYPERLINK("https://patents.google.com/patent/US20070061317A1/en")</f>
        <v>https://patents.google.com/patent/US20070061317A1/en</v>
      </c>
    </row>
    <row r="5494" spans="3:5" x14ac:dyDescent="0.25">
      <c r="C5494" t="s">
        <v>9793</v>
      </c>
      <c r="D5494" t="s">
        <v>9794</v>
      </c>
      <c r="E5494" t="str">
        <f>HYPERLINK("https://patents.google.com/patent/US20070061242A1/en")</f>
        <v>https://patents.google.com/patent/US20070061242A1/en</v>
      </c>
    </row>
    <row r="5495" spans="3:5" x14ac:dyDescent="0.25">
      <c r="C5495" t="s">
        <v>9795</v>
      </c>
      <c r="D5495" t="s">
        <v>9796</v>
      </c>
      <c r="E5495" t="str">
        <f>HYPERLINK("https://patents.google.com/patent/US20070060114A1/en")</f>
        <v>https://patents.google.com/patent/US20070060114A1/en</v>
      </c>
    </row>
    <row r="5496" spans="3:5" x14ac:dyDescent="0.25">
      <c r="C5496" t="s">
        <v>9797</v>
      </c>
      <c r="D5496" t="s">
        <v>9798</v>
      </c>
      <c r="E5496" t="str">
        <f>HYPERLINK("https://patents.google.com/patent/US20070061198A1/en")</f>
        <v>https://patents.google.com/patent/US20070061198A1/en</v>
      </c>
    </row>
    <row r="5497" spans="3:5" x14ac:dyDescent="0.25">
      <c r="C5497" t="s">
        <v>9774</v>
      </c>
      <c r="D5497" t="s">
        <v>9799</v>
      </c>
      <c r="E5497" t="str">
        <f>HYPERLINK("https://patents.google.com/patent/US20070073718A1/en")</f>
        <v>https://patents.google.com/patent/US20070073718A1/en</v>
      </c>
    </row>
    <row r="5498" spans="3:5" x14ac:dyDescent="0.25">
      <c r="C5498" t="s">
        <v>9800</v>
      </c>
      <c r="D5498" t="s">
        <v>9801</v>
      </c>
      <c r="E5498" t="str">
        <f>HYPERLINK("https://patents.google.com/patent/US20070061246A1/en")</f>
        <v>https://patents.google.com/patent/US20070061246A1/en</v>
      </c>
    </row>
    <row r="5499" spans="3:5" x14ac:dyDescent="0.25">
      <c r="C5499" t="s">
        <v>9802</v>
      </c>
      <c r="D5499" t="s">
        <v>9803</v>
      </c>
      <c r="E5499" t="str">
        <f>HYPERLINK("https://patents.google.com/patent/US20070061245A1/en")</f>
        <v>https://patents.google.com/patent/US20070061245A1/en</v>
      </c>
    </row>
    <row r="5500" spans="3:5" x14ac:dyDescent="0.25">
      <c r="C5500" t="s">
        <v>9797</v>
      </c>
      <c r="D5500" t="s">
        <v>9804</v>
      </c>
      <c r="E5500" t="str">
        <f>HYPERLINK("https://patents.google.com/patent/US20070288427A1/en")</f>
        <v>https://patents.google.com/patent/US20070288427A1/en</v>
      </c>
    </row>
    <row r="5501" spans="3:5" x14ac:dyDescent="0.25">
      <c r="C5501" t="s">
        <v>9805</v>
      </c>
      <c r="D5501" t="s">
        <v>9806</v>
      </c>
      <c r="E5501" t="str">
        <f>HYPERLINK("https://patents.google.com/patent/US20070192294A1/en")</f>
        <v>https://patents.google.com/patent/US20070192294A1/en</v>
      </c>
    </row>
    <row r="5502" spans="3:5" x14ac:dyDescent="0.25">
      <c r="C5502" t="s">
        <v>9807</v>
      </c>
      <c r="D5502" t="s">
        <v>9808</v>
      </c>
      <c r="E5502" t="str">
        <f>HYPERLINK("https://patents.google.com/patent/US20070061244A1/en")</f>
        <v>https://patents.google.com/patent/US20070061244A1/en</v>
      </c>
    </row>
    <row r="5503" spans="3:5" x14ac:dyDescent="0.25">
      <c r="C5503" t="s">
        <v>9809</v>
      </c>
      <c r="D5503" t="s">
        <v>9810</v>
      </c>
      <c r="E5503" t="str">
        <f>HYPERLINK("https://patents.google.com/patent/US20070073719A1/en")</f>
        <v>https://patents.google.com/patent/US20070073719A1/en</v>
      </c>
    </row>
    <row r="5504" spans="3:5" x14ac:dyDescent="0.25">
      <c r="C5504" t="s">
        <v>9811</v>
      </c>
      <c r="D5504" t="s">
        <v>9812</v>
      </c>
      <c r="E5504" t="str">
        <f>HYPERLINK("https://patents.google.com/patent/US20070061303A1/en")</f>
        <v>https://patents.google.com/patent/US20070061303A1/en</v>
      </c>
    </row>
    <row r="5505" spans="3:5" x14ac:dyDescent="0.25">
      <c r="C5505" t="s">
        <v>9813</v>
      </c>
      <c r="D5505" t="s">
        <v>9814</v>
      </c>
      <c r="E5505" t="str">
        <f>HYPERLINK("https://patents.google.com/patent/US20080009268A1/en")</f>
        <v>https://patents.google.com/patent/US20080009268A1/en</v>
      </c>
    </row>
    <row r="5506" spans="3:5" x14ac:dyDescent="0.25">
      <c r="C5506" t="s">
        <v>9815</v>
      </c>
      <c r="D5506" t="s">
        <v>9816</v>
      </c>
      <c r="E5506" t="str">
        <f>HYPERLINK("https://patents.google.com/patent/US20070239724A1/en")</f>
        <v>https://patents.google.com/patent/US20070239724A1/en</v>
      </c>
    </row>
    <row r="5507" spans="3:5" x14ac:dyDescent="0.25">
      <c r="C5507" t="s">
        <v>9805</v>
      </c>
      <c r="D5507" t="s">
        <v>9817</v>
      </c>
      <c r="E5507" t="str">
        <f>HYPERLINK("https://patents.google.com/patent/US20070073717A1/en")</f>
        <v>https://patents.google.com/patent/US20070073717A1/en</v>
      </c>
    </row>
    <row r="5508" spans="3:5" x14ac:dyDescent="0.25">
      <c r="C5508" t="s">
        <v>9818</v>
      </c>
      <c r="D5508" t="s">
        <v>9819</v>
      </c>
      <c r="E5508" t="str">
        <f>HYPERLINK("https://patents.google.com/patent/US20070198485A1/en")</f>
        <v>https://patents.google.com/patent/US20070198485A1/en</v>
      </c>
    </row>
    <row r="5509" spans="3:5" x14ac:dyDescent="0.25">
      <c r="C5509" t="s">
        <v>9820</v>
      </c>
      <c r="D5509" t="s">
        <v>9821</v>
      </c>
      <c r="E5509" t="str">
        <f>HYPERLINK("https://patents.google.com/patent/US20080318547A1/en")</f>
        <v>https://patents.google.com/patent/US20080318547A1/en</v>
      </c>
    </row>
    <row r="5510" spans="3:5" x14ac:dyDescent="0.25">
      <c r="C5510" t="s">
        <v>9822</v>
      </c>
      <c r="D5510" t="s">
        <v>9823</v>
      </c>
      <c r="E5510" t="str">
        <f>HYPERLINK("https://patents.google.com/patent/US20070168354A1/en")</f>
        <v>https://patents.google.com/patent/US20070168354A1/en</v>
      </c>
    </row>
    <row r="5511" spans="3:5" x14ac:dyDescent="0.25">
      <c r="C5511" t="s">
        <v>9824</v>
      </c>
      <c r="D5511" t="s">
        <v>9825</v>
      </c>
      <c r="E5511" t="str">
        <f>HYPERLINK("https://patents.google.com/patent/US20070100651A1/en")</f>
        <v>https://patents.google.com/patent/US20070100651A1/en</v>
      </c>
    </row>
    <row r="5512" spans="3:5" x14ac:dyDescent="0.25">
      <c r="C5512" t="s">
        <v>9826</v>
      </c>
      <c r="D5512" t="s">
        <v>9827</v>
      </c>
      <c r="E5512" t="str">
        <f>HYPERLINK("https://patents.google.com/patent/US20070100653A1/en")</f>
        <v>https://patents.google.com/patent/US20070100653A1/en</v>
      </c>
    </row>
    <row r="5513" spans="3:5" x14ac:dyDescent="0.25">
      <c r="C5513" t="s">
        <v>9828</v>
      </c>
      <c r="D5513" t="s">
        <v>9829</v>
      </c>
      <c r="E5513" t="str">
        <f>HYPERLINK("https://patents.google.com/patent/US20080215429A1/en")</f>
        <v>https://patents.google.com/patent/US20080215429A1/en</v>
      </c>
    </row>
    <row r="5514" spans="3:5" x14ac:dyDescent="0.25">
      <c r="C5514" t="s">
        <v>9830</v>
      </c>
      <c r="D5514" t="s">
        <v>9831</v>
      </c>
      <c r="E5514" t="str">
        <f>HYPERLINK("https://patents.google.com/patent/US20070118533A1/en")</f>
        <v>https://patents.google.com/patent/US20070118533A1/en</v>
      </c>
    </row>
    <row r="5515" spans="3:5" x14ac:dyDescent="0.25">
      <c r="C5515" t="s">
        <v>9832</v>
      </c>
      <c r="D5515" t="s">
        <v>9833</v>
      </c>
      <c r="E5515" t="str">
        <f>HYPERLINK("https://patents.google.com/patent/US20080214162A1/en")</f>
        <v>https://patents.google.com/patent/US20080214162A1/en</v>
      </c>
    </row>
    <row r="5516" spans="3:5" x14ac:dyDescent="0.25">
      <c r="C5516" t="s">
        <v>9834</v>
      </c>
      <c r="D5516" t="s">
        <v>9835</v>
      </c>
      <c r="E5516" t="str">
        <f>HYPERLINK("https://patents.google.com/patent/US20080242279A1/en")</f>
        <v>https://patents.google.com/patent/US20080242279A1/en</v>
      </c>
    </row>
    <row r="5517" spans="3:5" x14ac:dyDescent="0.25">
      <c r="C5517" t="s">
        <v>9836</v>
      </c>
      <c r="D5517" t="s">
        <v>9837</v>
      </c>
      <c r="E5517" t="str">
        <f>HYPERLINK("https://patents.google.com/patent/US20090234861A1/en")</f>
        <v>https://patents.google.com/patent/US20090234861A1/en</v>
      </c>
    </row>
    <row r="5518" spans="3:5" x14ac:dyDescent="0.25">
      <c r="C5518" t="s">
        <v>9838</v>
      </c>
      <c r="D5518" t="s">
        <v>9839</v>
      </c>
      <c r="E5518" t="str">
        <f>HYPERLINK("https://patents.google.com/patent/US20020069155A1/en")</f>
        <v>https://patents.google.com/patent/US20020069155A1/en</v>
      </c>
    </row>
    <row r="5519" spans="3:5" x14ac:dyDescent="0.25">
      <c r="C5519" t="s">
        <v>9840</v>
      </c>
      <c r="D5519" t="s">
        <v>9841</v>
      </c>
      <c r="E5519" t="str">
        <f>HYPERLINK("https://patents.google.com/patent/US20070100806A1/en")</f>
        <v>https://patents.google.com/patent/US20070100806A1/en</v>
      </c>
    </row>
    <row r="5520" spans="3:5" x14ac:dyDescent="0.25">
      <c r="C5520" t="s">
        <v>9842</v>
      </c>
      <c r="D5520" t="s">
        <v>9843</v>
      </c>
      <c r="E5520" t="str">
        <f>HYPERLINK("https://patents.google.com/patent/US20070077981A1/en")</f>
        <v>https://patents.google.com/patent/US20070077981A1/en</v>
      </c>
    </row>
    <row r="5521" spans="3:5" x14ac:dyDescent="0.25">
      <c r="C5521" t="s">
        <v>9844</v>
      </c>
      <c r="D5521" t="s">
        <v>9845</v>
      </c>
      <c r="E5521" t="str">
        <f>HYPERLINK("https://patents.google.com/patent/US20070100650A1/en")</f>
        <v>https://patents.google.com/patent/US20070100650A1/en</v>
      </c>
    </row>
    <row r="5522" spans="3:5" x14ac:dyDescent="0.25">
      <c r="C5522" t="s">
        <v>9846</v>
      </c>
      <c r="D5522" t="s">
        <v>9847</v>
      </c>
      <c r="E5522" t="str">
        <f>HYPERLINK("https://patents.google.com/patent/US20090222329A1/en")</f>
        <v>https://patents.google.com/patent/US20090222329A1/en</v>
      </c>
    </row>
    <row r="5523" spans="3:5" x14ac:dyDescent="0.25">
      <c r="C5523" t="s">
        <v>9848</v>
      </c>
      <c r="D5523" t="s">
        <v>9849</v>
      </c>
      <c r="E5523" t="str">
        <f>HYPERLINK("https://patents.google.com/patent/US20040059392A1/en")</f>
        <v>https://patents.google.com/patent/US20040059392A1/en</v>
      </c>
    </row>
    <row r="5524" spans="3:5" x14ac:dyDescent="0.25">
      <c r="C5524" t="s">
        <v>9850</v>
      </c>
      <c r="D5524" t="s">
        <v>9851</v>
      </c>
      <c r="E5524" t="str">
        <f>HYPERLINK("https://patents.google.com/patent/US20080215428A1/en")</f>
        <v>https://patents.google.com/patent/US20080215428A1/en</v>
      </c>
    </row>
    <row r="5525" spans="3:5" x14ac:dyDescent="0.25">
      <c r="C5525" t="s">
        <v>9852</v>
      </c>
      <c r="D5525" t="s">
        <v>9853</v>
      </c>
      <c r="E5525" t="str">
        <f>HYPERLINK("https://patents.google.com/patent/US20090240568A1/en")</f>
        <v>https://patents.google.com/patent/US20090240568A1/en</v>
      </c>
    </row>
    <row r="5526" spans="3:5" x14ac:dyDescent="0.25">
      <c r="C5526" t="s">
        <v>9854</v>
      </c>
      <c r="D5526" t="s">
        <v>9855</v>
      </c>
      <c r="E5526" t="str">
        <f>HYPERLINK("https://patents.google.com/patent/US20060165040A1/en")</f>
        <v>https://patents.google.com/patent/US20060165040A1/en</v>
      </c>
    </row>
    <row r="5527" spans="3:5" x14ac:dyDescent="0.25">
      <c r="C5527" t="s">
        <v>9856</v>
      </c>
      <c r="D5527" t="s">
        <v>9857</v>
      </c>
      <c r="E5527" t="str">
        <f>HYPERLINK("https://patents.google.com/patent/US20080134165A1/en")</f>
        <v>https://patents.google.com/patent/US20080134165A1/en</v>
      </c>
    </row>
    <row r="5528" spans="3:5" x14ac:dyDescent="0.25">
      <c r="C5528" t="s">
        <v>9858</v>
      </c>
      <c r="D5528" t="s">
        <v>9859</v>
      </c>
      <c r="E5528" t="str">
        <f>HYPERLINK("https://patents.google.com/patent/US20020091991A1/en")</f>
        <v>https://patents.google.com/patent/US20020091991A1/en</v>
      </c>
    </row>
    <row r="5529" spans="3:5" x14ac:dyDescent="0.25">
      <c r="C5529" t="s">
        <v>9860</v>
      </c>
      <c r="D5529" t="s">
        <v>9861</v>
      </c>
      <c r="E5529" t="str">
        <f>HYPERLINK("https://patents.google.com/patent/US20090234711A1/en")</f>
        <v>https://patents.google.com/patent/US20090234711A1/en</v>
      </c>
    </row>
    <row r="5530" spans="3:5" x14ac:dyDescent="0.25">
      <c r="C5530" t="s">
        <v>9862</v>
      </c>
      <c r="D5530" t="s">
        <v>9863</v>
      </c>
      <c r="E5530" t="str">
        <f>HYPERLINK("https://patents.google.com/patent/US20080270220A1/en")</f>
        <v>https://patents.google.com/patent/US20080270220A1/en</v>
      </c>
    </row>
    <row r="5531" spans="3:5" x14ac:dyDescent="0.25">
      <c r="C5531" t="s">
        <v>9864</v>
      </c>
      <c r="D5531" t="s">
        <v>9865</v>
      </c>
      <c r="E5531" t="str">
        <f>HYPERLINK("https://patents.google.com/patent/US20060046838A1/en")</f>
        <v>https://patents.google.com/patent/US20060046838A1/en</v>
      </c>
    </row>
    <row r="5532" spans="3:5" x14ac:dyDescent="0.25">
      <c r="C5532" t="s">
        <v>9866</v>
      </c>
      <c r="D5532" t="s">
        <v>9867</v>
      </c>
      <c r="E5532" t="str">
        <f>HYPERLINK("https://patents.google.com/patent/US20080274798A1/en")</f>
        <v>https://patents.google.com/patent/US20080274798A1/en</v>
      </c>
    </row>
    <row r="5533" spans="3:5" x14ac:dyDescent="0.25">
      <c r="C5533" t="s">
        <v>9868</v>
      </c>
      <c r="D5533" t="s">
        <v>9869</v>
      </c>
      <c r="E5533" t="str">
        <f>HYPERLINK("https://patents.google.com/patent/US20010010046A1/en")</f>
        <v>https://patents.google.com/patent/US20010010046A1/en</v>
      </c>
    </row>
    <row r="5534" spans="3:5" x14ac:dyDescent="0.25">
      <c r="C5534" t="s">
        <v>9870</v>
      </c>
      <c r="D5534" t="s">
        <v>9871</v>
      </c>
      <c r="E5534" t="str">
        <f>HYPERLINK("https://patents.google.com/patent/US20010056405A1/en")</f>
        <v>https://patents.google.com/patent/US20010056405A1/en</v>
      </c>
    </row>
    <row r="5535" spans="3:5" x14ac:dyDescent="0.25">
      <c r="C5535" t="s">
        <v>9872</v>
      </c>
      <c r="D5535" t="s">
        <v>9873</v>
      </c>
      <c r="E5535" t="str">
        <f>HYPERLINK("https://patents.google.com/patent/US20080215623A1/en")</f>
        <v>https://patents.google.com/patent/US20080215623A1/en</v>
      </c>
    </row>
    <row r="5536" spans="3:5" x14ac:dyDescent="0.25">
      <c r="C5536" t="s">
        <v>9874</v>
      </c>
      <c r="D5536" t="s">
        <v>9875</v>
      </c>
      <c r="E5536" t="str">
        <f>HYPERLINK("https://patents.google.com/patent/US20070100805A1/en")</f>
        <v>https://patents.google.com/patent/US20070100805A1/en</v>
      </c>
    </row>
    <row r="5537" spans="3:5" x14ac:dyDescent="0.25">
      <c r="C5537" t="s">
        <v>9876</v>
      </c>
      <c r="D5537" t="s">
        <v>9877</v>
      </c>
      <c r="E5537" t="str">
        <f>HYPERLINK("https://patents.google.com/patent/US20060063587A1/en")</f>
        <v>https://patents.google.com/patent/US20060063587A1/en</v>
      </c>
    </row>
    <row r="5538" spans="3:5" x14ac:dyDescent="0.25">
      <c r="C5538" t="s">
        <v>9878</v>
      </c>
      <c r="D5538" t="s">
        <v>9879</v>
      </c>
      <c r="E5538" t="str">
        <f>HYPERLINK("https://patents.google.com/patent/US20020123957A1/en")</f>
        <v>https://patents.google.com/patent/US20020123957A1/en</v>
      </c>
    </row>
    <row r="5539" spans="3:5" x14ac:dyDescent="0.25">
      <c r="C5539" t="s">
        <v>9880</v>
      </c>
      <c r="D5539" t="s">
        <v>9881</v>
      </c>
      <c r="E5539" t="str">
        <f>HYPERLINK("https://patents.google.com/patent/US20090240586A1/en")</f>
        <v>https://patents.google.com/patent/US20090240586A1/en</v>
      </c>
    </row>
    <row r="5540" spans="3:5" x14ac:dyDescent="0.25">
      <c r="C5540" t="s">
        <v>9882</v>
      </c>
      <c r="D5540" t="s">
        <v>9883</v>
      </c>
      <c r="E5540" t="str">
        <f>HYPERLINK("https://patents.google.com/patent/US20080214152A1/en")</f>
        <v>https://patents.google.com/patent/US20080214152A1/en</v>
      </c>
    </row>
    <row r="5541" spans="3:5" x14ac:dyDescent="0.25">
      <c r="C5541" t="s">
        <v>9884</v>
      </c>
      <c r="D5541" t="s">
        <v>9885</v>
      </c>
      <c r="E5541" t="str">
        <f>HYPERLINK("https://patents.google.com/patent/US20080214153A1/en")</f>
        <v>https://patents.google.com/patent/US20080214153A1/en</v>
      </c>
    </row>
    <row r="5542" spans="3:5" x14ac:dyDescent="0.25">
      <c r="C5542" t="s">
        <v>9886</v>
      </c>
      <c r="D5542" t="s">
        <v>9887</v>
      </c>
      <c r="E5542" t="str">
        <f>HYPERLINK("https://patents.google.com/patent/US20020002488A1/en")</f>
        <v>https://patents.google.com/patent/US20020002488A1/en</v>
      </c>
    </row>
    <row r="5543" spans="3:5" x14ac:dyDescent="0.25">
      <c r="C5543" t="s">
        <v>9888</v>
      </c>
      <c r="D5543" t="s">
        <v>9889</v>
      </c>
      <c r="E5543" t="str">
        <f>HYPERLINK("https://patents.google.com/patent/US20090172035A1/en")</f>
        <v>https://patents.google.com/patent/US20090172035A1/en</v>
      </c>
    </row>
    <row r="5544" spans="3:5" x14ac:dyDescent="0.25">
      <c r="C5544" t="s">
        <v>9890</v>
      </c>
      <c r="D5544" t="s">
        <v>9891</v>
      </c>
      <c r="E5544" t="str">
        <f>HYPERLINK("https://patents.google.com/patent/US20030009385A1/en")</f>
        <v>https://patents.google.com/patent/US20030009385A1/en</v>
      </c>
    </row>
    <row r="5545" spans="3:5" x14ac:dyDescent="0.25">
      <c r="C5545" t="s">
        <v>9892</v>
      </c>
      <c r="D5545" t="s">
        <v>9893</v>
      </c>
      <c r="E5545" t="str">
        <f>HYPERLINK("https://patents.google.com/patent/US20050027594A1/en")</f>
        <v>https://patents.google.com/patent/US20050027594A1/en</v>
      </c>
    </row>
    <row r="5546" spans="3:5" x14ac:dyDescent="0.25">
      <c r="C5546" t="s">
        <v>9894</v>
      </c>
      <c r="D5546" t="s">
        <v>9895</v>
      </c>
      <c r="E5546" t="str">
        <f>HYPERLINK("https://patents.google.com/patent/US20040068536A1/en")</f>
        <v>https://patents.google.com/patent/US20040068536A1/en</v>
      </c>
    </row>
    <row r="5547" spans="3:5" x14ac:dyDescent="0.25">
      <c r="C5547" t="s">
        <v>9896</v>
      </c>
      <c r="D5547" t="s">
        <v>9897</v>
      </c>
      <c r="E5547" t="str">
        <f>HYPERLINK("https://patents.google.com/patent/US20020055872A1/en")</f>
        <v>https://patents.google.com/patent/US20020055872A1/en</v>
      </c>
    </row>
    <row r="5548" spans="3:5" x14ac:dyDescent="0.25">
      <c r="C5548" t="s">
        <v>9898</v>
      </c>
      <c r="D5548" t="s">
        <v>9899</v>
      </c>
      <c r="E5548" t="str">
        <f>HYPERLINK("https://patents.google.com/patent/US20020087234A1/en")</f>
        <v>https://patents.google.com/patent/US20020087234A1/en</v>
      </c>
    </row>
    <row r="5549" spans="3:5" x14ac:dyDescent="0.25">
      <c r="C5549" t="s">
        <v>9900</v>
      </c>
      <c r="D5549" t="s">
        <v>9901</v>
      </c>
      <c r="E5549" t="str">
        <f>HYPERLINK("https://patents.google.com/patent/US20090312093A1/en")</f>
        <v>https://patents.google.com/patent/US20090312093A1/en</v>
      </c>
    </row>
    <row r="5550" spans="3:5" x14ac:dyDescent="0.25">
      <c r="C5550" t="s">
        <v>9890</v>
      </c>
      <c r="D5550" t="s">
        <v>9902</v>
      </c>
      <c r="E5550" t="str">
        <f>HYPERLINK("https://patents.google.com/patent/US20040122730A1/en")</f>
        <v>https://patents.google.com/patent/US20040122730A1/en</v>
      </c>
    </row>
    <row r="5551" spans="3:5" x14ac:dyDescent="0.25">
      <c r="C5551" t="s">
        <v>9903</v>
      </c>
      <c r="D5551" t="s">
        <v>9904</v>
      </c>
      <c r="E5551" t="str">
        <f>HYPERLINK("https://patents.google.com/patent/US20080214150A1/en")</f>
        <v>https://patents.google.com/patent/US20080214150A1/en</v>
      </c>
    </row>
    <row r="5552" spans="3:5" x14ac:dyDescent="0.25">
      <c r="C5552" t="s">
        <v>9905</v>
      </c>
      <c r="D5552" t="s">
        <v>9906</v>
      </c>
      <c r="E5552" t="str">
        <f>HYPERLINK("https://patents.google.com/patent/US20130073377A1/en")</f>
        <v>https://patents.google.com/patent/US20130073377A1/en</v>
      </c>
    </row>
    <row r="5553" spans="3:5" x14ac:dyDescent="0.25">
      <c r="C5553" t="s">
        <v>8605</v>
      </c>
      <c r="D5553" t="s">
        <v>9907</v>
      </c>
      <c r="E5553" t="str">
        <f>HYPERLINK("https://patents.google.com/patent/US20070106892A1/en")</f>
        <v>https://patents.google.com/patent/US20070106892A1/en</v>
      </c>
    </row>
    <row r="5554" spans="3:5" x14ac:dyDescent="0.25">
      <c r="C5554" t="s">
        <v>9908</v>
      </c>
      <c r="D5554" t="s">
        <v>9909</v>
      </c>
      <c r="E5554" t="str">
        <f>HYPERLINK("https://patents.google.com/patent/US20080214155A1/en")</f>
        <v>https://patents.google.com/patent/US20080214155A1/en</v>
      </c>
    </row>
    <row r="5555" spans="3:5" x14ac:dyDescent="0.25">
      <c r="C5555" t="s">
        <v>9910</v>
      </c>
      <c r="D5555" t="s">
        <v>9911</v>
      </c>
      <c r="E5555" t="str">
        <f>HYPERLINK("https://patents.google.com/patent/US20090234745A1/en")</f>
        <v>https://patents.google.com/patent/US20090234745A1/en</v>
      </c>
    </row>
    <row r="5556" spans="3:5" x14ac:dyDescent="0.25">
      <c r="C5556" t="s">
        <v>9912</v>
      </c>
      <c r="D5556" t="s">
        <v>9913</v>
      </c>
      <c r="E5556" t="str">
        <f>HYPERLINK("https://patents.google.com/patent/US20090240569A1/en")</f>
        <v>https://patents.google.com/patent/US20090240569A1/en</v>
      </c>
    </row>
    <row r="5557" spans="3:5" x14ac:dyDescent="0.25">
      <c r="C5557" t="s">
        <v>9914</v>
      </c>
      <c r="D5557" t="s">
        <v>9915</v>
      </c>
      <c r="E5557" t="str">
        <f>HYPERLINK("https://patents.google.com/patent/US20090029687A1/en")</f>
        <v>https://patents.google.com/patent/US20090029687A1/en</v>
      </c>
    </row>
    <row r="5558" spans="3:5" x14ac:dyDescent="0.25">
      <c r="C5558" t="s">
        <v>9916</v>
      </c>
      <c r="D5558" t="s">
        <v>9917</v>
      </c>
      <c r="E5558" t="str">
        <f>HYPERLINK("https://patents.google.com/patent/US20080214204A1/en")</f>
        <v>https://patents.google.com/patent/US20080214204A1/en</v>
      </c>
    </row>
    <row r="5559" spans="3:5" x14ac:dyDescent="0.25">
      <c r="C5559" t="s">
        <v>9918</v>
      </c>
      <c r="D5559" t="s">
        <v>9919</v>
      </c>
      <c r="E5559" t="str">
        <f>HYPERLINK("https://patents.google.com/patent/US20100076994A1/en")</f>
        <v>https://patents.google.com/patent/US20100076994A1/en</v>
      </c>
    </row>
    <row r="5560" spans="3:5" x14ac:dyDescent="0.25">
      <c r="C5560" t="s">
        <v>9920</v>
      </c>
      <c r="D5560" t="s">
        <v>9921</v>
      </c>
      <c r="E5560" t="str">
        <f>HYPERLINK("https://patents.google.com/patent/US20080214149A1/en")</f>
        <v>https://patents.google.com/patent/US20080214149A1/en</v>
      </c>
    </row>
    <row r="5561" spans="3:5" x14ac:dyDescent="0.25">
      <c r="C5561" t="s">
        <v>9922</v>
      </c>
      <c r="D5561" t="s">
        <v>9923</v>
      </c>
      <c r="E5561" t="str">
        <f>HYPERLINK("https://patents.google.com/patent/US20020087496A1/en")</f>
        <v>https://patents.google.com/patent/US20020087496A1/en</v>
      </c>
    </row>
    <row r="5562" spans="3:5" x14ac:dyDescent="0.25">
      <c r="C5562" t="s">
        <v>9924</v>
      </c>
      <c r="D5562" t="s">
        <v>9925</v>
      </c>
      <c r="E5562" t="str">
        <f>HYPERLINK("https://patents.google.com/patent/US20140118140A1/en")</f>
        <v>https://patents.google.com/patent/US20140118140A1/en</v>
      </c>
    </row>
    <row r="5563" spans="3:5" x14ac:dyDescent="0.25">
      <c r="C5563" t="s">
        <v>9926</v>
      </c>
      <c r="D5563" t="s">
        <v>9927</v>
      </c>
      <c r="E5563" t="str">
        <f>HYPERLINK("https://patents.google.com/patent/US20080214148A1/en")</f>
        <v>https://patents.google.com/patent/US20080214148A1/en</v>
      </c>
    </row>
    <row r="5564" spans="3:5" x14ac:dyDescent="0.25">
      <c r="C5564" t="s">
        <v>9928</v>
      </c>
      <c r="D5564" t="s">
        <v>9929</v>
      </c>
      <c r="E5564" t="str">
        <f>HYPERLINK("https://patents.google.com/patent/US20070100652A1/en")</f>
        <v>https://patents.google.com/patent/US20070100652A1/en</v>
      </c>
    </row>
    <row r="5565" spans="3:5" x14ac:dyDescent="0.25">
      <c r="C5565" t="s">
        <v>9930</v>
      </c>
      <c r="D5565" t="s">
        <v>9931</v>
      </c>
      <c r="E5565" t="str">
        <f>HYPERLINK("https://patents.google.com/patent/US20060218010A1/en")</f>
        <v>https://patents.google.com/patent/US20060218010A1/en</v>
      </c>
    </row>
    <row r="5566" spans="3:5" x14ac:dyDescent="0.25">
      <c r="C5566" t="s">
        <v>9932</v>
      </c>
      <c r="D5566" t="s">
        <v>9933</v>
      </c>
      <c r="E5566" t="str">
        <f>HYPERLINK("https://patents.google.com/patent/US20060050686A1/en")</f>
        <v>https://patents.google.com/patent/US20060050686A1/en</v>
      </c>
    </row>
    <row r="5567" spans="3:5" x14ac:dyDescent="0.25">
      <c r="C5567" t="s">
        <v>9934</v>
      </c>
      <c r="D5567" t="s">
        <v>9935</v>
      </c>
      <c r="E5567" t="str">
        <f>HYPERLINK("https://patents.google.com/patent/US20120296567A1/en")</f>
        <v>https://patents.google.com/patent/US20120296567A1/en</v>
      </c>
    </row>
    <row r="5568" spans="3:5" x14ac:dyDescent="0.25">
      <c r="C5568" t="s">
        <v>9936</v>
      </c>
      <c r="D5568" t="s">
        <v>9937</v>
      </c>
      <c r="E5568" t="str">
        <f>HYPERLINK("https://patents.google.com/patent/US20080188308A1/en")</f>
        <v>https://patents.google.com/patent/US20080188308A1/en</v>
      </c>
    </row>
    <row r="5569" spans="3:5" x14ac:dyDescent="0.25">
      <c r="C5569" t="s">
        <v>9938</v>
      </c>
      <c r="D5569" t="s">
        <v>9939</v>
      </c>
      <c r="E5569" t="str">
        <f>HYPERLINK("https://patents.google.com/patent/US20100099471A1/en")</f>
        <v>https://patents.google.com/patent/US20100099471A1/en</v>
      </c>
    </row>
    <row r="5570" spans="3:5" x14ac:dyDescent="0.25">
      <c r="C5570" t="s">
        <v>9940</v>
      </c>
      <c r="D5570" t="s">
        <v>9941</v>
      </c>
      <c r="E5570" t="str">
        <f>HYPERLINK("https://patents.google.com/patent/US20020004744A1/en")</f>
        <v>https://patents.google.com/patent/US20020004744A1/en</v>
      </c>
    </row>
    <row r="5571" spans="3:5" x14ac:dyDescent="0.25">
      <c r="C5571" t="s">
        <v>9942</v>
      </c>
      <c r="D5571" t="s">
        <v>9943</v>
      </c>
      <c r="E5571" t="str">
        <f>HYPERLINK("https://patents.google.com/patent/US20080215557A1/en")</f>
        <v>https://patents.google.com/patent/US20080215557A1/en</v>
      </c>
    </row>
    <row r="5572" spans="3:5" x14ac:dyDescent="0.25">
      <c r="C5572" t="s">
        <v>9944</v>
      </c>
      <c r="D5572" t="s">
        <v>9945</v>
      </c>
      <c r="E5572" t="str">
        <f>HYPERLINK("https://patents.google.com/patent/US20110055309A1/en")</f>
        <v>https://patents.google.com/patent/US20110055309A1/en</v>
      </c>
    </row>
    <row r="5573" spans="3:5" x14ac:dyDescent="0.25">
      <c r="C5573" t="s">
        <v>9946</v>
      </c>
      <c r="D5573" t="s">
        <v>9947</v>
      </c>
      <c r="E5573" t="str">
        <f>HYPERLINK("https://patents.google.com/patent/US20120239417A1/en")</f>
        <v>https://patents.google.com/patent/US20120239417A1/en</v>
      </c>
    </row>
    <row r="5574" spans="3:5" x14ac:dyDescent="0.25">
      <c r="C5574" t="s">
        <v>9948</v>
      </c>
      <c r="D5574" t="s">
        <v>9949</v>
      </c>
      <c r="E5574" t="str">
        <f>HYPERLINK("https://patents.google.com/patent/US20080214151A1/en")</f>
        <v>https://patents.google.com/patent/US20080214151A1/en</v>
      </c>
    </row>
    <row r="5575" spans="3:5" x14ac:dyDescent="0.25">
      <c r="C5575" t="s">
        <v>9950</v>
      </c>
      <c r="D5575" t="s">
        <v>9951</v>
      </c>
      <c r="E5575" t="str">
        <f>HYPERLINK("https://patents.google.com/patent/US20110276695A1/en")</f>
        <v>https://patents.google.com/patent/US20110276695A1/en</v>
      </c>
    </row>
    <row r="5576" spans="3:5" x14ac:dyDescent="0.25">
      <c r="C5576" t="s">
        <v>9952</v>
      </c>
      <c r="D5576" t="s">
        <v>9953</v>
      </c>
      <c r="E5576" t="str">
        <f>HYPERLINK("https://patents.google.com/patent/US20070298896A1/en")</f>
        <v>https://patents.google.com/patent/US20070298896A1/en</v>
      </c>
    </row>
    <row r="5577" spans="3:5" x14ac:dyDescent="0.25">
      <c r="C5577" t="s">
        <v>9898</v>
      </c>
      <c r="D5577" t="s">
        <v>9954</v>
      </c>
      <c r="E5577" t="str">
        <f>HYPERLINK("https://patents.google.com/patent/US20020103745A1/en")</f>
        <v>https://patents.google.com/patent/US20020103745A1/en</v>
      </c>
    </row>
    <row r="5578" spans="3:5" x14ac:dyDescent="0.25">
      <c r="C5578" t="s">
        <v>9955</v>
      </c>
      <c r="D5578" t="s">
        <v>9956</v>
      </c>
      <c r="E5578" t="str">
        <f>HYPERLINK("https://patents.google.com/patent/US20060200008A1/en")</f>
        <v>https://patents.google.com/patent/US20060200008A1/en</v>
      </c>
    </row>
    <row r="5579" spans="3:5" x14ac:dyDescent="0.25">
      <c r="C5579" t="s">
        <v>9957</v>
      </c>
      <c r="D5579" t="s">
        <v>9958</v>
      </c>
      <c r="E5579" t="str">
        <f>HYPERLINK("https://patents.google.com/patent/US20080161989A1/en")</f>
        <v>https://patents.google.com/patent/US20080161989A1/en</v>
      </c>
    </row>
    <row r="5580" spans="3:5" x14ac:dyDescent="0.25">
      <c r="C5580" t="s">
        <v>9959</v>
      </c>
      <c r="D5580" t="s">
        <v>9960</v>
      </c>
      <c r="E5580" t="str">
        <f>HYPERLINK("https://patents.google.com/patent/US20020069093A1/en")</f>
        <v>https://patents.google.com/patent/US20020069093A1/en</v>
      </c>
    </row>
    <row r="5581" spans="3:5" x14ac:dyDescent="0.25">
      <c r="C5581" t="s">
        <v>9961</v>
      </c>
      <c r="D5581" t="s">
        <v>9962</v>
      </c>
      <c r="E5581" t="str">
        <f>HYPERLINK("https://patents.google.com/patent/US20090118017A1/en")</f>
        <v>https://patents.google.com/patent/US20090118017A1/en</v>
      </c>
    </row>
    <row r="5582" spans="3:5" x14ac:dyDescent="0.25">
      <c r="C5582" t="s">
        <v>9963</v>
      </c>
      <c r="D5582" t="s">
        <v>9964</v>
      </c>
      <c r="E5582" t="str">
        <f>HYPERLINK("https://patents.google.com/patent/US20080214154A1/en")</f>
        <v>https://patents.google.com/patent/US20080214154A1/en</v>
      </c>
    </row>
    <row r="5583" spans="3:5" x14ac:dyDescent="0.25">
      <c r="C5583" t="s">
        <v>9965</v>
      </c>
      <c r="D5583" t="s">
        <v>9966</v>
      </c>
      <c r="E5583" t="str">
        <f>HYPERLINK("https://patents.google.com/patent/US20110140656A1/en")</f>
        <v>https://patents.google.com/patent/US20110140656A1/en</v>
      </c>
    </row>
    <row r="5584" spans="3:5" x14ac:dyDescent="0.25">
      <c r="C5584" t="s">
        <v>9967</v>
      </c>
      <c r="D5584" t="s">
        <v>9968</v>
      </c>
      <c r="E5584" t="str">
        <f>HYPERLINK("https://patents.google.com/patent/US20060155639A1/en")</f>
        <v>https://patents.google.com/patent/US20060155639A1/en</v>
      </c>
    </row>
    <row r="5585" spans="3:5" x14ac:dyDescent="0.25">
      <c r="C5585" t="s">
        <v>9969</v>
      </c>
      <c r="D5585" t="s">
        <v>9970</v>
      </c>
      <c r="E5585" t="str">
        <f>HYPERLINK("https://patents.google.com/patent/US20090271289A1/en")</f>
        <v>https://patents.google.com/patent/US20090271289A1/en</v>
      </c>
    </row>
    <row r="5586" spans="3:5" x14ac:dyDescent="0.25">
      <c r="C5586" t="s">
        <v>9971</v>
      </c>
      <c r="D5586" t="s">
        <v>9972</v>
      </c>
      <c r="E5586" t="str">
        <f>HYPERLINK("https://patents.google.com/patent/US20100069115A1/en")</f>
        <v>https://patents.google.com/patent/US20100069115A1/en</v>
      </c>
    </row>
    <row r="5587" spans="3:5" x14ac:dyDescent="0.25">
      <c r="C5587" t="s">
        <v>9973</v>
      </c>
      <c r="D5587" t="s">
        <v>9974</v>
      </c>
      <c r="E5587" t="str">
        <f>HYPERLINK("https://patents.google.com/patent/US20040169722A1/en")</f>
        <v>https://patents.google.com/patent/US20040169722A1/en</v>
      </c>
    </row>
    <row r="5588" spans="3:5" x14ac:dyDescent="0.25">
      <c r="C5588" t="s">
        <v>9975</v>
      </c>
      <c r="D5588" t="s">
        <v>9976</v>
      </c>
      <c r="E5588" t="str">
        <f>HYPERLINK("https://patents.google.com/patent/US20100057586A1/en")</f>
        <v>https://patents.google.com/patent/US20100057586A1/en</v>
      </c>
    </row>
    <row r="5589" spans="3:5" x14ac:dyDescent="0.25">
      <c r="C5589" t="s">
        <v>9977</v>
      </c>
      <c r="D5589" t="s">
        <v>9978</v>
      </c>
      <c r="E5589" t="str">
        <f>HYPERLINK("https://patents.google.com/patent/US20050010478A1/en")</f>
        <v>https://patents.google.com/patent/US20050010478A1/en</v>
      </c>
    </row>
    <row r="5590" spans="3:5" x14ac:dyDescent="0.25">
      <c r="C5590" t="s">
        <v>9979</v>
      </c>
      <c r="D5590" t="s">
        <v>9980</v>
      </c>
      <c r="E5590" t="str">
        <f>HYPERLINK("https://patents.google.com/patent/US20030050015A1/en")</f>
        <v>https://patents.google.com/patent/US20030050015A1/en</v>
      </c>
    </row>
    <row r="5591" spans="3:5" x14ac:dyDescent="0.25">
      <c r="C5591" t="s">
        <v>9981</v>
      </c>
      <c r="D5591" t="s">
        <v>9982</v>
      </c>
      <c r="E5591" t="str">
        <f>HYPERLINK("https://patents.google.com/patent/US20130256403A1/en")</f>
        <v>https://patents.google.com/patent/US20130256403A1/en</v>
      </c>
    </row>
    <row r="5592" spans="3:5" x14ac:dyDescent="0.25">
      <c r="C5592" t="s">
        <v>9983</v>
      </c>
      <c r="D5592" t="s">
        <v>9984</v>
      </c>
      <c r="E5592" t="str">
        <f>HYPERLINK("https://patents.google.com/patent/US20100198608A1/en")</f>
        <v>https://patents.google.com/patent/US20100198608A1/en</v>
      </c>
    </row>
    <row r="5593" spans="3:5" x14ac:dyDescent="0.25">
      <c r="C5593" t="s">
        <v>9985</v>
      </c>
      <c r="D5593" t="s">
        <v>9986</v>
      </c>
      <c r="E5593" t="str">
        <f>HYPERLINK("https://patents.google.com/patent/US20120242481A1/en")</f>
        <v>https://patents.google.com/patent/US20120242481A1/en</v>
      </c>
    </row>
    <row r="5594" spans="3:5" x14ac:dyDescent="0.25">
      <c r="C5594" t="s">
        <v>9987</v>
      </c>
      <c r="D5594" t="s">
        <v>9988</v>
      </c>
      <c r="E5594" t="str">
        <f>HYPERLINK("https://patents.google.com/patent/US20100063892A1/en")</f>
        <v>https://patents.google.com/patent/US20100063892A1/en</v>
      </c>
    </row>
    <row r="5595" spans="3:5" x14ac:dyDescent="0.25">
      <c r="C5595" t="s">
        <v>9989</v>
      </c>
      <c r="D5595" t="s">
        <v>9990</v>
      </c>
      <c r="E5595" t="str">
        <f>HYPERLINK("https://patents.google.com/patent/US20110301982A1/en")</f>
        <v>https://patents.google.com/patent/US20110301982A1/en</v>
      </c>
    </row>
    <row r="5596" spans="3:5" x14ac:dyDescent="0.25">
      <c r="C5596" t="s">
        <v>9991</v>
      </c>
      <c r="D5596" t="s">
        <v>9992</v>
      </c>
      <c r="E5596" t="str">
        <f>HYPERLINK("https://patents.google.com/patent/US20070156443A1/en")</f>
        <v>https://patents.google.com/patent/US20070156443A1/en</v>
      </c>
    </row>
    <row r="5597" spans="3:5" x14ac:dyDescent="0.25">
      <c r="C5597" t="s">
        <v>9993</v>
      </c>
      <c r="D5597" t="s">
        <v>9994</v>
      </c>
      <c r="E5597" t="str">
        <f>HYPERLINK("https://patents.google.com/patent/US20080147271A1/en")</f>
        <v>https://patents.google.com/patent/US20080147271A1/en</v>
      </c>
    </row>
    <row r="5598" spans="3:5" x14ac:dyDescent="0.25">
      <c r="C5598" t="s">
        <v>9995</v>
      </c>
      <c r="D5598" t="s">
        <v>9996</v>
      </c>
      <c r="E5598" t="str">
        <f>HYPERLINK("https://patents.google.com/patent/US20010042016A1/en")</f>
        <v>https://patents.google.com/patent/US20010042016A1/en</v>
      </c>
    </row>
    <row r="5599" spans="3:5" x14ac:dyDescent="0.25">
      <c r="C5599" t="s">
        <v>9997</v>
      </c>
      <c r="D5599" t="s">
        <v>9998</v>
      </c>
      <c r="E5599" t="str">
        <f>HYPERLINK("https://patents.google.com/patent/US20100065344A1/en")</f>
        <v>https://patents.google.com/patent/US20100065344A1/en</v>
      </c>
    </row>
    <row r="5600" spans="3:5" x14ac:dyDescent="0.25">
      <c r="C5600" t="s">
        <v>9999</v>
      </c>
      <c r="D5600" t="s">
        <v>10000</v>
      </c>
      <c r="E5600" t="str">
        <f>HYPERLINK("https://patents.google.com/patent/US20050085875A1/en")</f>
        <v>https://patents.google.com/patent/US20050085875A1/en</v>
      </c>
    </row>
    <row r="5601" spans="3:5" x14ac:dyDescent="0.25">
      <c r="C5601" t="s">
        <v>10001</v>
      </c>
      <c r="D5601" t="s">
        <v>10002</v>
      </c>
      <c r="E5601" t="str">
        <f>HYPERLINK("https://patents.google.com/patent/US20040049412A1/en")</f>
        <v>https://patents.google.com/patent/US20040049412A1/en</v>
      </c>
    </row>
    <row r="5602" spans="3:5" x14ac:dyDescent="0.25">
      <c r="C5602" t="s">
        <v>10003</v>
      </c>
      <c r="D5602" t="s">
        <v>10004</v>
      </c>
      <c r="E5602" t="str">
        <f>HYPERLINK("https://patents.google.com/patent/US20090124387A1/en")</f>
        <v>https://patents.google.com/patent/US20090124387A1/en</v>
      </c>
    </row>
    <row r="5603" spans="3:5" x14ac:dyDescent="0.25">
      <c r="C5603" t="s">
        <v>10005</v>
      </c>
      <c r="D5603" t="s">
        <v>10006</v>
      </c>
      <c r="E5603" t="str">
        <f>HYPERLINK("https://patents.google.com/patent/US20090089084A1/en")</f>
        <v>https://patents.google.com/patent/US20090089084A1/en</v>
      </c>
    </row>
    <row r="5604" spans="3:5" x14ac:dyDescent="0.25">
      <c r="C5604" t="s">
        <v>10007</v>
      </c>
      <c r="D5604" t="s">
        <v>10008</v>
      </c>
      <c r="E5604" t="str">
        <f>HYPERLINK("https://patents.google.com/patent/US20110126255A1/en")</f>
        <v>https://patents.google.com/patent/US20110126255A1/en</v>
      </c>
    </row>
    <row r="5605" spans="3:5" x14ac:dyDescent="0.25">
      <c r="C5605" t="s">
        <v>10009</v>
      </c>
      <c r="D5605" t="s">
        <v>10010</v>
      </c>
      <c r="E5605" t="str">
        <f>HYPERLINK("https://patents.google.com/patent/US20120089996A1/en")</f>
        <v>https://patents.google.com/patent/US20120089996A1/en</v>
      </c>
    </row>
    <row r="5606" spans="3:5" x14ac:dyDescent="0.25">
      <c r="C5606" t="s">
        <v>10011</v>
      </c>
      <c r="D5606" t="s">
        <v>10012</v>
      </c>
      <c r="E5606" t="str">
        <f>HYPERLINK("https://patents.google.com/patent/US20090265257A1/en")</f>
        <v>https://patents.google.com/patent/US20090265257A1/en</v>
      </c>
    </row>
    <row r="5607" spans="3:5" x14ac:dyDescent="0.25">
      <c r="C5607" t="s">
        <v>10013</v>
      </c>
      <c r="D5607" t="s">
        <v>10014</v>
      </c>
      <c r="E5607" t="str">
        <f>HYPERLINK("https://patents.google.com/patent/US20090204885A1/en")</f>
        <v>https://patents.google.com/patent/US20090204885A1/en</v>
      </c>
    </row>
    <row r="5608" spans="3:5" x14ac:dyDescent="0.25">
      <c r="C5608" t="s">
        <v>10015</v>
      </c>
      <c r="D5608" t="s">
        <v>10016</v>
      </c>
      <c r="E5608" t="str">
        <f>HYPERLINK("https://patents.google.com/patent/US20120108909A1/en")</f>
        <v>https://patents.google.com/patent/US20120108909A1/en</v>
      </c>
    </row>
    <row r="5609" spans="3:5" x14ac:dyDescent="0.25">
      <c r="C5609" t="s">
        <v>10017</v>
      </c>
      <c r="D5609" t="s">
        <v>10018</v>
      </c>
      <c r="E5609" t="str">
        <f>HYPERLINK("https://patents.google.com/patent/US20120277940A1/en")</f>
        <v>https://patents.google.com/patent/US20120277940A1/en</v>
      </c>
    </row>
    <row r="5610" spans="3:5" x14ac:dyDescent="0.25">
      <c r="C5610" t="s">
        <v>10019</v>
      </c>
      <c r="D5610" t="s">
        <v>10020</v>
      </c>
      <c r="E5610" t="str">
        <f>HYPERLINK("https://patents.google.com/patent/US20100167809A1/en")</f>
        <v>https://patents.google.com/patent/US20100167809A1/en</v>
      </c>
    </row>
    <row r="5611" spans="3:5" x14ac:dyDescent="0.25">
      <c r="C5611" t="s">
        <v>10021</v>
      </c>
      <c r="D5611" t="s">
        <v>10022</v>
      </c>
      <c r="E5611" t="str">
        <f>HYPERLINK("https://patents.google.com/patent/US20090118018A1/en")</f>
        <v>https://patents.google.com/patent/US20090118018A1/en</v>
      </c>
    </row>
    <row r="5612" spans="3:5" x14ac:dyDescent="0.25">
      <c r="C5612" t="s">
        <v>10023</v>
      </c>
      <c r="D5612" t="s">
        <v>10024</v>
      </c>
      <c r="E5612" t="str">
        <f>HYPERLINK("https://patents.google.com/patent/US20100287048A1/en")</f>
        <v>https://patents.google.com/patent/US20100287048A1/en</v>
      </c>
    </row>
    <row r="5613" spans="3:5" x14ac:dyDescent="0.25">
      <c r="C5613" t="s">
        <v>10025</v>
      </c>
      <c r="D5613" t="s">
        <v>10026</v>
      </c>
      <c r="E5613" t="str">
        <f>HYPERLINK("https://patents.google.com/patent/US20080033857A1/en")</f>
        <v>https://patents.google.com/patent/US20080033857A1/en</v>
      </c>
    </row>
    <row r="5614" spans="3:5" x14ac:dyDescent="0.25">
      <c r="C5614" t="s">
        <v>10027</v>
      </c>
      <c r="D5614" t="s">
        <v>10028</v>
      </c>
      <c r="E5614" t="str">
        <f>HYPERLINK("https://patents.google.com/patent/US20090216558A1/en")</f>
        <v>https://patents.google.com/patent/US20090216558A1/en</v>
      </c>
    </row>
    <row r="5615" spans="3:5" x14ac:dyDescent="0.25">
      <c r="C5615" t="s">
        <v>10029</v>
      </c>
      <c r="D5615" t="s">
        <v>10030</v>
      </c>
      <c r="E5615" t="str">
        <f>HYPERLINK("https://patents.google.com/patent/US20050174591A1/en")</f>
        <v>https://patents.google.com/patent/US20050174591A1/en</v>
      </c>
    </row>
    <row r="5616" spans="3:5" x14ac:dyDescent="0.25">
      <c r="C5616" t="s">
        <v>10031</v>
      </c>
      <c r="D5616" t="s">
        <v>10032</v>
      </c>
      <c r="E5616" t="str">
        <f>HYPERLINK("https://patents.google.com/patent/US20040024666A1/en")</f>
        <v>https://patents.google.com/patent/US20040024666A1/en</v>
      </c>
    </row>
    <row r="5617" spans="3:5" x14ac:dyDescent="0.25">
      <c r="C5617" t="s">
        <v>10033</v>
      </c>
      <c r="D5617" t="s">
        <v>10034</v>
      </c>
      <c r="E5617" t="str">
        <f>HYPERLINK("https://patents.google.com/patent/US20080046149A1/en")</f>
        <v>https://patents.google.com/patent/US20080046149A1/en</v>
      </c>
    </row>
    <row r="5618" spans="3:5" x14ac:dyDescent="0.25">
      <c r="C5618" t="s">
        <v>10035</v>
      </c>
      <c r="D5618" t="s">
        <v>10036</v>
      </c>
      <c r="E5618" t="str">
        <f>HYPERLINK("https://patents.google.com/patent/US20090118019A1/en")</f>
        <v>https://patents.google.com/patent/US20090118019A1/en</v>
      </c>
    </row>
    <row r="5619" spans="3:5" x14ac:dyDescent="0.25">
      <c r="C5619" t="s">
        <v>10033</v>
      </c>
      <c r="D5619" t="s">
        <v>10037</v>
      </c>
      <c r="E5619" t="str">
        <f>HYPERLINK("https://patents.google.com/patent/US20080040005A1/en")</f>
        <v>https://patents.google.com/patent/US20080040005A1/en</v>
      </c>
    </row>
    <row r="5620" spans="3:5" x14ac:dyDescent="0.25">
      <c r="C5620" t="s">
        <v>10038</v>
      </c>
      <c r="D5620" t="s">
        <v>10039</v>
      </c>
      <c r="E5620" t="str">
        <f>HYPERLINK("https://patents.google.com/patent/US20130198737A1/en")</f>
        <v>https://patents.google.com/patent/US20130198737A1/en</v>
      </c>
    </row>
    <row r="5621" spans="3:5" x14ac:dyDescent="0.25">
      <c r="C5621" t="s">
        <v>10007</v>
      </c>
      <c r="D5621" t="s">
        <v>10040</v>
      </c>
      <c r="E5621" t="str">
        <f>HYPERLINK("https://patents.google.com/patent/US20110122063A1/en")</f>
        <v>https://patents.google.com/patent/US20110122063A1/en</v>
      </c>
    </row>
    <row r="5622" spans="3:5" x14ac:dyDescent="0.25">
      <c r="C5622" t="s">
        <v>10041</v>
      </c>
      <c r="D5622" t="s">
        <v>10042</v>
      </c>
      <c r="E5622" t="str">
        <f>HYPERLINK("https://patents.google.com/patent/US20080293488A1/en")</f>
        <v>https://patents.google.com/patent/US20080293488A1/en</v>
      </c>
    </row>
    <row r="5623" spans="3:5" x14ac:dyDescent="0.25">
      <c r="C5623" t="s">
        <v>10043</v>
      </c>
      <c r="D5623" t="s">
        <v>10044</v>
      </c>
      <c r="E5623" t="str">
        <f>HYPERLINK("https://patents.google.com/patent/US20120053987A1/en")</f>
        <v>https://patents.google.com/patent/US20120053987A1/en</v>
      </c>
    </row>
    <row r="5624" spans="3:5" x14ac:dyDescent="0.25">
      <c r="C5624" t="s">
        <v>10029</v>
      </c>
      <c r="D5624" t="s">
        <v>10045</v>
      </c>
      <c r="E5624" t="str">
        <f>HYPERLINK("https://patents.google.com/patent/US20010053247A1/en")</f>
        <v>https://patents.google.com/patent/US20010053247A1/en</v>
      </c>
    </row>
    <row r="5625" spans="3:5" x14ac:dyDescent="0.25">
      <c r="C5625" t="s">
        <v>10046</v>
      </c>
      <c r="D5625" t="s">
        <v>10047</v>
      </c>
      <c r="E5625" t="str">
        <f>HYPERLINK("https://patents.google.com/patent/US20090119736A1/en")</f>
        <v>https://patents.google.com/patent/US20090119736A1/en</v>
      </c>
    </row>
    <row r="5626" spans="3:5" x14ac:dyDescent="0.25">
      <c r="C5626" t="s">
        <v>10048</v>
      </c>
      <c r="D5626" t="s">
        <v>10049</v>
      </c>
      <c r="E5626" t="str">
        <f>HYPERLINK("https://patents.google.com/patent/US20070255589A1/en")</f>
        <v>https://patents.google.com/patent/US20070255589A1/en</v>
      </c>
    </row>
    <row r="5627" spans="3:5" x14ac:dyDescent="0.25">
      <c r="C5627" t="s">
        <v>9704</v>
      </c>
      <c r="D5627" t="s">
        <v>10050</v>
      </c>
      <c r="E5627" t="str">
        <f>HYPERLINK("https://patents.google.com/patent/US20130055097A1/en")</f>
        <v>https://patents.google.com/patent/US20130055097A1/en</v>
      </c>
    </row>
    <row r="5628" spans="3:5" x14ac:dyDescent="0.25">
      <c r="C5628" t="s">
        <v>9711</v>
      </c>
      <c r="D5628" t="s">
        <v>10051</v>
      </c>
      <c r="E5628" t="str">
        <f>HYPERLINK("https://patents.google.com/patent/US20130053005A1/en")</f>
        <v>https://patents.google.com/patent/US20130053005A1/en</v>
      </c>
    </row>
    <row r="5629" spans="3:5" x14ac:dyDescent="0.25">
      <c r="C5629" t="s">
        <v>10052</v>
      </c>
      <c r="D5629" t="s">
        <v>10053</v>
      </c>
      <c r="E5629" t="str">
        <f>HYPERLINK("https://patents.google.com/patent/US20090119737A1/en")</f>
        <v>https://patents.google.com/patent/US20090119737A1/en</v>
      </c>
    </row>
    <row r="5630" spans="3:5" x14ac:dyDescent="0.25">
      <c r="C5630" t="s">
        <v>10054</v>
      </c>
      <c r="D5630" t="s">
        <v>10055</v>
      </c>
      <c r="E5630" t="str">
        <f>HYPERLINK("https://patents.google.com/patent/US20120004968A1/en")</f>
        <v>https://patents.google.com/patent/US20120004968A1/en</v>
      </c>
    </row>
    <row r="5631" spans="3:5" x14ac:dyDescent="0.25">
      <c r="C5631" t="s">
        <v>10056</v>
      </c>
      <c r="D5631" t="s">
        <v>10057</v>
      </c>
      <c r="E5631" t="str">
        <f>HYPERLINK("https://patents.google.com/patent/US20100280700A1/en")</f>
        <v>https://patents.google.com/patent/US20100280700A1/en</v>
      </c>
    </row>
    <row r="5632" spans="3:5" x14ac:dyDescent="0.25">
      <c r="C5632" t="s">
        <v>10058</v>
      </c>
      <c r="D5632" t="s">
        <v>10059</v>
      </c>
      <c r="E5632" t="str">
        <f>HYPERLINK("https://patents.google.com/patent/US20110213657A1/en")</f>
        <v>https://patents.google.com/patent/US20110213657A1/en</v>
      </c>
    </row>
    <row r="5633" spans="3:5" x14ac:dyDescent="0.25">
      <c r="C5633" t="s">
        <v>10060</v>
      </c>
      <c r="D5633" t="s">
        <v>10061</v>
      </c>
      <c r="E5633" t="str">
        <f>HYPERLINK("https://patents.google.com/patent/US20020026363A1/en")</f>
        <v>https://patents.google.com/patent/US20020026363A1/en</v>
      </c>
    </row>
    <row r="5634" spans="3:5" x14ac:dyDescent="0.25">
      <c r="C5634" t="s">
        <v>10062</v>
      </c>
      <c r="D5634" t="s">
        <v>10063</v>
      </c>
      <c r="E5634" t="str">
        <f>HYPERLINK("https://patents.google.com/patent/US20020080245A1/en")</f>
        <v>https://patents.google.com/patent/US20020080245A1/en</v>
      </c>
    </row>
    <row r="5635" spans="3:5" x14ac:dyDescent="0.25">
      <c r="C5635" t="s">
        <v>10064</v>
      </c>
      <c r="D5635" t="s">
        <v>10065</v>
      </c>
      <c r="E5635" t="str">
        <f>HYPERLINK("https://patents.google.com/patent/US20130073376A1/en")</f>
        <v>https://patents.google.com/patent/US20130073376A1/en</v>
      </c>
    </row>
    <row r="5636" spans="3:5" x14ac:dyDescent="0.25">
      <c r="C5636" t="s">
        <v>10066</v>
      </c>
      <c r="D5636" t="s">
        <v>10067</v>
      </c>
      <c r="E5636" t="str">
        <f>HYPERLINK("https://patents.google.com/patent/US20060041487A1/en")</f>
        <v>https://patents.google.com/patent/US20060041487A1/en</v>
      </c>
    </row>
    <row r="5637" spans="3:5" x14ac:dyDescent="0.25">
      <c r="C5637" t="s">
        <v>10068</v>
      </c>
      <c r="D5637" t="s">
        <v>10069</v>
      </c>
      <c r="E5637" t="str">
        <f>HYPERLINK("https://patents.google.com/patent/US20100062838A1/en")</f>
        <v>https://patents.google.com/patent/US20100062838A1/en</v>
      </c>
    </row>
    <row r="5638" spans="3:5" x14ac:dyDescent="0.25">
      <c r="C5638" t="s">
        <v>10070</v>
      </c>
      <c r="D5638" t="s">
        <v>10071</v>
      </c>
      <c r="E5638" t="str">
        <f>HYPERLINK("https://patents.google.com/patent/US20090125387A1/en")</f>
        <v>https://patents.google.com/patent/US20090125387A1/en</v>
      </c>
    </row>
    <row r="5639" spans="3:5" x14ac:dyDescent="0.25">
      <c r="C5639" t="s">
        <v>10072</v>
      </c>
      <c r="D5639" t="s">
        <v>10073</v>
      </c>
      <c r="E5639" t="str">
        <f>HYPERLINK("https://patents.google.com/patent/US5048552A/en")</f>
        <v>https://patents.google.com/patent/US5048552A/en</v>
      </c>
    </row>
    <row r="5640" spans="3:5" x14ac:dyDescent="0.25">
      <c r="C5640" t="s">
        <v>10074</v>
      </c>
      <c r="D5640" t="s">
        <v>10075</v>
      </c>
      <c r="E5640" t="str">
        <f>HYPERLINK("https://patents.google.com/patent/US8661496B2/en")</f>
        <v>https://patents.google.com/patent/US8661496B2/en</v>
      </c>
    </row>
    <row r="5641" spans="3:5" x14ac:dyDescent="0.25">
      <c r="C5641" t="s">
        <v>9752</v>
      </c>
      <c r="D5641" t="s">
        <v>10076</v>
      </c>
      <c r="E5641" t="str">
        <f>HYPERLINK("https://patents.google.com/patent/US5097471A/en")</f>
        <v>https://patents.google.com/patent/US5097471A/en</v>
      </c>
    </row>
    <row r="5642" spans="3:5" x14ac:dyDescent="0.25">
      <c r="C5642" t="s">
        <v>10077</v>
      </c>
      <c r="D5642" t="s">
        <v>10078</v>
      </c>
      <c r="E5642" t="str">
        <f>HYPERLINK("https://patents.google.com/patent/US7122076B2/en")</f>
        <v>https://patents.google.com/patent/US7122076B2/en</v>
      </c>
    </row>
    <row r="5643" spans="3:5" x14ac:dyDescent="0.25">
      <c r="C5643" t="s">
        <v>10079</v>
      </c>
      <c r="D5643" t="s">
        <v>10080</v>
      </c>
      <c r="E5643" t="str">
        <f>HYPERLINK("https://patents.google.com/patent/US20100121705A1/en")</f>
        <v>https://patents.google.com/patent/US20100121705A1/en</v>
      </c>
    </row>
    <row r="5644" spans="3:5" x14ac:dyDescent="0.25">
      <c r="C5644" t="s">
        <v>10081</v>
      </c>
      <c r="D5644" t="s">
        <v>10082</v>
      </c>
      <c r="E5644" t="str">
        <f>HYPERLINK("https://patents.google.com/patent/US20090119729A1/en")</f>
        <v>https://patents.google.com/patent/US20090119729A1/en</v>
      </c>
    </row>
    <row r="5645" spans="3:5" x14ac:dyDescent="0.25">
      <c r="C5645" t="s">
        <v>10083</v>
      </c>
      <c r="D5645" t="s">
        <v>10084</v>
      </c>
      <c r="E5645" t="str">
        <f>HYPERLINK("https://patents.google.com/patent/US20140258405A1/en")</f>
        <v>https://patents.google.com/patent/US20140258405A1/en</v>
      </c>
    </row>
    <row r="5646" spans="3:5" x14ac:dyDescent="0.25">
      <c r="C5646" t="s">
        <v>10085</v>
      </c>
      <c r="D5646" t="s">
        <v>10086</v>
      </c>
      <c r="E5646" t="str">
        <f>HYPERLINK("https://patents.google.com/patent/US20090213844A1/en")</f>
        <v>https://patents.google.com/patent/US20090213844A1/en</v>
      </c>
    </row>
    <row r="5647" spans="3:5" x14ac:dyDescent="0.25">
      <c r="C5647" t="s">
        <v>10087</v>
      </c>
      <c r="D5647" t="s">
        <v>10088</v>
      </c>
      <c r="E5647" t="str">
        <f>HYPERLINK("https://patents.google.com/patent/US20120010933A1/en")</f>
        <v>https://patents.google.com/patent/US20120010933A1/en</v>
      </c>
    </row>
    <row r="5648" spans="3:5" x14ac:dyDescent="0.25">
      <c r="C5648" t="s">
        <v>10089</v>
      </c>
      <c r="D5648" t="s">
        <v>10090</v>
      </c>
      <c r="E5648" t="str">
        <f>HYPERLINK("https://patents.google.com/patent/US20120004975A1/en")</f>
        <v>https://patents.google.com/patent/US20120004975A1/en</v>
      </c>
    </row>
    <row r="5649" spans="3:5" x14ac:dyDescent="0.25">
      <c r="C5649" t="s">
        <v>10091</v>
      </c>
      <c r="D5649" t="s">
        <v>10092</v>
      </c>
      <c r="E5649" t="str">
        <f>HYPERLINK("https://patents.google.com/patent/US20120004970A1/en")</f>
        <v>https://patents.google.com/patent/US20120004970A1/en</v>
      </c>
    </row>
    <row r="5650" spans="3:5" x14ac:dyDescent="0.25">
      <c r="C5650" t="s">
        <v>10093</v>
      </c>
      <c r="D5650" t="s">
        <v>10094</v>
      </c>
      <c r="E5650" t="str">
        <f>HYPERLINK("https://patents.google.com/patent/US20120004969A1/en")</f>
        <v>https://patents.google.com/patent/US20120004969A1/en</v>
      </c>
    </row>
    <row r="5651" spans="3:5" x14ac:dyDescent="0.25">
      <c r="C5651" t="s">
        <v>10095</v>
      </c>
      <c r="D5651" t="s">
        <v>10096</v>
      </c>
      <c r="E5651" t="str">
        <f>HYPERLINK("https://patents.google.com/patent/US20070269788A1/en")</f>
        <v>https://patents.google.com/patent/US20070269788A1/en</v>
      </c>
    </row>
    <row r="5652" spans="3:5" x14ac:dyDescent="0.25">
      <c r="C5652" t="s">
        <v>10097</v>
      </c>
      <c r="D5652" t="s">
        <v>10098</v>
      </c>
      <c r="E5652" t="str">
        <f>HYPERLINK("https://patents.google.com/patent/US20120004964A1/en")</f>
        <v>https://patents.google.com/patent/US20120004964A1/en</v>
      </c>
    </row>
    <row r="5653" spans="3:5" x14ac:dyDescent="0.25">
      <c r="C5653" t="s">
        <v>10099</v>
      </c>
      <c r="D5653" t="s">
        <v>10100</v>
      </c>
      <c r="E5653" t="str">
        <f>HYPERLINK("https://patents.google.com/patent/US20110182283A1/en")</f>
        <v>https://patents.google.com/patent/US20110182283A1/en</v>
      </c>
    </row>
    <row r="5654" spans="3:5" x14ac:dyDescent="0.25">
      <c r="C5654" t="s">
        <v>9870</v>
      </c>
      <c r="D5654" t="s">
        <v>10101</v>
      </c>
      <c r="E5654" t="str">
        <f>HYPERLINK("https://patents.google.com/patent/US20100076818A1/en")</f>
        <v>https://patents.google.com/patent/US20100076818A1/en</v>
      </c>
    </row>
    <row r="5655" spans="3:5" x14ac:dyDescent="0.25">
      <c r="C5655" t="s">
        <v>10102</v>
      </c>
      <c r="D5655" t="s">
        <v>10103</v>
      </c>
      <c r="E5655" t="str">
        <f>HYPERLINK("https://patents.google.com/patent/US20110202370A1/en")</f>
        <v>https://patents.google.com/patent/US20110202370A1/en</v>
      </c>
    </row>
    <row r="5656" spans="3:5" x14ac:dyDescent="0.25">
      <c r="C5656" t="s">
        <v>9995</v>
      </c>
      <c r="D5656" t="s">
        <v>10104</v>
      </c>
      <c r="E5656" t="str">
        <f>HYPERLINK("https://patents.google.com/patent/US20090043907A1/en")</f>
        <v>https://patents.google.com/patent/US20090043907A1/en</v>
      </c>
    </row>
    <row r="5657" spans="3:5" x14ac:dyDescent="0.25">
      <c r="C5657" t="s">
        <v>10105</v>
      </c>
      <c r="D5657" t="s">
        <v>10106</v>
      </c>
      <c r="E5657" t="str">
        <f>HYPERLINK("https://patents.google.com/patent/US20100312572A1/en")</f>
        <v>https://patents.google.com/patent/US20100312572A1/en</v>
      </c>
    </row>
    <row r="5658" spans="3:5" x14ac:dyDescent="0.25">
      <c r="C5658" t="s">
        <v>10107</v>
      </c>
      <c r="D5658" t="s">
        <v>10108</v>
      </c>
      <c r="E5658" t="str">
        <f>HYPERLINK("https://patents.google.com/patent/US20120004967A1/en")</f>
        <v>https://patents.google.com/patent/US20120004967A1/en</v>
      </c>
    </row>
    <row r="5659" spans="3:5" x14ac:dyDescent="0.25">
      <c r="C5659" t="s">
        <v>10109</v>
      </c>
      <c r="D5659" t="s">
        <v>10110</v>
      </c>
      <c r="E5659" t="str">
        <f>HYPERLINK("https://patents.google.com/patent/US20140274031A1/en")</f>
        <v>https://patents.google.com/patent/US20140274031A1/en</v>
      </c>
    </row>
    <row r="5660" spans="3:5" x14ac:dyDescent="0.25">
      <c r="C5660" t="s">
        <v>10111</v>
      </c>
      <c r="D5660" t="s">
        <v>10112</v>
      </c>
      <c r="E5660" t="str">
        <f>HYPERLINK("https://patents.google.com/patent/US20120010932A1/en")</f>
        <v>https://patents.google.com/patent/US20120010932A1/en</v>
      </c>
    </row>
    <row r="5661" spans="3:5" x14ac:dyDescent="0.25">
      <c r="C5661" t="s">
        <v>10113</v>
      </c>
      <c r="D5661" t="s">
        <v>10114</v>
      </c>
      <c r="E5661" t="str">
        <f>HYPERLINK("https://patents.google.com/patent/US5007324A/en")</f>
        <v>https://patents.google.com/patent/US5007324A/en</v>
      </c>
    </row>
    <row r="5662" spans="3:5" x14ac:dyDescent="0.25">
      <c r="C5662" t="s">
        <v>10115</v>
      </c>
      <c r="D5662" t="s">
        <v>10116</v>
      </c>
      <c r="E5662" t="str">
        <f>HYPERLINK("https://patents.google.com/patent/US20130080447A1/en")</f>
        <v>https://patents.google.com/patent/US20130080447A1/en</v>
      </c>
    </row>
    <row r="5663" spans="3:5" x14ac:dyDescent="0.25">
      <c r="C5663" t="s">
        <v>10117</v>
      </c>
      <c r="D5663" t="s">
        <v>10118</v>
      </c>
      <c r="E5663" t="str">
        <f>HYPERLINK("https://patents.google.com/patent/US20120010936A1/en")</f>
        <v>https://patents.google.com/patent/US20120010936A1/en</v>
      </c>
    </row>
    <row r="5664" spans="3:5" x14ac:dyDescent="0.25">
      <c r="C5664" t="s">
        <v>10119</v>
      </c>
      <c r="D5664" t="s">
        <v>10120</v>
      </c>
      <c r="E5664" t="str">
        <f>HYPERLINK("https://patents.google.com/patent/US20160003637A1/en")</f>
        <v>https://patents.google.com/patent/US20160003637A1/en</v>
      </c>
    </row>
    <row r="5665" spans="3:5" x14ac:dyDescent="0.25">
      <c r="C5665" t="s">
        <v>9874</v>
      </c>
      <c r="D5665" t="s">
        <v>10121</v>
      </c>
      <c r="E5665" t="str">
        <f>HYPERLINK("https://patents.google.com/patent/US20120041819A1/en")</f>
        <v>https://patents.google.com/patent/US20120041819A1/en</v>
      </c>
    </row>
    <row r="5666" spans="3:5" x14ac:dyDescent="0.25">
      <c r="C5666" t="s">
        <v>10122</v>
      </c>
      <c r="D5666" t="s">
        <v>10123</v>
      </c>
      <c r="E5666" t="str">
        <f>HYPERLINK("https://patents.google.com/patent/US20140094998A1/en")</f>
        <v>https://patents.google.com/patent/US20140094998A1/en</v>
      </c>
    </row>
    <row r="5667" spans="3:5" x14ac:dyDescent="0.25">
      <c r="C5667" t="s">
        <v>10124</v>
      </c>
      <c r="D5667" t="s">
        <v>10125</v>
      </c>
      <c r="E5667" t="str">
        <f>HYPERLINK("https://patents.google.com/patent/US20060172275A1/en")</f>
        <v>https://patents.google.com/patent/US20060172275A1/en</v>
      </c>
    </row>
    <row r="5668" spans="3:5" x14ac:dyDescent="0.25">
      <c r="C5668" t="s">
        <v>10126</v>
      </c>
      <c r="D5668" t="s">
        <v>10127</v>
      </c>
      <c r="E5668" t="str">
        <f>HYPERLINK("https://patents.google.com/patent/US20120004966A1/en")</f>
        <v>https://patents.google.com/patent/US20120004966A1/en</v>
      </c>
    </row>
    <row r="5669" spans="3:5" x14ac:dyDescent="0.25">
      <c r="C5669" t="s">
        <v>10128</v>
      </c>
      <c r="D5669" t="s">
        <v>10129</v>
      </c>
      <c r="E5669" t="str">
        <f>HYPERLINK("https://patents.google.com/patent/US20120004965A1/en")</f>
        <v>https://patents.google.com/patent/US20120004965A1/en</v>
      </c>
    </row>
    <row r="5670" spans="3:5" x14ac:dyDescent="0.25">
      <c r="C5670" t="s">
        <v>10130</v>
      </c>
      <c r="D5670" t="s">
        <v>10131</v>
      </c>
      <c r="E5670" t="str">
        <f>HYPERLINK("https://patents.google.com/patent/US20110010087A1/en")</f>
        <v>https://patents.google.com/patent/US20110010087A1/en</v>
      </c>
    </row>
    <row r="5671" spans="3:5" x14ac:dyDescent="0.25">
      <c r="C5671" t="s">
        <v>10132</v>
      </c>
      <c r="D5671" t="s">
        <v>10133</v>
      </c>
      <c r="E5671" t="str">
        <f>HYPERLINK("https://patents.google.com/patent/US20050174974A1/en")</f>
        <v>https://patents.google.com/patent/US20050174974A1/en</v>
      </c>
    </row>
    <row r="5672" spans="3:5" x14ac:dyDescent="0.25">
      <c r="C5672" t="s">
        <v>10134</v>
      </c>
      <c r="D5672" t="s">
        <v>10135</v>
      </c>
      <c r="E5672" t="str">
        <f>HYPERLINK("https://patents.google.com/patent/US20070234290A1/en")</f>
        <v>https://patents.google.com/patent/US20070234290A1/en</v>
      </c>
    </row>
    <row r="5673" spans="3:5" x14ac:dyDescent="0.25">
      <c r="C5673" t="s">
        <v>10136</v>
      </c>
      <c r="D5673" t="s">
        <v>10137</v>
      </c>
      <c r="E5673" t="str">
        <f>HYPERLINK("https://patents.google.com/patent/US20120290420A1/en")</f>
        <v>https://patents.google.com/patent/US20120290420A1/en</v>
      </c>
    </row>
    <row r="5674" spans="3:5" x14ac:dyDescent="0.25">
      <c r="C5674" t="s">
        <v>10138</v>
      </c>
      <c r="D5674" t="s">
        <v>10139</v>
      </c>
      <c r="E5674" t="str">
        <f>HYPERLINK("https://patents.google.com/patent/US8306908B1/en")</f>
        <v>https://patents.google.com/patent/US8306908B1/en</v>
      </c>
    </row>
    <row r="5675" spans="3:5" x14ac:dyDescent="0.25">
      <c r="C5675" t="s">
        <v>10140</v>
      </c>
      <c r="D5675" t="s">
        <v>10141</v>
      </c>
      <c r="E5675" t="str">
        <f>HYPERLINK("https://patents.google.com/patent/US20070233681A1/en")</f>
        <v>https://patents.google.com/patent/US20070233681A1/en</v>
      </c>
    </row>
    <row r="5676" spans="3:5" x14ac:dyDescent="0.25">
      <c r="C5676" t="s">
        <v>10142</v>
      </c>
      <c r="D5676" t="s">
        <v>10143</v>
      </c>
      <c r="E5676" t="str">
        <f>HYPERLINK("https://patents.google.com/patent/US20070143185A1/en")</f>
        <v>https://patents.google.com/patent/US20070143185A1/en</v>
      </c>
    </row>
    <row r="5677" spans="3:5" x14ac:dyDescent="0.25">
      <c r="C5677" t="s">
        <v>10144</v>
      </c>
      <c r="D5677" t="s">
        <v>10145</v>
      </c>
      <c r="E5677" t="str">
        <f>HYPERLINK("https://patents.google.com/patent/US20110313853A1/en")</f>
        <v>https://patents.google.com/patent/US20110313853A1/en</v>
      </c>
    </row>
    <row r="5678" spans="3:5" x14ac:dyDescent="0.25">
      <c r="C5678" t="s">
        <v>10146</v>
      </c>
      <c r="D5678" t="s">
        <v>10147</v>
      </c>
      <c r="E5678" t="str">
        <f>HYPERLINK("https://patents.google.com/patent/US20080169134A1/en")</f>
        <v>https://patents.google.com/patent/US20080169134A1/en</v>
      </c>
    </row>
    <row r="5679" spans="3:5" x14ac:dyDescent="0.25">
      <c r="C5679" t="s">
        <v>10148</v>
      </c>
      <c r="D5679" t="s">
        <v>10149</v>
      </c>
      <c r="E5679" t="str">
        <f>HYPERLINK("https://patents.google.com/patent/US20060143083A1/en")</f>
        <v>https://patents.google.com/patent/US20060143083A1/en</v>
      </c>
    </row>
    <row r="5680" spans="3:5" x14ac:dyDescent="0.25">
      <c r="C5680" t="s">
        <v>10150</v>
      </c>
      <c r="D5680" t="s">
        <v>10151</v>
      </c>
      <c r="E5680" t="str">
        <f>HYPERLINK("https://patents.google.com/patent/US20090125967A1/en")</f>
        <v>https://patents.google.com/patent/US20090125967A1/en</v>
      </c>
    </row>
    <row r="5681" spans="3:5" x14ac:dyDescent="0.25">
      <c r="C5681" t="s">
        <v>10152</v>
      </c>
      <c r="D5681" t="s">
        <v>10153</v>
      </c>
      <c r="E5681" t="str">
        <f>HYPERLINK("https://patents.google.com/patent/US20130204493A1/en")</f>
        <v>https://patents.google.com/patent/US20130204493A1/en</v>
      </c>
    </row>
    <row r="5682" spans="3:5" x14ac:dyDescent="0.25">
      <c r="C5682" t="s">
        <v>10154</v>
      </c>
      <c r="D5682" t="s">
        <v>10155</v>
      </c>
      <c r="E5682" t="str">
        <f>HYPERLINK("https://patents.google.com/patent/US20020069084A1/en")</f>
        <v>https://patents.google.com/patent/US20020069084A1/en</v>
      </c>
    </row>
    <row r="5683" spans="3:5" x14ac:dyDescent="0.25">
      <c r="C5683" t="s">
        <v>10144</v>
      </c>
      <c r="D5683" t="s">
        <v>10156</v>
      </c>
      <c r="E5683" t="str">
        <f>HYPERLINK("https://patents.google.com/patent/US20120010966A1/en")</f>
        <v>https://patents.google.com/patent/US20120010966A1/en</v>
      </c>
    </row>
    <row r="5684" spans="3:5" x14ac:dyDescent="0.25">
      <c r="C5684" t="s">
        <v>10157</v>
      </c>
      <c r="D5684" t="s">
        <v>10158</v>
      </c>
      <c r="E5684" t="str">
        <f>HYPERLINK("https://patents.google.com/patent/US20070156429A1/en")</f>
        <v>https://patents.google.com/patent/US20070156429A1/en</v>
      </c>
    </row>
    <row r="5685" spans="3:5" x14ac:dyDescent="0.25">
      <c r="C5685" t="s">
        <v>10159</v>
      </c>
      <c r="D5685" t="s">
        <v>10160</v>
      </c>
      <c r="E5685" t="str">
        <f>HYPERLINK("https://patents.google.com/patent/US20090125961A1/en")</f>
        <v>https://patents.google.com/patent/US20090125961A1/en</v>
      </c>
    </row>
    <row r="5686" spans="3:5" x14ac:dyDescent="0.25">
      <c r="C5686" t="s">
        <v>10161</v>
      </c>
      <c r="D5686" t="s">
        <v>10162</v>
      </c>
      <c r="E5686" t="str">
        <f>HYPERLINK("https://patents.google.com/patent/WO1999018533A1/en")</f>
        <v>https://patents.google.com/patent/WO1999018533A1/en</v>
      </c>
    </row>
    <row r="5687" spans="3:5" x14ac:dyDescent="0.25">
      <c r="C5687" t="s">
        <v>10163</v>
      </c>
      <c r="D5687" t="s">
        <v>10164</v>
      </c>
      <c r="E5687" t="str">
        <f>HYPERLINK("https://patents.google.com/patent/US8489452B1/en")</f>
        <v>https://patents.google.com/patent/US8489452B1/en</v>
      </c>
    </row>
    <row r="5688" spans="3:5" x14ac:dyDescent="0.25">
      <c r="C5688" t="s">
        <v>10165</v>
      </c>
      <c r="D5688" t="s">
        <v>10166</v>
      </c>
      <c r="E5688" t="str">
        <f>HYPERLINK("https://patents.google.com/patent/US20030010822A1/en")</f>
        <v>https://patents.google.com/patent/US20030010822A1/en</v>
      </c>
    </row>
    <row r="5689" spans="3:5" x14ac:dyDescent="0.25">
      <c r="C5689" t="s">
        <v>10167</v>
      </c>
      <c r="D5689" t="s">
        <v>10168</v>
      </c>
      <c r="E5689" t="str">
        <f>HYPERLINK("https://patents.google.com/patent/US20070026958A1/en")</f>
        <v>https://patents.google.com/patent/US20070026958A1/en</v>
      </c>
    </row>
    <row r="5690" spans="3:5" x14ac:dyDescent="0.25">
      <c r="C5690" t="s">
        <v>10169</v>
      </c>
      <c r="D5690" t="s">
        <v>10170</v>
      </c>
      <c r="E5690" t="str">
        <f>HYPERLINK("https://patents.google.com/patent/US20100166058A1/en")</f>
        <v>https://patents.google.com/patent/US20100166058A1/en</v>
      </c>
    </row>
    <row r="5691" spans="3:5" x14ac:dyDescent="0.25">
      <c r="C5691" t="s">
        <v>9894</v>
      </c>
      <c r="D5691" t="s">
        <v>10171</v>
      </c>
      <c r="E5691" t="str">
        <f>HYPERLINK("https://patents.google.com/patent/US20090228544A1/en")</f>
        <v>https://patents.google.com/patent/US20090228544A1/en</v>
      </c>
    </row>
    <row r="5692" spans="3:5" x14ac:dyDescent="0.25">
      <c r="C5692" t="s">
        <v>9880</v>
      </c>
      <c r="D5692" t="s">
        <v>10172</v>
      </c>
      <c r="E5692" t="str">
        <f>HYPERLINK("https://patents.google.com/patent/US20130254035A1/en")</f>
        <v>https://patents.google.com/patent/US20130254035A1/en</v>
      </c>
    </row>
    <row r="5693" spans="3:5" x14ac:dyDescent="0.25">
      <c r="C5693" t="s">
        <v>10173</v>
      </c>
      <c r="D5693" t="s">
        <v>10174</v>
      </c>
      <c r="E5693" t="str">
        <f>HYPERLINK("https://patents.google.com/patent/US6754207B1/en")</f>
        <v>https://patents.google.com/patent/US6754207B1/en</v>
      </c>
    </row>
    <row r="5694" spans="3:5" x14ac:dyDescent="0.25">
      <c r="C5694" t="s">
        <v>10175</v>
      </c>
      <c r="D5694" t="s">
        <v>10176</v>
      </c>
      <c r="E5694" t="str">
        <f>HYPERLINK("https://patents.google.com/patent/US20150249587A1/en")</f>
        <v>https://patents.google.com/patent/US20150249587A1/en</v>
      </c>
    </row>
    <row r="5695" spans="3:5" x14ac:dyDescent="0.25">
      <c r="C5695" t="s">
        <v>10177</v>
      </c>
      <c r="D5695" t="s">
        <v>10178</v>
      </c>
      <c r="E5695" t="str">
        <f>HYPERLINK("https://patents.google.com/patent/US20120047435A1/en")</f>
        <v>https://patents.google.com/patent/US20120047435A1/en</v>
      </c>
    </row>
    <row r="5696" spans="3:5" x14ac:dyDescent="0.25">
      <c r="C5696" t="s">
        <v>10179</v>
      </c>
      <c r="D5696" t="s">
        <v>10180</v>
      </c>
      <c r="E5696" t="str">
        <f>HYPERLINK("https://patents.google.com/patent/US8732101B1/en")</f>
        <v>https://patents.google.com/patent/US8732101B1/en</v>
      </c>
    </row>
    <row r="5697" spans="3:5" x14ac:dyDescent="0.25">
      <c r="C5697" t="s">
        <v>10181</v>
      </c>
      <c r="D5697" t="s">
        <v>10182</v>
      </c>
      <c r="E5697" t="str">
        <f>HYPERLINK("https://patents.google.com/patent/US20150348580A1/en")</f>
        <v>https://patents.google.com/patent/US20150348580A1/en</v>
      </c>
    </row>
    <row r="5698" spans="3:5" x14ac:dyDescent="0.25">
      <c r="C5698" t="s">
        <v>10183</v>
      </c>
      <c r="D5698" t="s">
        <v>10184</v>
      </c>
      <c r="E5698" t="str">
        <f>HYPERLINK("https://patents.google.com/patent/US20090125968A1/en")</f>
        <v>https://patents.google.com/patent/US20090125968A1/en</v>
      </c>
    </row>
    <row r="5699" spans="3:5" x14ac:dyDescent="0.25">
      <c r="C5699" t="s">
        <v>10185</v>
      </c>
      <c r="D5699" t="s">
        <v>10186</v>
      </c>
      <c r="E5699" t="str">
        <f>HYPERLINK("https://patents.google.com/patent/US20100166056A1/en")</f>
        <v>https://patents.google.com/patent/US20100166056A1/en</v>
      </c>
    </row>
    <row r="5700" spans="3:5" x14ac:dyDescent="0.25">
      <c r="C5700" t="s">
        <v>10187</v>
      </c>
      <c r="D5700" t="s">
        <v>10188</v>
      </c>
      <c r="E5700" t="str">
        <f>HYPERLINK("https://patents.google.com/patent/US20080005418A1/en")</f>
        <v>https://patents.google.com/patent/US20080005418A1/en</v>
      </c>
    </row>
    <row r="5701" spans="3:5" x14ac:dyDescent="0.25">
      <c r="C5701" t="s">
        <v>10189</v>
      </c>
      <c r="D5701" t="s">
        <v>10190</v>
      </c>
      <c r="E5701" t="str">
        <f>HYPERLINK("https://patents.google.com/patent/US20110119440A1/en")</f>
        <v>https://patents.google.com/patent/US20110119440A1/en</v>
      </c>
    </row>
    <row r="5702" spans="3:5" x14ac:dyDescent="0.25">
      <c r="C5702" t="s">
        <v>10144</v>
      </c>
      <c r="D5702" t="s">
        <v>10191</v>
      </c>
      <c r="E5702" t="str">
        <f>HYPERLINK("https://patents.google.com/patent/US20120010973A1/en")</f>
        <v>https://patents.google.com/patent/US20120010973A1/en</v>
      </c>
    </row>
    <row r="5703" spans="3:5" x14ac:dyDescent="0.25">
      <c r="C5703" t="s">
        <v>10192</v>
      </c>
      <c r="D5703" t="s">
        <v>10193</v>
      </c>
      <c r="E5703" t="str">
        <f>HYPERLINK("https://patents.google.com/patent/US20110145087A1/en")</f>
        <v>https://patents.google.com/patent/US20110145087A1/en</v>
      </c>
    </row>
    <row r="5704" spans="3:5" x14ac:dyDescent="0.25">
      <c r="C5704" t="s">
        <v>10194</v>
      </c>
      <c r="D5704" t="s">
        <v>10195</v>
      </c>
      <c r="E5704" t="str">
        <f>HYPERLINK("https://patents.google.com/patent/US20040050933A1/en")</f>
        <v>https://patents.google.com/patent/US20040050933A1/en</v>
      </c>
    </row>
    <row r="5705" spans="3:5" x14ac:dyDescent="0.25">
      <c r="C5705" t="s">
        <v>10196</v>
      </c>
      <c r="D5705" t="s">
        <v>10197</v>
      </c>
      <c r="E5705" t="str">
        <f>HYPERLINK("https://patents.google.com/patent/US20030058697A1/en")</f>
        <v>https://patents.google.com/patent/US20030058697A1/en</v>
      </c>
    </row>
    <row r="5706" spans="3:5" x14ac:dyDescent="0.25">
      <c r="C5706" t="s">
        <v>10198</v>
      </c>
      <c r="D5706" t="s">
        <v>10199</v>
      </c>
      <c r="E5706" t="str">
        <f>HYPERLINK("https://patents.google.com/patent/US20120173358A1/en")</f>
        <v>https://patents.google.com/patent/US20120173358A1/en</v>
      </c>
    </row>
    <row r="5707" spans="3:5" x14ac:dyDescent="0.25">
      <c r="C5707" t="s">
        <v>10144</v>
      </c>
      <c r="D5707" t="s">
        <v>10200</v>
      </c>
      <c r="E5707" t="str">
        <f>HYPERLINK("https://patents.google.com/patent/US20120010985A1/en")</f>
        <v>https://patents.google.com/patent/US20120010985A1/en</v>
      </c>
    </row>
    <row r="5708" spans="3:5" x14ac:dyDescent="0.25">
      <c r="C5708" t="s">
        <v>10201</v>
      </c>
      <c r="D5708" t="s">
        <v>10202</v>
      </c>
      <c r="E5708" t="str">
        <f>HYPERLINK("https://patents.google.com/patent/US20100250424A1/en")</f>
        <v>https://patents.google.com/patent/US20100250424A1/en</v>
      </c>
    </row>
    <row r="5709" spans="3:5" x14ac:dyDescent="0.25">
      <c r="C5709" t="s">
        <v>10203</v>
      </c>
      <c r="D5709" t="s">
        <v>10204</v>
      </c>
      <c r="E5709" t="str">
        <f>HYPERLINK("https://patents.google.com/patent/US20130103973A1/en")</f>
        <v>https://patents.google.com/patent/US20130103973A1/en</v>
      </c>
    </row>
    <row r="5710" spans="3:5" x14ac:dyDescent="0.25">
      <c r="C5710" t="s">
        <v>10144</v>
      </c>
      <c r="D5710" t="s">
        <v>10205</v>
      </c>
      <c r="E5710" t="str">
        <f>HYPERLINK("https://patents.google.com/patent/US20120010989A1/en")</f>
        <v>https://patents.google.com/patent/US20120010989A1/en</v>
      </c>
    </row>
    <row r="5711" spans="3:5" x14ac:dyDescent="0.25">
      <c r="C5711" t="s">
        <v>10206</v>
      </c>
      <c r="D5711" t="s">
        <v>10207</v>
      </c>
      <c r="E5711" t="str">
        <f>HYPERLINK("https://patents.google.com/patent/US20050071252A1/en")</f>
        <v>https://patents.google.com/patent/US20050071252A1/en</v>
      </c>
    </row>
    <row r="5712" spans="3:5" x14ac:dyDescent="0.25">
      <c r="C5712" t="s">
        <v>10208</v>
      </c>
      <c r="D5712" t="s">
        <v>10209</v>
      </c>
      <c r="E5712" t="str">
        <f>HYPERLINK("https://patents.google.com/patent/US3609300A/en")</f>
        <v>https://patents.google.com/patent/US3609300A/en</v>
      </c>
    </row>
    <row r="5713" spans="3:5" x14ac:dyDescent="0.25">
      <c r="C5713" t="s">
        <v>10210</v>
      </c>
      <c r="D5713" t="s">
        <v>10211</v>
      </c>
      <c r="E5713" t="str">
        <f>HYPERLINK("https://patents.google.com/patent/US20070250405A1/en")</f>
        <v>https://patents.google.com/patent/US20070250405A1/en</v>
      </c>
    </row>
    <row r="5714" spans="3:5" x14ac:dyDescent="0.25">
      <c r="C5714" t="s">
        <v>9822</v>
      </c>
      <c r="D5714" t="s">
        <v>10212</v>
      </c>
      <c r="E5714" t="str">
        <f>HYPERLINK("https://patents.google.com/patent/WO2008052205A2/en")</f>
        <v>https://patents.google.com/patent/WO2008052205A2/en</v>
      </c>
    </row>
    <row r="5715" spans="3:5" x14ac:dyDescent="0.25">
      <c r="C5715" t="s">
        <v>10213</v>
      </c>
      <c r="D5715" t="s">
        <v>10214</v>
      </c>
      <c r="E5715" t="str">
        <f>HYPERLINK("https://patents.google.com/patent/WO2016012889A1/en")</f>
        <v>https://patents.google.com/patent/WO2016012889A1/en</v>
      </c>
    </row>
    <row r="5716" spans="3:5" x14ac:dyDescent="0.25">
      <c r="C5716" t="s">
        <v>10215</v>
      </c>
      <c r="D5716" t="s">
        <v>10216</v>
      </c>
      <c r="E5716" t="str">
        <f>HYPERLINK("https://patents.google.com/patent/US20090119738A1/en")</f>
        <v>https://patents.google.com/patent/US20090119738A1/en</v>
      </c>
    </row>
    <row r="5717" spans="3:5" x14ac:dyDescent="0.25">
      <c r="C5717" t="s">
        <v>10217</v>
      </c>
      <c r="D5717" t="s">
        <v>10218</v>
      </c>
      <c r="E5717" t="str">
        <f>HYPERLINK("https://patents.google.com/patent/US20010054647A1/en")</f>
        <v>https://patents.google.com/patent/US20010054647A1/en</v>
      </c>
    </row>
    <row r="5718" spans="3:5" x14ac:dyDescent="0.25">
      <c r="C5718" t="s">
        <v>10219</v>
      </c>
      <c r="D5718" t="s">
        <v>10220</v>
      </c>
      <c r="E5718" t="str">
        <f>HYPERLINK("https://patents.google.com/patent/WO1997019537A1/en")</f>
        <v>https://patents.google.com/patent/WO1997019537A1/en</v>
      </c>
    </row>
    <row r="5719" spans="3:5" x14ac:dyDescent="0.25">
      <c r="C5719" t="s">
        <v>10221</v>
      </c>
      <c r="D5719" t="s">
        <v>10222</v>
      </c>
      <c r="E5719" t="str">
        <f>HYPERLINK("https://patents.google.com/patent/US6280004B1/en")</f>
        <v>https://patents.google.com/patent/US6280004B1/en</v>
      </c>
    </row>
    <row r="5720" spans="3:5" x14ac:dyDescent="0.25">
      <c r="C5720" t="s">
        <v>10223</v>
      </c>
      <c r="D5720" t="s">
        <v>10224</v>
      </c>
      <c r="E5720" t="str">
        <f>HYPERLINK("https://patents.google.com/patent/US20080109257A1/en")</f>
        <v>https://patents.google.com/patent/US20080109257A1/en</v>
      </c>
    </row>
    <row r="5721" spans="3:5" x14ac:dyDescent="0.25">
      <c r="C5721" t="s">
        <v>10225</v>
      </c>
      <c r="D5721" t="s">
        <v>10226</v>
      </c>
      <c r="E5721" t="str">
        <f>HYPERLINK("https://patents.google.com/patent/US20140207680A1/en")</f>
        <v>https://patents.google.com/patent/US20140207680A1/en</v>
      </c>
    </row>
    <row r="5722" spans="3:5" x14ac:dyDescent="0.25">
      <c r="C5722" t="s">
        <v>10227</v>
      </c>
      <c r="D5722" t="s">
        <v>10228</v>
      </c>
      <c r="E5722" t="str">
        <f>HYPERLINK("https://patents.google.com/patent/US20130282238A1/en")</f>
        <v>https://patents.google.com/patent/US20130282238A1/en</v>
      </c>
    </row>
    <row r="5723" spans="3:5" x14ac:dyDescent="0.25">
      <c r="C5723" t="s">
        <v>10229</v>
      </c>
      <c r="D5723" t="s">
        <v>10230</v>
      </c>
      <c r="E5723" t="str">
        <f>HYPERLINK("https://patents.google.com/patent/US20120116897A1/en")</f>
        <v>https://patents.google.com/patent/US20120116897A1/en</v>
      </c>
    </row>
    <row r="5724" spans="3:5" x14ac:dyDescent="0.25">
      <c r="C5724" t="s">
        <v>10231</v>
      </c>
      <c r="D5724" t="s">
        <v>10232</v>
      </c>
      <c r="E5724" t="str">
        <f>HYPERLINK("https://patents.google.com/patent/US20110178861A1/en")</f>
        <v>https://patents.google.com/patent/US20110178861A1/en</v>
      </c>
    </row>
    <row r="5725" spans="3:5" x14ac:dyDescent="0.25">
      <c r="C5725" t="s">
        <v>9643</v>
      </c>
      <c r="D5725" t="s">
        <v>10233</v>
      </c>
      <c r="E5725" t="str">
        <f>HYPERLINK("https://patents.google.com/patent/WO2000016189A1/en")</f>
        <v>https://patents.google.com/patent/WO2000016189A1/en</v>
      </c>
    </row>
    <row r="5726" spans="3:5" x14ac:dyDescent="0.25">
      <c r="C5726" t="s">
        <v>10234</v>
      </c>
      <c r="D5726" t="s">
        <v>10235</v>
      </c>
      <c r="E5726" t="str">
        <f>HYPERLINK("https://patents.google.com/patent/US20120323691A1/en")</f>
        <v>https://patents.google.com/patent/US20120323691A1/en</v>
      </c>
    </row>
    <row r="5727" spans="3:5" x14ac:dyDescent="0.25">
      <c r="C5727" t="s">
        <v>9643</v>
      </c>
      <c r="D5727" t="s">
        <v>10236</v>
      </c>
      <c r="E5727" t="str">
        <f>HYPERLINK("https://patents.google.com/patent/WO2002063602A1/en")</f>
        <v>https://patents.google.com/patent/WO2002063602A1/en</v>
      </c>
    </row>
    <row r="5728" spans="3:5" x14ac:dyDescent="0.25">
      <c r="C5728" t="s">
        <v>10237</v>
      </c>
      <c r="D5728" t="s">
        <v>10238</v>
      </c>
      <c r="E5728" t="str">
        <f>HYPERLINK("https://patents.google.com/patent/WO2009073830A1/en")</f>
        <v>https://patents.google.com/patent/WO2009073830A1/en</v>
      </c>
    </row>
    <row r="5729" spans="3:5" x14ac:dyDescent="0.25">
      <c r="C5729" t="s">
        <v>10239</v>
      </c>
      <c r="D5729" t="s">
        <v>10240</v>
      </c>
      <c r="E5729" t="str">
        <f>HYPERLINK("https://patents.google.com/patent/US20140279196A1/en")</f>
        <v>https://patents.google.com/patent/US20140279196A1/en</v>
      </c>
    </row>
    <row r="5730" spans="3:5" x14ac:dyDescent="0.25">
      <c r="C5730" t="s">
        <v>10241</v>
      </c>
      <c r="D5730" t="s">
        <v>10242</v>
      </c>
      <c r="E5730" t="str">
        <f>HYPERLINK("https://patents.google.com/patent/US20110017529A1/en")</f>
        <v>https://patents.google.com/patent/US20110017529A1/en</v>
      </c>
    </row>
    <row r="5731" spans="3:5" x14ac:dyDescent="0.25">
      <c r="C5731" t="s">
        <v>10243</v>
      </c>
      <c r="D5731" t="s">
        <v>10244</v>
      </c>
      <c r="E5731" t="str">
        <f>HYPERLINK("https://patents.google.com/patent/US20080103794A1/en")</f>
        <v>https://patents.google.com/patent/US20080103794A1/en</v>
      </c>
    </row>
    <row r="5732" spans="3:5" x14ac:dyDescent="0.25">
      <c r="C5732" t="s">
        <v>9886</v>
      </c>
      <c r="D5732" t="s">
        <v>10245</v>
      </c>
      <c r="E5732" t="str">
        <f>HYPERLINK("https://patents.google.com/patent/US20100049603A1/en")</f>
        <v>https://patents.google.com/patent/US20100049603A1/en</v>
      </c>
    </row>
    <row r="5733" spans="3:5" x14ac:dyDescent="0.25">
      <c r="C5733" t="s">
        <v>10246</v>
      </c>
      <c r="D5733" t="s">
        <v>10247</v>
      </c>
      <c r="E5733" t="str">
        <f>HYPERLINK("https://patents.google.com/patent/WO2014064432A1/en")</f>
        <v>https://patents.google.com/patent/WO2014064432A1/en</v>
      </c>
    </row>
    <row r="5734" spans="3:5" x14ac:dyDescent="0.25">
      <c r="C5734" t="s">
        <v>10248</v>
      </c>
      <c r="D5734" t="s">
        <v>10249</v>
      </c>
      <c r="E5734" t="str">
        <f>HYPERLINK("https://patents.google.com/patent/US4237341A/en")</f>
        <v>https://patents.google.com/patent/US4237341A/en</v>
      </c>
    </row>
    <row r="5735" spans="3:5" x14ac:dyDescent="0.25">
      <c r="C5735" t="s">
        <v>10250</v>
      </c>
      <c r="D5735" t="s">
        <v>10251</v>
      </c>
      <c r="E5735" t="str">
        <f>HYPERLINK("https://patents.google.com/patent/CN101592649A/en")</f>
        <v>https://patents.google.com/patent/CN101592649A/en</v>
      </c>
    </row>
    <row r="5736" spans="3:5" x14ac:dyDescent="0.25">
      <c r="C5736" t="s">
        <v>10252</v>
      </c>
      <c r="D5736" t="s">
        <v>10253</v>
      </c>
      <c r="E5736" t="str">
        <f>HYPERLINK("https://patents.google.com/patent/US20050047777A1/en")</f>
        <v>https://patents.google.com/patent/US20050047777A1/en</v>
      </c>
    </row>
    <row r="5737" spans="3:5" x14ac:dyDescent="0.25">
      <c r="C5737" t="s">
        <v>10254</v>
      </c>
      <c r="D5737" t="s">
        <v>10255</v>
      </c>
      <c r="E5737" t="str">
        <f>HYPERLINK("https://patents.google.com/patent/US20030236581A1/en")</f>
        <v>https://patents.google.com/patent/US20030236581A1/en</v>
      </c>
    </row>
    <row r="5738" spans="3:5" x14ac:dyDescent="0.25">
      <c r="C5738" t="s">
        <v>10256</v>
      </c>
      <c r="D5738" t="s">
        <v>10257</v>
      </c>
      <c r="E5738" t="str">
        <f>HYPERLINK("https://patents.google.com/patent/US20090018908A1/en")</f>
        <v>https://patents.google.com/patent/US20090018908A1/en</v>
      </c>
    </row>
    <row r="5739" spans="3:5" x14ac:dyDescent="0.25">
      <c r="C5739" t="s">
        <v>10258</v>
      </c>
      <c r="D5739" t="s">
        <v>10259</v>
      </c>
      <c r="E5739" t="str">
        <f>HYPERLINK("https://patents.google.com/patent/US20120226595A1/en")</f>
        <v>https://patents.google.com/patent/US20120226595A1/en</v>
      </c>
    </row>
    <row r="5740" spans="3:5" x14ac:dyDescent="0.25">
      <c r="C5740" t="s">
        <v>10260</v>
      </c>
      <c r="D5740" t="s">
        <v>10261</v>
      </c>
      <c r="E5740" t="str">
        <f>HYPERLINK("https://patents.google.com/patent/US20130341412A1/en")</f>
        <v>https://patents.google.com/patent/US20130341412A1/en</v>
      </c>
    </row>
    <row r="5741" spans="3:5" x14ac:dyDescent="0.25">
      <c r="C5741" t="s">
        <v>10262</v>
      </c>
      <c r="D5741" t="s">
        <v>10263</v>
      </c>
      <c r="E5741" t="str">
        <f>HYPERLINK("https://patents.google.com/patent/US3123766A/en")</f>
        <v>https://patents.google.com/patent/US3123766A/en</v>
      </c>
    </row>
    <row r="5742" spans="3:5" x14ac:dyDescent="0.25">
      <c r="C5742" t="s">
        <v>10264</v>
      </c>
      <c r="D5742" t="s">
        <v>10265</v>
      </c>
      <c r="E5742" t="str">
        <f>HYPERLINK("https://patents.google.com/patent/WO2009073828A1/en")</f>
        <v>https://patents.google.com/patent/WO2009073828A1/en</v>
      </c>
    </row>
    <row r="5743" spans="3:5" x14ac:dyDescent="0.25">
      <c r="C5743" t="s">
        <v>8266</v>
      </c>
      <c r="D5743" t="s">
        <v>10266</v>
      </c>
      <c r="E5743" t="str">
        <f>HYPERLINK("https://patents.google.com/patent/US7840277B2/en")</f>
        <v>https://patents.google.com/patent/US7840277B2/en</v>
      </c>
    </row>
    <row r="5744" spans="3:5" x14ac:dyDescent="0.25">
      <c r="C5744" t="s">
        <v>10267</v>
      </c>
      <c r="D5744" t="s">
        <v>10268</v>
      </c>
      <c r="E5744" t="str">
        <f>HYPERLINK("https://patents.google.com/patent/WO1996016491A1/en")</f>
        <v>https://patents.google.com/patent/WO1996016491A1/en</v>
      </c>
    </row>
    <row r="5745" spans="3:5" x14ac:dyDescent="0.25">
      <c r="C5745" t="s">
        <v>10269</v>
      </c>
      <c r="D5745" t="s">
        <v>10270</v>
      </c>
      <c r="E5745" t="str">
        <f>HYPERLINK("https://patents.google.com/patent/US20140138576A1/en")</f>
        <v>https://patents.google.com/patent/US20140138576A1/en</v>
      </c>
    </row>
    <row r="5746" spans="3:5" x14ac:dyDescent="0.25">
      <c r="C5746" t="s">
        <v>10271</v>
      </c>
      <c r="D5746" t="s">
        <v>10272</v>
      </c>
      <c r="E5746" t="str">
        <f>HYPERLINK("https://patents.google.com/patent/US20140229387A1/en")</f>
        <v>https://patents.google.com/patent/US20140229387A1/en</v>
      </c>
    </row>
    <row r="5747" spans="3:5" x14ac:dyDescent="0.25">
      <c r="C5747" t="s">
        <v>10273</v>
      </c>
      <c r="D5747" t="s">
        <v>10274</v>
      </c>
      <c r="E5747" t="str">
        <f>HYPERLINK("https://patents.google.com/patent/US20130325587A1/en")</f>
        <v>https://patents.google.com/patent/US20130325587A1/en</v>
      </c>
    </row>
    <row r="5748" spans="3:5" x14ac:dyDescent="0.25">
      <c r="C5748" t="s">
        <v>10144</v>
      </c>
      <c r="D5748" t="s">
        <v>10275</v>
      </c>
      <c r="E5748" t="str">
        <f>HYPERLINK("https://patents.google.com/patent/US20120066057A1/en")</f>
        <v>https://patents.google.com/patent/US20120066057A1/en</v>
      </c>
    </row>
    <row r="5749" spans="3:5" x14ac:dyDescent="0.25">
      <c r="C5749" t="s">
        <v>10276</v>
      </c>
      <c r="D5749" t="s">
        <v>10277</v>
      </c>
      <c r="E5749" t="str">
        <f>HYPERLINK("https://patents.google.com/patent/US20090119731A1/en")</f>
        <v>https://patents.google.com/patent/US20090119731A1/en</v>
      </c>
    </row>
    <row r="5750" spans="3:5" x14ac:dyDescent="0.25">
      <c r="C5750" t="s">
        <v>10278</v>
      </c>
      <c r="D5750" t="s">
        <v>10279</v>
      </c>
      <c r="E5750" t="str">
        <f>HYPERLINK("https://patents.google.com/patent/US20100177450A1/en")</f>
        <v>https://patents.google.com/patent/US20100177450A1/en</v>
      </c>
    </row>
    <row r="5751" spans="3:5" x14ac:dyDescent="0.25">
      <c r="C5751" t="s">
        <v>10280</v>
      </c>
      <c r="D5751" t="s">
        <v>10281</v>
      </c>
      <c r="E5751" t="str">
        <f>HYPERLINK("https://patents.google.com/patent/DE10236540A1/en")</f>
        <v>https://patents.google.com/patent/DE10236540A1/en</v>
      </c>
    </row>
    <row r="5752" spans="3:5" x14ac:dyDescent="0.25">
      <c r="C5752" t="s">
        <v>9717</v>
      </c>
      <c r="D5752" t="s">
        <v>10282</v>
      </c>
      <c r="E5752" t="str">
        <f>HYPERLINK("https://patents.google.com/patent/WO2001009782A2/en")</f>
        <v>https://patents.google.com/patent/WO2001009782A2/en</v>
      </c>
    </row>
    <row r="5753" spans="3:5" x14ac:dyDescent="0.25">
      <c r="C5753" t="s">
        <v>10283</v>
      </c>
      <c r="D5753" t="s">
        <v>10284</v>
      </c>
      <c r="E5753" t="str">
        <f>HYPERLINK("https://patents.google.com/patent/WO2000070481A1/en")</f>
        <v>https://patents.google.com/patent/WO2000070481A1/en</v>
      </c>
    </row>
    <row r="5754" spans="3:5" x14ac:dyDescent="0.25">
      <c r="C5754" t="s">
        <v>10192</v>
      </c>
      <c r="D5754" t="s">
        <v>10285</v>
      </c>
      <c r="E5754" t="str">
        <f>HYPERLINK("https://patents.google.com/patent/US7865420B1/en")</f>
        <v>https://patents.google.com/patent/US7865420B1/en</v>
      </c>
    </row>
    <row r="5755" spans="3:5" x14ac:dyDescent="0.25">
      <c r="C5755" t="s">
        <v>10286</v>
      </c>
      <c r="D5755" t="s">
        <v>10287</v>
      </c>
      <c r="E5755" t="str">
        <f>HYPERLINK("https://patents.google.com/patent/WO2009073832A1/en")</f>
        <v>https://patents.google.com/patent/WO2009073832A1/en</v>
      </c>
    </row>
    <row r="5756" spans="3:5" x14ac:dyDescent="0.25">
      <c r="C5756" t="s">
        <v>10288</v>
      </c>
      <c r="D5756" t="s">
        <v>10289</v>
      </c>
      <c r="E5756" t="str">
        <f>HYPERLINK("https://patents.google.com/patent/CN102052039A/en")</f>
        <v>https://patents.google.com/patent/CN102052039A/en</v>
      </c>
    </row>
    <row r="5757" spans="3:5" x14ac:dyDescent="0.25">
      <c r="C5757" t="s">
        <v>10290</v>
      </c>
      <c r="D5757" t="s">
        <v>10291</v>
      </c>
      <c r="E5757" t="str">
        <f>HYPERLINK("https://patents.google.com/patent/US20140372045A1/en")</f>
        <v>https://patents.google.com/patent/US20140372045A1/en</v>
      </c>
    </row>
    <row r="5758" spans="3:5" x14ac:dyDescent="0.25">
      <c r="C5758" t="s">
        <v>10292</v>
      </c>
      <c r="D5758" t="s">
        <v>10293</v>
      </c>
      <c r="E5758" t="str">
        <f>HYPERLINK("https://patents.google.com/patent/US20140196025A1/en")</f>
        <v>https://patents.google.com/patent/US20140196025A1/en</v>
      </c>
    </row>
    <row r="5759" spans="3:5" x14ac:dyDescent="0.25">
      <c r="C5759" t="s">
        <v>10294</v>
      </c>
      <c r="D5759" t="s">
        <v>10295</v>
      </c>
      <c r="E5759" t="str">
        <f>HYPERLINK("https://patents.google.com/patent/US7729350B2/en")</f>
        <v>https://patents.google.com/patent/US7729350B2/en</v>
      </c>
    </row>
    <row r="5760" spans="3:5" x14ac:dyDescent="0.25">
      <c r="C5760" t="s">
        <v>10296</v>
      </c>
      <c r="D5760" t="s">
        <v>10297</v>
      </c>
      <c r="E5760" t="str">
        <f>HYPERLINK("https://patents.google.com/patent/WO2009073824A1/en")</f>
        <v>https://patents.google.com/patent/WO2009073824A1/en</v>
      </c>
    </row>
    <row r="5761" spans="3:5" x14ac:dyDescent="0.25">
      <c r="C5761" t="s">
        <v>10298</v>
      </c>
      <c r="D5761" t="s">
        <v>10299</v>
      </c>
      <c r="E5761" t="str">
        <f>HYPERLINK("https://patents.google.com/patent/US20110099584A1/en")</f>
        <v>https://patents.google.com/patent/US20110099584A1/en</v>
      </c>
    </row>
    <row r="5762" spans="3:5" x14ac:dyDescent="0.25">
      <c r="C5762" t="s">
        <v>10300</v>
      </c>
      <c r="D5762" t="s">
        <v>10301</v>
      </c>
      <c r="E5762" t="str">
        <f>HYPERLINK("https://patents.google.com/patent/WO2009076178A1/en")</f>
        <v>https://patents.google.com/patent/WO2009076178A1/en</v>
      </c>
    </row>
    <row r="5763" spans="3:5" x14ac:dyDescent="0.25">
      <c r="C5763" t="s">
        <v>10302</v>
      </c>
      <c r="D5763" t="s">
        <v>10303</v>
      </c>
      <c r="E5763" t="str">
        <f>HYPERLINK("https://patents.google.com/patent/US20020091756A1/en")</f>
        <v>https://patents.google.com/patent/US20020091756A1/en</v>
      </c>
    </row>
    <row r="5764" spans="3:5" x14ac:dyDescent="0.25">
      <c r="C5764" t="s">
        <v>10304</v>
      </c>
      <c r="D5764" t="s">
        <v>10305</v>
      </c>
      <c r="E5764" t="str">
        <f>HYPERLINK("https://patents.google.com/patent/WO2009073831A1/en")</f>
        <v>https://patents.google.com/patent/WO2009073831A1/en</v>
      </c>
    </row>
    <row r="5765" spans="3:5" x14ac:dyDescent="0.25">
      <c r="C5765" t="s">
        <v>10306</v>
      </c>
      <c r="D5765" t="s">
        <v>10307</v>
      </c>
      <c r="E5765" t="str">
        <f>HYPERLINK("https://patents.google.com/patent/US20060182153A1/en")</f>
        <v>https://patents.google.com/patent/US20060182153A1/en</v>
      </c>
    </row>
    <row r="5766" spans="3:5" x14ac:dyDescent="0.25">
      <c r="C5766" t="s">
        <v>10308</v>
      </c>
      <c r="D5766" t="s">
        <v>10309</v>
      </c>
      <c r="E5766" t="str">
        <f>HYPERLINK("https://patents.google.com/patent/WO2009073827A1/en")</f>
        <v>https://patents.google.com/patent/WO2009073827A1/en</v>
      </c>
    </row>
    <row r="5767" spans="3:5" x14ac:dyDescent="0.25">
      <c r="C5767" t="s">
        <v>10310</v>
      </c>
      <c r="D5767" t="s">
        <v>10311</v>
      </c>
      <c r="E5767" t="str">
        <f>HYPERLINK("https://patents.google.com/patent/WO2009073833A1/en")</f>
        <v>https://patents.google.com/patent/WO2009073833A1/en</v>
      </c>
    </row>
    <row r="5768" spans="3:5" x14ac:dyDescent="0.25">
      <c r="C5768" t="s">
        <v>10312</v>
      </c>
      <c r="D5768" t="s">
        <v>10313</v>
      </c>
      <c r="E5768" t="str">
        <f>HYPERLINK("https://patents.google.com/patent/WO2009073823A1/en")</f>
        <v>https://patents.google.com/patent/WO2009073823A1/en</v>
      </c>
    </row>
    <row r="5769" spans="3:5" x14ac:dyDescent="0.25">
      <c r="C5769" t="s">
        <v>10314</v>
      </c>
      <c r="D5769" t="s">
        <v>10315</v>
      </c>
      <c r="E5769" t="str">
        <f>HYPERLINK("https://patents.google.com/patent/WO2009073826A1/en")</f>
        <v>https://patents.google.com/patent/WO2009073826A1/en</v>
      </c>
    </row>
    <row r="5770" spans="3:5" x14ac:dyDescent="0.25">
      <c r="C5770" t="s">
        <v>10316</v>
      </c>
      <c r="D5770" t="s">
        <v>10317</v>
      </c>
      <c r="E5770" t="str">
        <f>HYPERLINK("https://patents.google.com/patent/CN101105119A/en")</f>
        <v>https://patents.google.com/patent/CN101105119A/en</v>
      </c>
    </row>
    <row r="5771" spans="3:5" x14ac:dyDescent="0.25">
      <c r="C5771" t="s">
        <v>10318</v>
      </c>
      <c r="D5771" t="s">
        <v>10319</v>
      </c>
      <c r="E5771" t="str">
        <f>HYPERLINK("https://patents.google.com/patent/WO2012141985A2/en")</f>
        <v>https://patents.google.com/patent/WO2012141985A2/en</v>
      </c>
    </row>
    <row r="5772" spans="3:5" x14ac:dyDescent="0.25">
      <c r="C5772" t="s">
        <v>10320</v>
      </c>
      <c r="D5772" t="s">
        <v>10321</v>
      </c>
      <c r="E5772" t="str">
        <f>HYPERLINK("https://patents.google.com/patent/US7490572B2/en")</f>
        <v>https://patents.google.com/patent/US7490572B2/en</v>
      </c>
    </row>
    <row r="5773" spans="3:5" x14ac:dyDescent="0.25">
      <c r="C5773" t="s">
        <v>10322</v>
      </c>
      <c r="D5773" t="s">
        <v>10323</v>
      </c>
      <c r="E5773" t="str">
        <f>HYPERLINK("https://patents.google.com/patent/US20110145076A1/en")</f>
        <v>https://patents.google.com/patent/US20110145076A1/en</v>
      </c>
    </row>
    <row r="5774" spans="3:5" x14ac:dyDescent="0.25">
      <c r="C5774" t="s">
        <v>10324</v>
      </c>
      <c r="D5774" t="s">
        <v>10325</v>
      </c>
      <c r="E5774" t="str">
        <f>HYPERLINK("https://patents.google.com/patent/US3875350A/en")</f>
        <v>https://patents.google.com/patent/US3875350A/en</v>
      </c>
    </row>
    <row r="5775" spans="3:5" x14ac:dyDescent="0.25">
      <c r="C5775" t="s">
        <v>10326</v>
      </c>
      <c r="D5775" t="s">
        <v>10327</v>
      </c>
      <c r="E5775" t="str">
        <f>HYPERLINK("https://patents.google.com/patent/WO2009073825A1/en")</f>
        <v>https://patents.google.com/patent/WO2009073825A1/en</v>
      </c>
    </row>
    <row r="5776" spans="3:5" x14ac:dyDescent="0.25">
      <c r="C5776" t="s">
        <v>10328</v>
      </c>
      <c r="D5776" t="s">
        <v>10329</v>
      </c>
      <c r="E5776" t="str">
        <f>HYPERLINK("https://patents.google.com/patent/US20140288932A1/en")</f>
        <v>https://patents.google.com/patent/US20140288932A1/en</v>
      </c>
    </row>
    <row r="5777" spans="3:5" x14ac:dyDescent="0.25">
      <c r="C5777" t="s">
        <v>10330</v>
      </c>
      <c r="D5777" t="s">
        <v>10331</v>
      </c>
      <c r="E5777" t="str">
        <f>HYPERLINK("https://patents.google.com/patent/US20120238021A1/en")</f>
        <v>https://patents.google.com/patent/US20120238021A1/en</v>
      </c>
    </row>
    <row r="5778" spans="3:5" x14ac:dyDescent="0.25">
      <c r="C5778" t="s">
        <v>8521</v>
      </c>
      <c r="D5778" t="s">
        <v>10332</v>
      </c>
      <c r="E5778" t="str">
        <f>HYPERLINK("https://patents.google.com/patent/US20150220835A1/en")</f>
        <v>https://patents.google.com/patent/US20150220835A1/en</v>
      </c>
    </row>
    <row r="5779" spans="3:5" x14ac:dyDescent="0.25">
      <c r="C5779" t="s">
        <v>10333</v>
      </c>
      <c r="D5779" t="s">
        <v>10334</v>
      </c>
      <c r="E5779" t="str">
        <f>HYPERLINK("https://patents.google.com/patent/US20110298396A1/en")</f>
        <v>https://patents.google.com/patent/US20110298396A1/en</v>
      </c>
    </row>
    <row r="5780" spans="3:5" x14ac:dyDescent="0.25">
      <c r="C5780" t="s">
        <v>10335</v>
      </c>
      <c r="D5780" t="s">
        <v>10336</v>
      </c>
      <c r="E5780" t="str">
        <f>HYPERLINK("https://patents.google.com/patent/US20030235316A1/en")</f>
        <v>https://patents.google.com/patent/US20030235316A1/en</v>
      </c>
    </row>
    <row r="5781" spans="3:5" x14ac:dyDescent="0.25">
      <c r="C5781" t="s">
        <v>10337</v>
      </c>
      <c r="D5781" t="s">
        <v>10338</v>
      </c>
      <c r="E5781" t="str">
        <f>HYPERLINK("https://patents.google.com/patent/RU2060540C1/en")</f>
        <v>https://patents.google.com/patent/RU2060540C1/en</v>
      </c>
    </row>
    <row r="5782" spans="3:5" x14ac:dyDescent="0.25">
      <c r="C5782" t="s">
        <v>10339</v>
      </c>
      <c r="D5782" t="s">
        <v>10340</v>
      </c>
      <c r="E5782" t="str">
        <f>HYPERLINK("https://patents.google.com/patent/EP0787996A1/en")</f>
        <v>https://patents.google.com/patent/EP0787996A1/en</v>
      </c>
    </row>
    <row r="5783" spans="3:5" x14ac:dyDescent="0.25">
      <c r="C5783" t="s">
        <v>10341</v>
      </c>
      <c r="D5783" t="s">
        <v>10342</v>
      </c>
      <c r="E5783" t="str">
        <f>HYPERLINK("https://patents.google.com/patent/US20130179178A1/en")</f>
        <v>https://patents.google.com/patent/US20130179178A1/en</v>
      </c>
    </row>
    <row r="5784" spans="3:5" x14ac:dyDescent="0.25">
      <c r="C5784" t="s">
        <v>10343</v>
      </c>
      <c r="D5784" t="s">
        <v>10344</v>
      </c>
      <c r="E5784" t="str">
        <f>HYPERLINK("https://patents.google.com/patent/US20130325681A1/en")</f>
        <v>https://patents.google.com/patent/US20130325681A1/en</v>
      </c>
    </row>
    <row r="5785" spans="3:5" x14ac:dyDescent="0.25">
      <c r="C5785" t="s">
        <v>10345</v>
      </c>
      <c r="D5785" t="s">
        <v>10346</v>
      </c>
      <c r="E5785" t="str">
        <f>HYPERLINK("https://patents.google.com/patent/US20140089449A1/en")</f>
        <v>https://patents.google.com/patent/US20140089449A1/en</v>
      </c>
    </row>
    <row r="5786" spans="3:5" x14ac:dyDescent="0.25">
      <c r="C5786" t="s">
        <v>10347</v>
      </c>
      <c r="D5786" t="s">
        <v>10348</v>
      </c>
      <c r="E5786" t="str">
        <f>HYPERLINK("https://patents.google.com/patent/WO2000062542A1/en")</f>
        <v>https://patents.google.com/patent/WO2000062542A1/en</v>
      </c>
    </row>
    <row r="5787" spans="3:5" x14ac:dyDescent="0.25">
      <c r="C5787" t="s">
        <v>10349</v>
      </c>
      <c r="D5787" t="s">
        <v>10350</v>
      </c>
      <c r="E5787" t="str">
        <f>HYPERLINK("https://patents.google.com/patent/US20160036835A1/en")</f>
        <v>https://patents.google.com/patent/US20160036835A1/en</v>
      </c>
    </row>
    <row r="5788" spans="3:5" x14ac:dyDescent="0.25">
      <c r="C5788" t="s">
        <v>10351</v>
      </c>
      <c r="D5788" t="s">
        <v>10352</v>
      </c>
      <c r="E5788" t="str">
        <f>HYPERLINK("https://patents.google.com/patent/CN2364441Y/en")</f>
        <v>https://patents.google.com/patent/CN2364441Y/en</v>
      </c>
    </row>
    <row r="5789" spans="3:5" x14ac:dyDescent="0.25">
      <c r="C5789" t="s">
        <v>10353</v>
      </c>
      <c r="D5789" t="s">
        <v>10354</v>
      </c>
      <c r="E5789" t="str">
        <f>HYPERLINK("https://patents.google.com/patent/KR20070032627A/en")</f>
        <v>https://patents.google.com/patent/KR20070032627A/en</v>
      </c>
    </row>
    <row r="5790" spans="3:5" x14ac:dyDescent="0.25">
      <c r="C5790" t="s">
        <v>9764</v>
      </c>
      <c r="D5790" t="s">
        <v>10355</v>
      </c>
      <c r="E5790" t="str">
        <f>HYPERLINK("https://patents.google.com/patent/WO2001054476A2/en")</f>
        <v>https://patents.google.com/patent/WO2001054476A2/en</v>
      </c>
    </row>
    <row r="5791" spans="3:5" x14ac:dyDescent="0.25">
      <c r="C5791" t="s">
        <v>10356</v>
      </c>
      <c r="D5791" t="s">
        <v>10357</v>
      </c>
      <c r="E5791" t="str">
        <f>HYPERLINK("https://patents.google.com/patent/US20140025573A1/en")</f>
        <v>https://patents.google.com/patent/US20140025573A1/en</v>
      </c>
    </row>
    <row r="5792" spans="3:5" x14ac:dyDescent="0.25">
      <c r="C5792" t="s">
        <v>10358</v>
      </c>
      <c r="D5792" t="s">
        <v>10359</v>
      </c>
      <c r="E5792" t="str">
        <f>HYPERLINK("https://patents.google.com/patent/CN105187771A/en")</f>
        <v>https://patents.google.com/patent/CN105187771A/en</v>
      </c>
    </row>
    <row r="5793" spans="1:5" x14ac:dyDescent="0.25">
      <c r="C5793" t="s">
        <v>10360</v>
      </c>
      <c r="D5793" t="s">
        <v>10361</v>
      </c>
      <c r="E5793" t="str">
        <f>HYPERLINK("https://patents.google.com/patent/US20150067135A1/en")</f>
        <v>https://patents.google.com/patent/US20150067135A1/en</v>
      </c>
    </row>
    <row r="5794" spans="1:5" x14ac:dyDescent="0.25">
      <c r="C5794" t="s">
        <v>10362</v>
      </c>
      <c r="D5794" t="s">
        <v>10363</v>
      </c>
      <c r="E5794" t="str">
        <f>HYPERLINK("https://patents.google.com/patent/US20130338970A1/en")</f>
        <v>https://patents.google.com/patent/US20130338970A1/en</v>
      </c>
    </row>
    <row r="5795" spans="1:5" x14ac:dyDescent="0.25">
      <c r="C5795" t="s">
        <v>10364</v>
      </c>
      <c r="D5795" t="s">
        <v>10365</v>
      </c>
      <c r="E5795" t="str">
        <f>HYPERLINK("https://patents.google.com/patent/CN1457587A/en")</f>
        <v>https://patents.google.com/patent/CN1457587A/en</v>
      </c>
    </row>
    <row r="5796" spans="1:5" x14ac:dyDescent="0.25">
      <c r="C5796" t="s">
        <v>10366</v>
      </c>
      <c r="D5796" t="s">
        <v>10367</v>
      </c>
      <c r="E5796" t="str">
        <f>HYPERLINK("https://patents.google.com/patent/US20160019423A1/en")</f>
        <v>https://patents.google.com/patent/US20160019423A1/en</v>
      </c>
    </row>
    <row r="5797" spans="1:5" x14ac:dyDescent="0.25">
      <c r="C5797" t="s">
        <v>10368</v>
      </c>
      <c r="D5797" t="s">
        <v>10369</v>
      </c>
      <c r="E5797" t="str">
        <f>HYPERLINK("https://patents.google.com/patent/US20160191815A1/en")</f>
        <v>https://patents.google.com/patent/US20160191815A1/en</v>
      </c>
    </row>
    <row r="5798" spans="1:5" x14ac:dyDescent="0.25">
      <c r="A5798" t="s">
        <v>1154</v>
      </c>
      <c r="B5798">
        <v>732</v>
      </c>
    </row>
    <row r="5799" spans="1:5" x14ac:dyDescent="0.25">
      <c r="C5799" t="s">
        <v>4448</v>
      </c>
      <c r="D5799" t="s">
        <v>10370</v>
      </c>
      <c r="E5799" t="str">
        <f>HYPERLINK("https://patents.google.com/patent/US20100117426A1/en")</f>
        <v>https://patents.google.com/patent/US20100117426A1/en</v>
      </c>
    </row>
    <row r="5800" spans="1:5" x14ac:dyDescent="0.25">
      <c r="C5800" t="s">
        <v>10371</v>
      </c>
      <c r="D5800" t="s">
        <v>10372</v>
      </c>
      <c r="E5800" t="str">
        <f>HYPERLINK("https://patents.google.com/patent/US20170106931A1/en")</f>
        <v>https://patents.google.com/patent/US20170106931A1/en</v>
      </c>
    </row>
    <row r="5801" spans="1:5" x14ac:dyDescent="0.25">
      <c r="C5801" t="s">
        <v>10373</v>
      </c>
      <c r="D5801" t="s">
        <v>10374</v>
      </c>
      <c r="E5801" t="str">
        <f>HYPERLINK("https://patents.google.com/patent/CN201187039Y/en")</f>
        <v>https://patents.google.com/patent/CN201187039Y/en</v>
      </c>
    </row>
    <row r="5802" spans="1:5" x14ac:dyDescent="0.25">
      <c r="C5802" t="s">
        <v>10375</v>
      </c>
      <c r="D5802" t="s">
        <v>10376</v>
      </c>
      <c r="E5802" t="str">
        <f>HYPERLINK("https://patents.google.com/patent/CN102162231A/en")</f>
        <v>https://patents.google.com/patent/CN102162231A/en</v>
      </c>
    </row>
    <row r="5803" spans="1:5" x14ac:dyDescent="0.25">
      <c r="C5803" t="s">
        <v>10377</v>
      </c>
      <c r="D5803" t="s">
        <v>10378</v>
      </c>
      <c r="E5803" t="str">
        <f>HYPERLINK("https://patents.google.com/patent/CN202746888U/en")</f>
        <v>https://patents.google.com/patent/CN202746888U/en</v>
      </c>
    </row>
    <row r="5804" spans="1:5" x14ac:dyDescent="0.25">
      <c r="C5804" t="s">
        <v>10379</v>
      </c>
      <c r="D5804" t="s">
        <v>10380</v>
      </c>
      <c r="E5804" t="str">
        <f>HYPERLINK("https://patents.google.com/patent/CN202829168U/en")</f>
        <v>https://patents.google.com/patent/CN202829168U/en</v>
      </c>
    </row>
    <row r="5805" spans="1:5" x14ac:dyDescent="0.25">
      <c r="C5805" t="s">
        <v>10381</v>
      </c>
      <c r="D5805" t="s">
        <v>10382</v>
      </c>
      <c r="E5805" t="str">
        <f>HYPERLINK("https://patents.google.com/patent/CN201993278U/en")</f>
        <v>https://patents.google.com/patent/CN201993278U/en</v>
      </c>
    </row>
    <row r="5806" spans="1:5" x14ac:dyDescent="0.25">
      <c r="C5806" t="s">
        <v>10383</v>
      </c>
      <c r="D5806" t="s">
        <v>10384</v>
      </c>
      <c r="E5806" t="str">
        <f>HYPERLINK("https://patents.google.com/patent/CN103608254A/en")</f>
        <v>https://patents.google.com/patent/CN103608254A/en</v>
      </c>
    </row>
    <row r="5807" spans="1:5" x14ac:dyDescent="0.25">
      <c r="C5807" t="s">
        <v>10385</v>
      </c>
      <c r="D5807" t="s">
        <v>10386</v>
      </c>
      <c r="E5807" t="str">
        <f>HYPERLINK("https://patents.google.com/patent/CN203658644U/en")</f>
        <v>https://patents.google.com/patent/CN203658644U/en</v>
      </c>
    </row>
    <row r="5808" spans="1:5" x14ac:dyDescent="0.25">
      <c r="C5808" t="s">
        <v>10387</v>
      </c>
      <c r="D5808" t="s">
        <v>10388</v>
      </c>
      <c r="E5808" t="str">
        <f>HYPERLINK("https://patents.google.com/patent/CN201406635Y/en")</f>
        <v>https://patents.google.com/patent/CN201406635Y/en</v>
      </c>
    </row>
    <row r="5809" spans="3:5" x14ac:dyDescent="0.25">
      <c r="C5809" t="s">
        <v>10389</v>
      </c>
      <c r="D5809" t="s">
        <v>10390</v>
      </c>
      <c r="E5809" t="str">
        <f>HYPERLINK("https://patents.google.com/patent/CN201351262Y/en")</f>
        <v>https://patents.google.com/patent/CN201351262Y/en</v>
      </c>
    </row>
    <row r="5810" spans="3:5" x14ac:dyDescent="0.25">
      <c r="C5810" t="s">
        <v>10391</v>
      </c>
      <c r="D5810" t="s">
        <v>10392</v>
      </c>
      <c r="E5810" t="str">
        <f>HYPERLINK("https://patents.google.com/patent/FR2473028A1/en")</f>
        <v>https://patents.google.com/patent/FR2473028A1/en</v>
      </c>
    </row>
    <row r="5811" spans="3:5" x14ac:dyDescent="0.25">
      <c r="C5811" t="s">
        <v>10393</v>
      </c>
      <c r="D5811" t="s">
        <v>10394</v>
      </c>
      <c r="E5811" t="str">
        <f>HYPERLINK("https://patents.google.com/patent/CN2355001Y/en")</f>
        <v>https://patents.google.com/patent/CN2355001Y/en</v>
      </c>
    </row>
    <row r="5812" spans="3:5" x14ac:dyDescent="0.25">
      <c r="C5812" t="s">
        <v>10395</v>
      </c>
      <c r="D5812" t="s">
        <v>10396</v>
      </c>
      <c r="E5812" t="str">
        <f>HYPERLINK("https://patents.google.com/patent/CN202614685U/en")</f>
        <v>https://patents.google.com/patent/CN202614685U/en</v>
      </c>
    </row>
    <row r="5813" spans="3:5" x14ac:dyDescent="0.25">
      <c r="C5813" t="s">
        <v>10397</v>
      </c>
      <c r="D5813" t="s">
        <v>10398</v>
      </c>
      <c r="E5813" t="str">
        <f>HYPERLINK("https://patents.google.com/patent/CN204276024U/en")</f>
        <v>https://patents.google.com/patent/CN204276024U/en</v>
      </c>
    </row>
    <row r="5814" spans="3:5" x14ac:dyDescent="0.25">
      <c r="C5814" t="s">
        <v>10399</v>
      </c>
      <c r="D5814" t="s">
        <v>10400</v>
      </c>
      <c r="E5814" t="str">
        <f>HYPERLINK("https://patents.google.com/patent/US20170088212A1/en")</f>
        <v>https://patents.google.com/patent/US20170088212A1/en</v>
      </c>
    </row>
    <row r="5815" spans="3:5" x14ac:dyDescent="0.25">
      <c r="C5815" t="s">
        <v>10401</v>
      </c>
      <c r="D5815" t="s">
        <v>10402</v>
      </c>
      <c r="E5815" t="str">
        <f>HYPERLINK("https://patents.google.com/patent/US9937973B2/en")</f>
        <v>https://patents.google.com/patent/US9937973B2/en</v>
      </c>
    </row>
    <row r="5816" spans="3:5" x14ac:dyDescent="0.25">
      <c r="C5816" t="s">
        <v>10403</v>
      </c>
      <c r="D5816" t="s">
        <v>10404</v>
      </c>
      <c r="E5816" t="str">
        <f>HYPERLINK("https://patents.google.com/patent/KR101004328B1/en")</f>
        <v>https://patents.google.com/patent/KR101004328B1/en</v>
      </c>
    </row>
    <row r="5817" spans="3:5" x14ac:dyDescent="0.25">
      <c r="C5817" t="s">
        <v>10405</v>
      </c>
      <c r="D5817" t="s">
        <v>10406</v>
      </c>
      <c r="E5817" t="str">
        <f>HYPERLINK("https://patents.google.com/patent/US20170240240A1/en")</f>
        <v>https://patents.google.com/patent/US20170240240A1/en</v>
      </c>
    </row>
    <row r="5818" spans="3:5" x14ac:dyDescent="0.25">
      <c r="C5818" t="s">
        <v>10407</v>
      </c>
      <c r="D5818" t="s">
        <v>10408</v>
      </c>
      <c r="E5818" t="str">
        <f>HYPERLINK("https://patents.google.com/patent/US9707470B2/en")</f>
        <v>https://patents.google.com/patent/US9707470B2/en</v>
      </c>
    </row>
    <row r="5819" spans="3:5" x14ac:dyDescent="0.25">
      <c r="C5819" t="s">
        <v>10409</v>
      </c>
      <c r="D5819" t="s">
        <v>10410</v>
      </c>
      <c r="E5819" t="str">
        <f>HYPERLINK("https://patents.google.com/patent/US20150239557A1/en")</f>
        <v>https://patents.google.com/patent/US20150239557A1/en</v>
      </c>
    </row>
    <row r="5820" spans="3:5" x14ac:dyDescent="0.25">
      <c r="C5820" t="s">
        <v>10411</v>
      </c>
      <c r="D5820" t="s">
        <v>10412</v>
      </c>
      <c r="E5820" t="str">
        <f>HYPERLINK("https://patents.google.com/patent/CN101691127A/en")</f>
        <v>https://patents.google.com/patent/CN101691127A/en</v>
      </c>
    </row>
    <row r="5821" spans="3:5" x14ac:dyDescent="0.25">
      <c r="C5821" t="s">
        <v>10413</v>
      </c>
      <c r="D5821" t="s">
        <v>10414</v>
      </c>
      <c r="E5821" t="str">
        <f>HYPERLINK("https://patents.google.com/patent/CN2579868Y/en")</f>
        <v>https://patents.google.com/patent/CN2579868Y/en</v>
      </c>
    </row>
    <row r="5822" spans="3:5" x14ac:dyDescent="0.25">
      <c r="C5822" t="s">
        <v>10415</v>
      </c>
      <c r="D5822" t="s">
        <v>10416</v>
      </c>
      <c r="E5822" t="str">
        <f>HYPERLINK("https://patents.google.com/patent/CN102080760A/en")</f>
        <v>https://patents.google.com/patent/CN102080760A/en</v>
      </c>
    </row>
    <row r="5823" spans="3:5" x14ac:dyDescent="0.25">
      <c r="C5823" t="s">
        <v>10417</v>
      </c>
      <c r="D5823" t="s">
        <v>10418</v>
      </c>
      <c r="E5823" t="str">
        <f>HYPERLINK("https://patents.google.com/patent/CN201730055U/en")</f>
        <v>https://patents.google.com/patent/CN201730055U/en</v>
      </c>
    </row>
    <row r="5824" spans="3:5" x14ac:dyDescent="0.25">
      <c r="C5824" t="s">
        <v>10419</v>
      </c>
      <c r="D5824" t="s">
        <v>10420</v>
      </c>
      <c r="E5824" t="str">
        <f>HYPERLINK("https://patents.google.com/patent/CN104554647A/en")</f>
        <v>https://patents.google.com/patent/CN104554647A/en</v>
      </c>
    </row>
    <row r="5825" spans="3:5" x14ac:dyDescent="0.25">
      <c r="C5825" t="s">
        <v>10421</v>
      </c>
      <c r="D5825" t="s">
        <v>10422</v>
      </c>
      <c r="E5825" t="str">
        <f>HYPERLINK("https://patents.google.com/patent/CN100570374C/en")</f>
        <v>https://patents.google.com/patent/CN100570374C/en</v>
      </c>
    </row>
    <row r="5826" spans="3:5" x14ac:dyDescent="0.25">
      <c r="C5826" t="s">
        <v>10423</v>
      </c>
      <c r="D5826" t="s">
        <v>10424</v>
      </c>
      <c r="E5826" t="str">
        <f>HYPERLINK("https://patents.google.com/patent/CN204373897U/en")</f>
        <v>https://patents.google.com/patent/CN204373897U/en</v>
      </c>
    </row>
    <row r="5827" spans="3:5" x14ac:dyDescent="0.25">
      <c r="C5827" t="s">
        <v>10425</v>
      </c>
      <c r="D5827" t="s">
        <v>10426</v>
      </c>
      <c r="E5827" t="str">
        <f>HYPERLINK("https://patents.google.com/patent/CN207659040U/en")</f>
        <v>https://patents.google.com/patent/CN207659040U/en</v>
      </c>
    </row>
    <row r="5828" spans="3:5" x14ac:dyDescent="0.25">
      <c r="C5828" t="s">
        <v>10427</v>
      </c>
      <c r="D5828" t="s">
        <v>10428</v>
      </c>
      <c r="E5828" t="str">
        <f>HYPERLINK("https://patents.google.com/patent/CN202337351U/en")</f>
        <v>https://patents.google.com/patent/CN202337351U/en</v>
      </c>
    </row>
    <row r="5829" spans="3:5" x14ac:dyDescent="0.25">
      <c r="C5829" t="s">
        <v>10429</v>
      </c>
      <c r="D5829" t="s">
        <v>10430</v>
      </c>
      <c r="E5829" t="str">
        <f>HYPERLINK("https://patents.google.com/patent/KR20100012067A/en")</f>
        <v>https://patents.google.com/patent/KR20100012067A/en</v>
      </c>
    </row>
    <row r="5830" spans="3:5" x14ac:dyDescent="0.25">
      <c r="C5830" t="s">
        <v>10431</v>
      </c>
      <c r="D5830" t="s">
        <v>10432</v>
      </c>
      <c r="E5830" t="str">
        <f>HYPERLINK("https://patents.google.com/patent/CN2571998Y/en")</f>
        <v>https://patents.google.com/patent/CN2571998Y/en</v>
      </c>
    </row>
    <row r="5831" spans="3:5" x14ac:dyDescent="0.25">
      <c r="C5831" t="s">
        <v>4391</v>
      </c>
      <c r="D5831" t="s">
        <v>10433</v>
      </c>
      <c r="E5831" t="str">
        <f>HYPERLINK("https://patents.google.com/patent/US8584782B2/en")</f>
        <v>https://patents.google.com/patent/US8584782B2/en</v>
      </c>
    </row>
    <row r="5832" spans="3:5" x14ac:dyDescent="0.25">
      <c r="C5832" t="s">
        <v>10434</v>
      </c>
      <c r="D5832" t="s">
        <v>10435</v>
      </c>
      <c r="E5832" t="str">
        <f>HYPERLINK("https://patents.google.com/patent/CN204264427U/en")</f>
        <v>https://patents.google.com/patent/CN204264427U/en</v>
      </c>
    </row>
    <row r="5833" spans="3:5" x14ac:dyDescent="0.25">
      <c r="C5833" t="s">
        <v>10436</v>
      </c>
      <c r="D5833" t="s">
        <v>10437</v>
      </c>
      <c r="E5833" t="str">
        <f>HYPERLINK("https://patents.google.com/patent/CN101260651A/en")</f>
        <v>https://patents.google.com/patent/CN101260651A/en</v>
      </c>
    </row>
    <row r="5834" spans="3:5" x14ac:dyDescent="0.25">
      <c r="C5834" t="s">
        <v>10438</v>
      </c>
      <c r="D5834" t="s">
        <v>10439</v>
      </c>
      <c r="E5834" t="str">
        <f>HYPERLINK("https://patents.google.com/patent/CN103498919A/en")</f>
        <v>https://patents.google.com/patent/CN103498919A/en</v>
      </c>
    </row>
    <row r="5835" spans="3:5" x14ac:dyDescent="0.25">
      <c r="C5835" t="s">
        <v>10440</v>
      </c>
      <c r="D5835" t="s">
        <v>10441</v>
      </c>
      <c r="E5835" t="str">
        <f>HYPERLINK("https://patents.google.com/patent/CN102658858A/en")</f>
        <v>https://patents.google.com/patent/CN102658858A/en</v>
      </c>
    </row>
    <row r="5836" spans="3:5" x14ac:dyDescent="0.25">
      <c r="C5836" t="s">
        <v>10442</v>
      </c>
      <c r="D5836" t="s">
        <v>10443</v>
      </c>
      <c r="E5836" t="str">
        <f>HYPERLINK("https://patents.google.com/patent/CN2550498Y/en")</f>
        <v>https://patents.google.com/patent/CN2550498Y/en</v>
      </c>
    </row>
    <row r="5837" spans="3:5" x14ac:dyDescent="0.25">
      <c r="C5837" t="s">
        <v>10444</v>
      </c>
      <c r="D5837" t="s">
        <v>10445</v>
      </c>
      <c r="E5837" t="str">
        <f>HYPERLINK("https://patents.google.com/patent/CN2342365Y/en")</f>
        <v>https://patents.google.com/patent/CN2342365Y/en</v>
      </c>
    </row>
    <row r="5838" spans="3:5" x14ac:dyDescent="0.25">
      <c r="C5838" t="s">
        <v>10446</v>
      </c>
      <c r="D5838" t="s">
        <v>10447</v>
      </c>
      <c r="E5838" t="str">
        <f>HYPERLINK("https://patents.google.com/patent/CN202090366U/en")</f>
        <v>https://patents.google.com/patent/CN202090366U/en</v>
      </c>
    </row>
    <row r="5839" spans="3:5" x14ac:dyDescent="0.25">
      <c r="C5839" t="s">
        <v>10448</v>
      </c>
      <c r="D5839" t="s">
        <v>10449</v>
      </c>
      <c r="E5839" t="str">
        <f>HYPERLINK("https://patents.google.com/patent/CN2637718Y/en")</f>
        <v>https://patents.google.com/patent/CN2637718Y/en</v>
      </c>
    </row>
    <row r="5840" spans="3:5" x14ac:dyDescent="0.25">
      <c r="C5840" t="s">
        <v>10450</v>
      </c>
      <c r="D5840" t="s">
        <v>10451</v>
      </c>
      <c r="E5840" t="str">
        <f>HYPERLINK("https://patents.google.com/patent/US9999827B2/en")</f>
        <v>https://patents.google.com/patent/US9999827B2/en</v>
      </c>
    </row>
    <row r="5841" spans="3:5" x14ac:dyDescent="0.25">
      <c r="C5841" t="s">
        <v>10452</v>
      </c>
      <c r="D5841" t="s">
        <v>10453</v>
      </c>
      <c r="E5841" t="str">
        <f>HYPERLINK("https://patents.google.com/patent/US10058765B2/en")</f>
        <v>https://patents.google.com/patent/US10058765B2/en</v>
      </c>
    </row>
    <row r="5842" spans="3:5" x14ac:dyDescent="0.25">
      <c r="C5842" t="s">
        <v>10454</v>
      </c>
      <c r="D5842" t="s">
        <v>10455</v>
      </c>
      <c r="E5842" t="str">
        <f>HYPERLINK("https://patents.google.com/patent/US10065103B2/en")</f>
        <v>https://patents.google.com/patent/US10065103B2/en</v>
      </c>
    </row>
    <row r="5843" spans="3:5" x14ac:dyDescent="0.25">
      <c r="C5843" t="s">
        <v>10456</v>
      </c>
      <c r="D5843" t="s">
        <v>10457</v>
      </c>
      <c r="E5843" t="str">
        <f>HYPERLINK("https://patents.google.com/patent/CN204900526U/en")</f>
        <v>https://patents.google.com/patent/CN204900526U/en</v>
      </c>
    </row>
    <row r="5844" spans="3:5" x14ac:dyDescent="0.25">
      <c r="C5844" t="s">
        <v>10458</v>
      </c>
      <c r="D5844" t="s">
        <v>10459</v>
      </c>
      <c r="E5844" t="str">
        <f>HYPERLINK("https://patents.google.com/patent/CN103033385A/en")</f>
        <v>https://patents.google.com/patent/CN103033385A/en</v>
      </c>
    </row>
    <row r="5845" spans="3:5" x14ac:dyDescent="0.25">
      <c r="C5845" t="s">
        <v>10460</v>
      </c>
      <c r="D5845" t="s">
        <v>10461</v>
      </c>
      <c r="E5845" t="str">
        <f>HYPERLINK("https://patents.google.com/patent/CN202728542U/en")</f>
        <v>https://patents.google.com/patent/CN202728542U/en</v>
      </c>
    </row>
    <row r="5846" spans="3:5" x14ac:dyDescent="0.25">
      <c r="C5846" t="s">
        <v>10462</v>
      </c>
      <c r="D5846" t="s">
        <v>10463</v>
      </c>
      <c r="E5846" t="str">
        <f>HYPERLINK("https://patents.google.com/patent/US20170008593A1/en")</f>
        <v>https://patents.google.com/patent/US20170008593A1/en</v>
      </c>
    </row>
    <row r="5847" spans="3:5" x14ac:dyDescent="0.25">
      <c r="C5847" t="s">
        <v>10464</v>
      </c>
      <c r="D5847" t="s">
        <v>10465</v>
      </c>
      <c r="E5847" t="str">
        <f>HYPERLINK("https://patents.google.com/patent/CN203981503U/en")</f>
        <v>https://patents.google.com/patent/CN203981503U/en</v>
      </c>
    </row>
    <row r="5848" spans="3:5" x14ac:dyDescent="0.25">
      <c r="C5848" t="s">
        <v>10466</v>
      </c>
      <c r="D5848" t="s">
        <v>10467</v>
      </c>
      <c r="E5848" t="str">
        <f>HYPERLINK("https://patents.google.com/patent/CN203516713U/en")</f>
        <v>https://patents.google.com/patent/CN203516713U/en</v>
      </c>
    </row>
    <row r="5849" spans="3:5" x14ac:dyDescent="0.25">
      <c r="C5849" t="s">
        <v>10468</v>
      </c>
      <c r="D5849" t="s">
        <v>10469</v>
      </c>
      <c r="E5849" t="str">
        <f>HYPERLINK("https://patents.google.com/patent/CN102433843A/en")</f>
        <v>https://patents.google.com/patent/CN102433843A/en</v>
      </c>
    </row>
    <row r="5850" spans="3:5" x14ac:dyDescent="0.25">
      <c r="C5850" t="s">
        <v>10470</v>
      </c>
      <c r="D5850" t="s">
        <v>10471</v>
      </c>
      <c r="E5850" t="str">
        <f>HYPERLINK("https://patents.google.com/patent/CN104568424A/en")</f>
        <v>https://patents.google.com/patent/CN104568424A/en</v>
      </c>
    </row>
    <row r="5851" spans="3:5" x14ac:dyDescent="0.25">
      <c r="C5851" t="s">
        <v>10472</v>
      </c>
      <c r="D5851" t="s">
        <v>10473</v>
      </c>
      <c r="E5851" t="str">
        <f>HYPERLINK("https://patents.google.com/patent/CN104400768A/en")</f>
        <v>https://patents.google.com/patent/CN104400768A/en</v>
      </c>
    </row>
    <row r="5852" spans="3:5" x14ac:dyDescent="0.25">
      <c r="C5852" t="s">
        <v>10474</v>
      </c>
      <c r="D5852" t="s">
        <v>10475</v>
      </c>
      <c r="E5852" t="str">
        <f>HYPERLINK("https://patents.google.com/patent/CN102910235A/en")</f>
        <v>https://patents.google.com/patent/CN102910235A/en</v>
      </c>
    </row>
    <row r="5853" spans="3:5" x14ac:dyDescent="0.25">
      <c r="C5853" t="s">
        <v>10476</v>
      </c>
      <c r="D5853" t="s">
        <v>10477</v>
      </c>
      <c r="E5853" t="str">
        <f>HYPERLINK("https://patents.google.com/patent/CN204461728U/en")</f>
        <v>https://patents.google.com/patent/CN204461728U/en</v>
      </c>
    </row>
    <row r="5854" spans="3:5" x14ac:dyDescent="0.25">
      <c r="C5854" t="s">
        <v>10478</v>
      </c>
      <c r="D5854" t="s">
        <v>10479</v>
      </c>
      <c r="E5854" t="str">
        <f>HYPERLINK("https://patents.google.com/patent/US1465331A/en")</f>
        <v>https://patents.google.com/patent/US1465331A/en</v>
      </c>
    </row>
    <row r="5855" spans="3:5" x14ac:dyDescent="0.25">
      <c r="C5855" t="s">
        <v>10480</v>
      </c>
      <c r="D5855" t="s">
        <v>10481</v>
      </c>
      <c r="E5855" t="str">
        <f>HYPERLINK("https://patents.google.com/patent/CN202213700U/en")</f>
        <v>https://patents.google.com/patent/CN202213700U/en</v>
      </c>
    </row>
    <row r="5856" spans="3:5" x14ac:dyDescent="0.25">
      <c r="C5856" t="s">
        <v>10482</v>
      </c>
      <c r="D5856" t="s">
        <v>10483</v>
      </c>
      <c r="E5856" t="str">
        <f>HYPERLINK("https://patents.google.com/patent/CN204078809U/en")</f>
        <v>https://patents.google.com/patent/CN204078809U/en</v>
      </c>
    </row>
    <row r="5857" spans="3:5" x14ac:dyDescent="0.25">
      <c r="C5857" t="s">
        <v>10484</v>
      </c>
      <c r="D5857" t="s">
        <v>10485</v>
      </c>
      <c r="E5857" t="str">
        <f>HYPERLINK("https://patents.google.com/patent/CN204152144U/en")</f>
        <v>https://patents.google.com/patent/CN204152144U/en</v>
      </c>
    </row>
    <row r="5858" spans="3:5" x14ac:dyDescent="0.25">
      <c r="C5858" t="s">
        <v>10486</v>
      </c>
      <c r="D5858" t="s">
        <v>10487</v>
      </c>
      <c r="E5858" t="str">
        <f>HYPERLINK("https://patents.google.com/patent/CN202152102U/en")</f>
        <v>https://patents.google.com/patent/CN202152102U/en</v>
      </c>
    </row>
    <row r="5859" spans="3:5" x14ac:dyDescent="0.25">
      <c r="C5859" t="s">
        <v>10488</v>
      </c>
      <c r="D5859" t="s">
        <v>10489</v>
      </c>
      <c r="E5859" t="str">
        <f>HYPERLINK("https://patents.google.com/patent/CN206860574U/en")</f>
        <v>https://patents.google.com/patent/CN206860574U/en</v>
      </c>
    </row>
    <row r="5860" spans="3:5" x14ac:dyDescent="0.25">
      <c r="C5860" t="s">
        <v>10490</v>
      </c>
      <c r="D5860" t="s">
        <v>10491</v>
      </c>
      <c r="E5860" t="str">
        <f>HYPERLINK("https://patents.google.com/patent/JP6041488B2/en")</f>
        <v>https://patents.google.com/patent/JP6041488B2/en</v>
      </c>
    </row>
    <row r="5861" spans="3:5" x14ac:dyDescent="0.25">
      <c r="C5861" t="s">
        <v>10492</v>
      </c>
      <c r="D5861" t="s">
        <v>10493</v>
      </c>
      <c r="E5861" t="str">
        <f>HYPERLINK("https://patents.google.com/patent/CN203601479U/en")</f>
        <v>https://patents.google.com/patent/CN203601479U/en</v>
      </c>
    </row>
    <row r="5862" spans="3:5" x14ac:dyDescent="0.25">
      <c r="C5862" t="s">
        <v>10494</v>
      </c>
      <c r="D5862" t="s">
        <v>10495</v>
      </c>
      <c r="E5862" t="str">
        <f>HYPERLINK("https://patents.google.com/patent/CN203996826U/en")</f>
        <v>https://patents.google.com/patent/CN203996826U/en</v>
      </c>
    </row>
    <row r="5863" spans="3:5" x14ac:dyDescent="0.25">
      <c r="C5863" t="s">
        <v>10496</v>
      </c>
      <c r="D5863" t="s">
        <v>10497</v>
      </c>
      <c r="E5863" t="str">
        <f>HYPERLINK("https://patents.google.com/patent/CN102381665A/en")</f>
        <v>https://patents.google.com/patent/CN102381665A/en</v>
      </c>
    </row>
    <row r="5864" spans="3:5" x14ac:dyDescent="0.25">
      <c r="C5864" t="s">
        <v>10498</v>
      </c>
      <c r="D5864" t="s">
        <v>10499</v>
      </c>
      <c r="E5864" t="str">
        <f>HYPERLINK("https://patents.google.com/patent/CN204096816U/en")</f>
        <v>https://patents.google.com/patent/CN204096816U/en</v>
      </c>
    </row>
    <row r="5865" spans="3:5" x14ac:dyDescent="0.25">
      <c r="C5865" t="s">
        <v>10500</v>
      </c>
      <c r="D5865" t="s">
        <v>10501</v>
      </c>
      <c r="E5865" t="str">
        <f>HYPERLINK("https://patents.google.com/patent/CN105015714B/en")</f>
        <v>https://patents.google.com/patent/CN105015714B/en</v>
      </c>
    </row>
    <row r="5866" spans="3:5" x14ac:dyDescent="0.25">
      <c r="C5866" t="s">
        <v>10502</v>
      </c>
      <c r="D5866" t="s">
        <v>10503</v>
      </c>
      <c r="E5866" t="str">
        <f>HYPERLINK("https://patents.google.com/patent/CN107762736B/en")</f>
        <v>https://patents.google.com/patent/CN107762736B/en</v>
      </c>
    </row>
    <row r="5867" spans="3:5" x14ac:dyDescent="0.25">
      <c r="C5867" t="s">
        <v>10504</v>
      </c>
      <c r="D5867" t="s">
        <v>10505</v>
      </c>
      <c r="E5867" t="str">
        <f>HYPERLINK("https://patents.google.com/patent/CN206148755U/en")</f>
        <v>https://patents.google.com/patent/CN206148755U/en</v>
      </c>
    </row>
    <row r="5868" spans="3:5" x14ac:dyDescent="0.25">
      <c r="C5868" t="s">
        <v>10506</v>
      </c>
      <c r="D5868" t="s">
        <v>10507</v>
      </c>
      <c r="E5868" t="str">
        <f>HYPERLINK("https://patents.google.com/patent/CN103061500A/en")</f>
        <v>https://patents.google.com/patent/CN103061500A/en</v>
      </c>
    </row>
    <row r="5869" spans="3:5" x14ac:dyDescent="0.25">
      <c r="C5869" t="s">
        <v>10508</v>
      </c>
      <c r="D5869" t="s">
        <v>10509</v>
      </c>
      <c r="E5869" t="str">
        <f>HYPERLINK("https://patents.google.com/patent/US20180154973A1/en")</f>
        <v>https://patents.google.com/patent/US20180154973A1/en</v>
      </c>
    </row>
    <row r="5870" spans="3:5" x14ac:dyDescent="0.25">
      <c r="C5870" t="s">
        <v>10510</v>
      </c>
      <c r="D5870" t="s">
        <v>10511</v>
      </c>
      <c r="E5870" t="str">
        <f>HYPERLINK("https://patents.google.com/patent/CN205893894U/en")</f>
        <v>https://patents.google.com/patent/CN205893894U/en</v>
      </c>
    </row>
    <row r="5871" spans="3:5" x14ac:dyDescent="0.25">
      <c r="C5871" t="s">
        <v>10512</v>
      </c>
      <c r="D5871" t="s">
        <v>10513</v>
      </c>
      <c r="E5871" t="str">
        <f>HYPERLINK("https://patents.google.com/patent/CN2127417Y/en")</f>
        <v>https://patents.google.com/patent/CN2127417Y/en</v>
      </c>
    </row>
    <row r="5872" spans="3:5" x14ac:dyDescent="0.25">
      <c r="C5872" t="s">
        <v>10514</v>
      </c>
      <c r="D5872" t="s">
        <v>10515</v>
      </c>
      <c r="E5872" t="str">
        <f>HYPERLINK("https://patents.google.com/patent/CN104554645A/en")</f>
        <v>https://patents.google.com/patent/CN104554645A/en</v>
      </c>
    </row>
    <row r="5873" spans="3:5" x14ac:dyDescent="0.25">
      <c r="C5873" t="s">
        <v>10516</v>
      </c>
      <c r="D5873" t="s">
        <v>10517</v>
      </c>
      <c r="E5873" t="str">
        <f>HYPERLINK("https://patents.google.com/patent/CN103671690B/en")</f>
        <v>https://patents.google.com/patent/CN103671690B/en</v>
      </c>
    </row>
    <row r="5874" spans="3:5" x14ac:dyDescent="0.25">
      <c r="C5874" t="s">
        <v>10518</v>
      </c>
      <c r="D5874" t="s">
        <v>10519</v>
      </c>
      <c r="E5874" t="str">
        <f>HYPERLINK("https://patents.google.com/patent/WO2016034839A1/en")</f>
        <v>https://patents.google.com/patent/WO2016034839A1/en</v>
      </c>
    </row>
    <row r="5875" spans="3:5" x14ac:dyDescent="0.25">
      <c r="C5875" t="s">
        <v>10520</v>
      </c>
      <c r="D5875" t="s">
        <v>10521</v>
      </c>
      <c r="E5875" t="str">
        <f>HYPERLINK("https://patents.google.com/patent/CN2594459Y/en")</f>
        <v>https://patents.google.com/patent/CN2594459Y/en</v>
      </c>
    </row>
    <row r="5876" spans="3:5" x14ac:dyDescent="0.25">
      <c r="C5876" t="s">
        <v>10522</v>
      </c>
      <c r="D5876" t="s">
        <v>10523</v>
      </c>
      <c r="E5876" t="str">
        <f>HYPERLINK("https://patents.google.com/patent/CN201069407Y/en")</f>
        <v>https://patents.google.com/patent/CN201069407Y/en</v>
      </c>
    </row>
    <row r="5877" spans="3:5" x14ac:dyDescent="0.25">
      <c r="C5877" t="s">
        <v>10524</v>
      </c>
      <c r="D5877" t="s">
        <v>10525</v>
      </c>
      <c r="E5877" t="str">
        <f>HYPERLINK("https://patents.google.com/patent/CN206466170U/en")</f>
        <v>https://patents.google.com/patent/CN206466170U/en</v>
      </c>
    </row>
    <row r="5878" spans="3:5" x14ac:dyDescent="0.25">
      <c r="C5878" t="s">
        <v>10526</v>
      </c>
      <c r="D5878" t="s">
        <v>10527</v>
      </c>
      <c r="E5878" t="str">
        <f>HYPERLINK("https://patents.google.com/patent/CN104132849B/en")</f>
        <v>https://patents.google.com/patent/CN104132849B/en</v>
      </c>
    </row>
    <row r="5879" spans="3:5" x14ac:dyDescent="0.25">
      <c r="C5879" t="s">
        <v>10528</v>
      </c>
      <c r="D5879" t="s">
        <v>10529</v>
      </c>
      <c r="E5879" t="str">
        <f>HYPERLINK("https://patents.google.com/patent/CN103017786B/en")</f>
        <v>https://patents.google.com/patent/CN103017786B/en</v>
      </c>
    </row>
    <row r="5880" spans="3:5" x14ac:dyDescent="0.25">
      <c r="C5880" t="s">
        <v>10530</v>
      </c>
      <c r="D5880" t="s">
        <v>10531</v>
      </c>
      <c r="E5880" t="str">
        <f>HYPERLINK("https://patents.google.com/patent/CN207570462U/en")</f>
        <v>https://patents.google.com/patent/CN207570462U/en</v>
      </c>
    </row>
    <row r="5881" spans="3:5" x14ac:dyDescent="0.25">
      <c r="C5881" t="s">
        <v>10532</v>
      </c>
      <c r="D5881" t="s">
        <v>10533</v>
      </c>
      <c r="E5881" t="str">
        <f>HYPERLINK("https://patents.google.com/patent/CN2372663Y/en")</f>
        <v>https://patents.google.com/patent/CN2372663Y/en</v>
      </c>
    </row>
    <row r="5882" spans="3:5" x14ac:dyDescent="0.25">
      <c r="C5882" t="s">
        <v>10534</v>
      </c>
      <c r="D5882" t="s">
        <v>10535</v>
      </c>
      <c r="E5882" t="str">
        <f>HYPERLINK("https://patents.google.com/patent/CN2545365Y/en")</f>
        <v>https://patents.google.com/patent/CN2545365Y/en</v>
      </c>
    </row>
    <row r="5883" spans="3:5" x14ac:dyDescent="0.25">
      <c r="C5883" t="s">
        <v>10536</v>
      </c>
      <c r="D5883" t="s">
        <v>10537</v>
      </c>
      <c r="E5883" t="str">
        <f>HYPERLINK("https://patents.google.com/patent/CN201593207U/en")</f>
        <v>https://patents.google.com/patent/CN201593207U/en</v>
      </c>
    </row>
    <row r="5884" spans="3:5" x14ac:dyDescent="0.25">
      <c r="C5884" t="s">
        <v>10538</v>
      </c>
      <c r="D5884" t="s">
        <v>10539</v>
      </c>
      <c r="E5884" t="str">
        <f>HYPERLINK("https://patents.google.com/patent/CN104139837B/en")</f>
        <v>https://patents.google.com/patent/CN104139837B/en</v>
      </c>
    </row>
    <row r="5885" spans="3:5" x14ac:dyDescent="0.25">
      <c r="C5885" t="s">
        <v>10540</v>
      </c>
      <c r="D5885" t="s">
        <v>10541</v>
      </c>
      <c r="E5885" t="str">
        <f>HYPERLINK("https://patents.google.com/patent/CN201158935Y/en")</f>
        <v>https://patents.google.com/patent/CN201158935Y/en</v>
      </c>
    </row>
    <row r="5886" spans="3:5" x14ac:dyDescent="0.25">
      <c r="C5886" t="s">
        <v>10542</v>
      </c>
      <c r="D5886" t="s">
        <v>10543</v>
      </c>
      <c r="E5886" t="str">
        <f>HYPERLINK("https://patents.google.com/patent/CN204878300U/en")</f>
        <v>https://patents.google.com/patent/CN204878300U/en</v>
      </c>
    </row>
    <row r="5887" spans="3:5" x14ac:dyDescent="0.25">
      <c r="C5887" t="s">
        <v>10544</v>
      </c>
      <c r="D5887" t="s">
        <v>10545</v>
      </c>
      <c r="E5887" t="str">
        <f>HYPERLINK("https://patents.google.com/patent/CN104989726B/en")</f>
        <v>https://patents.google.com/patent/CN104989726B/en</v>
      </c>
    </row>
    <row r="5888" spans="3:5" x14ac:dyDescent="0.25">
      <c r="C5888" t="s">
        <v>10546</v>
      </c>
      <c r="D5888" t="s">
        <v>10547</v>
      </c>
      <c r="E5888" t="str">
        <f>HYPERLINK("https://patents.google.com/patent/CN203996823U/en")</f>
        <v>https://patents.google.com/patent/CN203996823U/en</v>
      </c>
    </row>
    <row r="5889" spans="3:5" x14ac:dyDescent="0.25">
      <c r="C5889" t="s">
        <v>10548</v>
      </c>
      <c r="D5889" t="s">
        <v>10549</v>
      </c>
      <c r="E5889" t="str">
        <f>HYPERLINK("https://patents.google.com/patent/CN203037475U/en")</f>
        <v>https://patents.google.com/patent/CN203037475U/en</v>
      </c>
    </row>
    <row r="5890" spans="3:5" x14ac:dyDescent="0.25">
      <c r="C5890" t="s">
        <v>10550</v>
      </c>
      <c r="D5890" t="s">
        <v>10551</v>
      </c>
      <c r="E5890" t="str">
        <f>HYPERLINK("https://patents.google.com/patent/CN204150970U/en")</f>
        <v>https://patents.google.com/patent/CN204150970U/en</v>
      </c>
    </row>
    <row r="5891" spans="3:5" x14ac:dyDescent="0.25">
      <c r="C5891" t="s">
        <v>10552</v>
      </c>
      <c r="D5891" t="s">
        <v>10553</v>
      </c>
      <c r="E5891" t="str">
        <f>HYPERLINK("https://patents.google.com/patent/CN204663090U/en")</f>
        <v>https://patents.google.com/patent/CN204663090U/en</v>
      </c>
    </row>
    <row r="5892" spans="3:5" x14ac:dyDescent="0.25">
      <c r="C5892" t="s">
        <v>10554</v>
      </c>
      <c r="D5892" t="s">
        <v>10555</v>
      </c>
      <c r="E5892" t="str">
        <f>HYPERLINK("https://patents.google.com/patent/CN1386955A/en")</f>
        <v>https://patents.google.com/patent/CN1386955A/en</v>
      </c>
    </row>
    <row r="5893" spans="3:5" x14ac:dyDescent="0.25">
      <c r="C5893" t="s">
        <v>10556</v>
      </c>
      <c r="D5893" t="s">
        <v>10557</v>
      </c>
      <c r="E5893" t="str">
        <f>HYPERLINK("https://patents.google.com/patent/CN105003528A/en")</f>
        <v>https://patents.google.com/patent/CN105003528A/en</v>
      </c>
    </row>
    <row r="5894" spans="3:5" x14ac:dyDescent="0.25">
      <c r="C5894" t="s">
        <v>10558</v>
      </c>
      <c r="D5894" t="s">
        <v>10559</v>
      </c>
      <c r="E5894" t="str">
        <f>HYPERLINK("https://patents.google.com/patent/CN104006920A/en")</f>
        <v>https://patents.google.com/patent/CN104006920A/en</v>
      </c>
    </row>
    <row r="5895" spans="3:5" x14ac:dyDescent="0.25">
      <c r="C5895" t="s">
        <v>10560</v>
      </c>
      <c r="D5895" t="s">
        <v>10561</v>
      </c>
      <c r="E5895" t="str">
        <f>HYPERLINK("https://patents.google.com/patent/CN206242850U/en")</f>
        <v>https://patents.google.com/patent/CN206242850U/en</v>
      </c>
    </row>
    <row r="5896" spans="3:5" x14ac:dyDescent="0.25">
      <c r="C5896" t="s">
        <v>10562</v>
      </c>
      <c r="D5896" t="s">
        <v>10563</v>
      </c>
      <c r="E5896" t="str">
        <f>HYPERLINK("https://patents.google.com/patent/CN202659828U/en")</f>
        <v>https://patents.google.com/patent/CN202659828U/en</v>
      </c>
    </row>
    <row r="5897" spans="3:5" x14ac:dyDescent="0.25">
      <c r="C5897" t="s">
        <v>10564</v>
      </c>
      <c r="D5897" t="s">
        <v>10565</v>
      </c>
      <c r="E5897" t="str">
        <f>HYPERLINK("https://patents.google.com/patent/CN104229440A/en")</f>
        <v>https://patents.google.com/patent/CN104229440A/en</v>
      </c>
    </row>
    <row r="5898" spans="3:5" x14ac:dyDescent="0.25">
      <c r="C5898" t="s">
        <v>10566</v>
      </c>
      <c r="D5898" t="s">
        <v>10567</v>
      </c>
      <c r="E5898" t="str">
        <f>HYPERLINK("https://patents.google.com/patent/US9499228B2/en")</f>
        <v>https://patents.google.com/patent/US9499228B2/en</v>
      </c>
    </row>
    <row r="5899" spans="3:5" x14ac:dyDescent="0.25">
      <c r="C5899" t="s">
        <v>10568</v>
      </c>
      <c r="D5899" t="s">
        <v>10569</v>
      </c>
      <c r="E5899" t="str">
        <f>HYPERLINK("https://patents.google.com/patent/CN201198271Y/en")</f>
        <v>https://patents.google.com/patent/CN201198271Y/en</v>
      </c>
    </row>
    <row r="5900" spans="3:5" x14ac:dyDescent="0.25">
      <c r="C5900" t="s">
        <v>10570</v>
      </c>
      <c r="D5900" t="s">
        <v>10571</v>
      </c>
      <c r="E5900" t="str">
        <f>HYPERLINK("https://patents.google.com/patent/CN103613000B/en")</f>
        <v>https://patents.google.com/patent/CN103613000B/en</v>
      </c>
    </row>
    <row r="5901" spans="3:5" x14ac:dyDescent="0.25">
      <c r="C5901" t="s">
        <v>10572</v>
      </c>
      <c r="D5901" t="s">
        <v>10573</v>
      </c>
      <c r="E5901" t="str">
        <f>HYPERLINK("https://patents.google.com/patent/CN204384830U/en")</f>
        <v>https://patents.google.com/patent/CN204384830U/en</v>
      </c>
    </row>
    <row r="5902" spans="3:5" x14ac:dyDescent="0.25">
      <c r="C5902" t="s">
        <v>10574</v>
      </c>
      <c r="D5902" t="s">
        <v>10575</v>
      </c>
      <c r="E5902" t="str">
        <f>HYPERLINK("https://patents.google.com/patent/CN201457607U/en")</f>
        <v>https://patents.google.com/patent/CN201457607U/en</v>
      </c>
    </row>
    <row r="5903" spans="3:5" x14ac:dyDescent="0.25">
      <c r="C5903" t="s">
        <v>10576</v>
      </c>
      <c r="D5903" t="s">
        <v>10577</v>
      </c>
      <c r="E5903" t="str">
        <f>HYPERLINK("https://patents.google.com/patent/CN207700206U/en")</f>
        <v>https://patents.google.com/patent/CN207700206U/en</v>
      </c>
    </row>
    <row r="5904" spans="3:5" x14ac:dyDescent="0.25">
      <c r="C5904" t="s">
        <v>10578</v>
      </c>
      <c r="D5904" t="s">
        <v>10579</v>
      </c>
      <c r="E5904" t="str">
        <f>HYPERLINK("https://patents.google.com/patent/CN205472506U/en")</f>
        <v>https://patents.google.com/patent/CN205472506U/en</v>
      </c>
    </row>
    <row r="5905" spans="3:5" x14ac:dyDescent="0.25">
      <c r="C5905" t="s">
        <v>10580</v>
      </c>
      <c r="D5905" t="s">
        <v>10581</v>
      </c>
      <c r="E5905" t="str">
        <f>HYPERLINK("https://patents.google.com/patent/CN104276514B/en")</f>
        <v>https://patents.google.com/patent/CN104276514B/en</v>
      </c>
    </row>
    <row r="5906" spans="3:5" x14ac:dyDescent="0.25">
      <c r="C5906" t="s">
        <v>10582</v>
      </c>
      <c r="D5906" t="s">
        <v>10583</v>
      </c>
      <c r="E5906" t="str">
        <f>HYPERLINK("https://patents.google.com/patent/CN2307288Y/en")</f>
        <v>https://patents.google.com/patent/CN2307288Y/en</v>
      </c>
    </row>
    <row r="5907" spans="3:5" x14ac:dyDescent="0.25">
      <c r="C5907" t="s">
        <v>10584</v>
      </c>
      <c r="D5907" t="s">
        <v>10585</v>
      </c>
      <c r="E5907" t="str">
        <f>HYPERLINK("https://patents.google.com/patent/FR2713588A1/en")</f>
        <v>https://patents.google.com/patent/FR2713588A1/en</v>
      </c>
    </row>
    <row r="5908" spans="3:5" x14ac:dyDescent="0.25">
      <c r="C5908" t="s">
        <v>10586</v>
      </c>
      <c r="D5908" t="s">
        <v>10587</v>
      </c>
      <c r="E5908" t="str">
        <f>HYPERLINK("https://patents.google.com/patent/CN104229094A/en")</f>
        <v>https://patents.google.com/patent/CN104229094A/en</v>
      </c>
    </row>
    <row r="5909" spans="3:5" x14ac:dyDescent="0.25">
      <c r="C5909" t="s">
        <v>10588</v>
      </c>
      <c r="D5909" t="s">
        <v>10589</v>
      </c>
      <c r="E5909" t="str">
        <f>HYPERLINK("https://patents.google.com/patent/CN206426175U/en")</f>
        <v>https://patents.google.com/patent/CN206426175U/en</v>
      </c>
    </row>
    <row r="5910" spans="3:5" x14ac:dyDescent="0.25">
      <c r="C5910" t="s">
        <v>10590</v>
      </c>
      <c r="D5910" t="s">
        <v>10591</v>
      </c>
      <c r="E5910" t="str">
        <f>HYPERLINK("https://patents.google.com/patent/CN103256056A/en")</f>
        <v>https://patents.google.com/patent/CN103256056A/en</v>
      </c>
    </row>
    <row r="5911" spans="3:5" x14ac:dyDescent="0.25">
      <c r="C5911" t="s">
        <v>10592</v>
      </c>
      <c r="D5911" t="s">
        <v>10593</v>
      </c>
      <c r="E5911" t="str">
        <f>HYPERLINK("https://patents.google.com/patent/CN2575294Y/en")</f>
        <v>https://patents.google.com/patent/CN2575294Y/en</v>
      </c>
    </row>
    <row r="5912" spans="3:5" x14ac:dyDescent="0.25">
      <c r="C5912" t="s">
        <v>10594</v>
      </c>
      <c r="D5912" t="s">
        <v>10595</v>
      </c>
      <c r="E5912" t="str">
        <f>HYPERLINK("https://patents.google.com/patent/CN205663255U/en")</f>
        <v>https://patents.google.com/patent/CN205663255U/en</v>
      </c>
    </row>
    <row r="5913" spans="3:5" x14ac:dyDescent="0.25">
      <c r="C5913" t="s">
        <v>10596</v>
      </c>
      <c r="D5913" t="s">
        <v>10597</v>
      </c>
      <c r="E5913" t="str">
        <f>HYPERLINK("https://patents.google.com/patent/CN105040751A/en")</f>
        <v>https://patents.google.com/patent/CN105040751A/en</v>
      </c>
    </row>
    <row r="5914" spans="3:5" x14ac:dyDescent="0.25">
      <c r="C5914" t="s">
        <v>10598</v>
      </c>
      <c r="D5914" t="s">
        <v>10599</v>
      </c>
      <c r="E5914" t="str">
        <f>HYPERLINK("https://patents.google.com/patent/CN104153303A/en")</f>
        <v>https://patents.google.com/patent/CN104153303A/en</v>
      </c>
    </row>
    <row r="5915" spans="3:5" x14ac:dyDescent="0.25">
      <c r="C5915" t="s">
        <v>10600</v>
      </c>
      <c r="D5915" t="s">
        <v>10601</v>
      </c>
      <c r="E5915" t="str">
        <f>HYPERLINK("https://patents.google.com/patent/CN104859770A/en")</f>
        <v>https://patents.google.com/patent/CN104859770A/en</v>
      </c>
    </row>
    <row r="5916" spans="3:5" x14ac:dyDescent="0.25">
      <c r="C5916" t="s">
        <v>10602</v>
      </c>
      <c r="D5916" t="s">
        <v>10603</v>
      </c>
      <c r="E5916" t="str">
        <f>HYPERLINK("https://patents.google.com/patent/CN102921162A/en")</f>
        <v>https://patents.google.com/patent/CN102921162A/en</v>
      </c>
    </row>
    <row r="5917" spans="3:5" x14ac:dyDescent="0.25">
      <c r="C5917" t="s">
        <v>10604</v>
      </c>
      <c r="D5917" t="s">
        <v>10605</v>
      </c>
      <c r="E5917" t="str">
        <f>HYPERLINK("https://patents.google.com/patent/CN2208135Y/en")</f>
        <v>https://patents.google.com/patent/CN2208135Y/en</v>
      </c>
    </row>
    <row r="5918" spans="3:5" x14ac:dyDescent="0.25">
      <c r="C5918" t="s">
        <v>10606</v>
      </c>
      <c r="D5918" t="s">
        <v>10607</v>
      </c>
      <c r="E5918" t="str">
        <f>HYPERLINK("https://patents.google.com/patent/CN1724335A/en")</f>
        <v>https://patents.google.com/patent/CN1724335A/en</v>
      </c>
    </row>
    <row r="5919" spans="3:5" x14ac:dyDescent="0.25">
      <c r="C5919" t="s">
        <v>10608</v>
      </c>
      <c r="D5919" t="s">
        <v>10609</v>
      </c>
      <c r="E5919" t="str">
        <f>HYPERLINK("https://patents.google.com/patent/CN201212847Y/en")</f>
        <v>https://patents.google.com/patent/CN201212847Y/en</v>
      </c>
    </row>
    <row r="5920" spans="3:5" x14ac:dyDescent="0.25">
      <c r="C5920" t="s">
        <v>10610</v>
      </c>
      <c r="D5920" t="s">
        <v>10611</v>
      </c>
      <c r="E5920" t="str">
        <f>HYPERLINK("https://patents.google.com/patent/US6696846B1/en")</f>
        <v>https://patents.google.com/patent/US6696846B1/en</v>
      </c>
    </row>
    <row r="5921" spans="3:5" x14ac:dyDescent="0.25">
      <c r="C5921" t="s">
        <v>10612</v>
      </c>
      <c r="D5921" t="s">
        <v>10613</v>
      </c>
      <c r="E5921" t="str">
        <f>HYPERLINK("https://patents.google.com/patent/CN203682878U/en")</f>
        <v>https://patents.google.com/patent/CN203682878U/en</v>
      </c>
    </row>
    <row r="5922" spans="3:5" x14ac:dyDescent="0.25">
      <c r="C5922" t="s">
        <v>10614</v>
      </c>
      <c r="D5922" t="s">
        <v>10615</v>
      </c>
      <c r="E5922" t="str">
        <f>HYPERLINK("https://patents.google.com/patent/CN104238520A/en")</f>
        <v>https://patents.google.com/patent/CN104238520A/en</v>
      </c>
    </row>
    <row r="5923" spans="3:5" x14ac:dyDescent="0.25">
      <c r="C5923" t="s">
        <v>10616</v>
      </c>
      <c r="D5923" t="s">
        <v>10617</v>
      </c>
      <c r="E5923" t="str">
        <f>HYPERLINK("https://patents.google.com/patent/US4567990A/en")</f>
        <v>https://patents.google.com/patent/US4567990A/en</v>
      </c>
    </row>
    <row r="5924" spans="3:5" x14ac:dyDescent="0.25">
      <c r="C5924" t="s">
        <v>10618</v>
      </c>
      <c r="D5924" t="s">
        <v>10619</v>
      </c>
      <c r="E5924" t="str">
        <f>HYPERLINK("https://patents.google.com/patent/CN203587332U/en")</f>
        <v>https://patents.google.com/patent/CN203587332U/en</v>
      </c>
    </row>
    <row r="5925" spans="3:5" x14ac:dyDescent="0.25">
      <c r="C5925" t="s">
        <v>10620</v>
      </c>
      <c r="D5925" t="s">
        <v>10621</v>
      </c>
      <c r="E5925" t="str">
        <f>HYPERLINK("https://patents.google.com/patent/US3416792A/en")</f>
        <v>https://patents.google.com/patent/US3416792A/en</v>
      </c>
    </row>
    <row r="5926" spans="3:5" x14ac:dyDescent="0.25">
      <c r="C5926" t="s">
        <v>10622</v>
      </c>
      <c r="D5926" t="s">
        <v>10623</v>
      </c>
      <c r="E5926" t="str">
        <f>HYPERLINK("https://patents.google.com/patent/CN2695425Y/en")</f>
        <v>https://patents.google.com/patent/CN2695425Y/en</v>
      </c>
    </row>
    <row r="5927" spans="3:5" x14ac:dyDescent="0.25">
      <c r="C5927" t="s">
        <v>10624</v>
      </c>
      <c r="D5927" t="s">
        <v>10625</v>
      </c>
      <c r="E5927" t="str">
        <f>HYPERLINK("https://patents.google.com/patent/CN1924614A/en")</f>
        <v>https://patents.google.com/patent/CN1924614A/en</v>
      </c>
    </row>
    <row r="5928" spans="3:5" x14ac:dyDescent="0.25">
      <c r="C5928" t="s">
        <v>10626</v>
      </c>
      <c r="D5928" t="s">
        <v>10627</v>
      </c>
      <c r="E5928" t="str">
        <f>HYPERLINK("https://patents.google.com/patent/US20110107684A1/en")</f>
        <v>https://patents.google.com/patent/US20110107684A1/en</v>
      </c>
    </row>
    <row r="5929" spans="3:5" x14ac:dyDescent="0.25">
      <c r="C5929" t="s">
        <v>10628</v>
      </c>
      <c r="D5929" t="s">
        <v>10629</v>
      </c>
      <c r="E5929" t="str">
        <f>HYPERLINK("https://patents.google.com/patent/CN204522306U/en")</f>
        <v>https://patents.google.com/patent/CN204522306U/en</v>
      </c>
    </row>
    <row r="5930" spans="3:5" x14ac:dyDescent="0.25">
      <c r="C5930" t="s">
        <v>10630</v>
      </c>
      <c r="D5930" t="s">
        <v>10631</v>
      </c>
      <c r="E5930" t="str">
        <f>HYPERLINK("https://patents.google.com/patent/WO2017092163A1/en")</f>
        <v>https://patents.google.com/patent/WO2017092163A1/en</v>
      </c>
    </row>
    <row r="5931" spans="3:5" x14ac:dyDescent="0.25">
      <c r="C5931" t="s">
        <v>10632</v>
      </c>
      <c r="D5931" t="s">
        <v>10633</v>
      </c>
      <c r="E5931" t="str">
        <f>HYPERLINK("https://patents.google.com/patent/CN201722676U/en")</f>
        <v>https://patents.google.com/patent/CN201722676U/en</v>
      </c>
    </row>
    <row r="5932" spans="3:5" x14ac:dyDescent="0.25">
      <c r="C5932" t="s">
        <v>10634</v>
      </c>
      <c r="D5932" t="s">
        <v>10635</v>
      </c>
      <c r="E5932" t="str">
        <f>HYPERLINK("https://patents.google.com/patent/US4883184A/en")</f>
        <v>https://patents.google.com/patent/US4883184A/en</v>
      </c>
    </row>
    <row r="5933" spans="3:5" x14ac:dyDescent="0.25">
      <c r="C5933" t="s">
        <v>10636</v>
      </c>
      <c r="D5933" t="s">
        <v>10637</v>
      </c>
      <c r="E5933" t="str">
        <f>HYPERLINK("https://patents.google.com/patent/CN103194965A/en")</f>
        <v>https://patents.google.com/patent/CN103194965A/en</v>
      </c>
    </row>
    <row r="5934" spans="3:5" x14ac:dyDescent="0.25">
      <c r="C5934" t="s">
        <v>10638</v>
      </c>
      <c r="D5934" t="s">
        <v>10639</v>
      </c>
      <c r="E5934" t="str">
        <f>HYPERLINK("https://patents.google.com/patent/US7533168B1/en")</f>
        <v>https://patents.google.com/patent/US7533168B1/en</v>
      </c>
    </row>
    <row r="5935" spans="3:5" x14ac:dyDescent="0.25">
      <c r="C5935" t="s">
        <v>10640</v>
      </c>
      <c r="D5935" t="s">
        <v>10641</v>
      </c>
      <c r="E5935" t="str">
        <f>HYPERLINK("https://patents.google.com/patent/US6811523B1/en")</f>
        <v>https://patents.google.com/patent/US6811523B1/en</v>
      </c>
    </row>
    <row r="5936" spans="3:5" x14ac:dyDescent="0.25">
      <c r="C5936" t="s">
        <v>10642</v>
      </c>
      <c r="D5936" t="s">
        <v>10643</v>
      </c>
      <c r="E5936" t="str">
        <f>HYPERLINK("https://patents.google.com/patent/US4627768A/en")</f>
        <v>https://patents.google.com/patent/US4627768A/en</v>
      </c>
    </row>
    <row r="5937" spans="3:5" x14ac:dyDescent="0.25">
      <c r="C5937" t="s">
        <v>10644</v>
      </c>
      <c r="D5937" t="s">
        <v>10645</v>
      </c>
      <c r="E5937" t="str">
        <f>HYPERLINK("https://patents.google.com/patent/US3836010A/en")</f>
        <v>https://patents.google.com/patent/US3836010A/en</v>
      </c>
    </row>
    <row r="5938" spans="3:5" x14ac:dyDescent="0.25">
      <c r="C5938" t="s">
        <v>10646</v>
      </c>
      <c r="D5938" t="s">
        <v>10647</v>
      </c>
      <c r="E5938" t="str">
        <f>HYPERLINK("https://patents.google.com/patent/CN102011387A/en")</f>
        <v>https://patents.google.com/patent/CN102011387A/en</v>
      </c>
    </row>
    <row r="5939" spans="3:5" x14ac:dyDescent="0.25">
      <c r="C5939" t="s">
        <v>10648</v>
      </c>
      <c r="D5939" t="s">
        <v>10649</v>
      </c>
      <c r="E5939" t="str">
        <f>HYPERLINK("https://patents.google.com/patent/US20060209695A1/en")</f>
        <v>https://patents.google.com/patent/US20060209695A1/en</v>
      </c>
    </row>
    <row r="5940" spans="3:5" x14ac:dyDescent="0.25">
      <c r="C5940" t="s">
        <v>10650</v>
      </c>
      <c r="D5940" t="s">
        <v>10651</v>
      </c>
      <c r="E5940" t="str">
        <f>HYPERLINK("https://patents.google.com/patent/US6357544B1/en")</f>
        <v>https://patents.google.com/patent/US6357544B1/en</v>
      </c>
    </row>
    <row r="5941" spans="3:5" x14ac:dyDescent="0.25">
      <c r="C5941" t="s">
        <v>10652</v>
      </c>
      <c r="D5941" t="s">
        <v>10653</v>
      </c>
      <c r="E5941" t="str">
        <f>HYPERLINK("https://patents.google.com/patent/US7571227B1/en")</f>
        <v>https://patents.google.com/patent/US7571227B1/en</v>
      </c>
    </row>
    <row r="5942" spans="3:5" x14ac:dyDescent="0.25">
      <c r="C5942" t="s">
        <v>10654</v>
      </c>
      <c r="D5942" t="s">
        <v>10655</v>
      </c>
      <c r="E5942" t="str">
        <f>HYPERLINK("https://patents.google.com/patent/US1372026A/en")</f>
        <v>https://patents.google.com/patent/US1372026A/en</v>
      </c>
    </row>
    <row r="5943" spans="3:5" x14ac:dyDescent="0.25">
      <c r="C5943" t="s">
        <v>10656</v>
      </c>
      <c r="D5943" t="s">
        <v>10657</v>
      </c>
      <c r="E5943" t="str">
        <f>HYPERLINK("https://patents.google.com/patent/CN201240815Y/en")</f>
        <v>https://patents.google.com/patent/CN201240815Y/en</v>
      </c>
    </row>
    <row r="5944" spans="3:5" x14ac:dyDescent="0.25">
      <c r="C5944" t="s">
        <v>10658</v>
      </c>
      <c r="D5944" t="s">
        <v>10659</v>
      </c>
      <c r="E5944" t="str">
        <f>HYPERLINK("https://patents.google.com/patent/US20150091501A1/en")</f>
        <v>https://patents.google.com/patent/US20150091501A1/en</v>
      </c>
    </row>
    <row r="5945" spans="3:5" x14ac:dyDescent="0.25">
      <c r="C5945" t="s">
        <v>10660</v>
      </c>
      <c r="D5945" t="s">
        <v>10661</v>
      </c>
      <c r="E5945" t="str">
        <f>HYPERLINK("https://patents.google.com/patent/US7226062B1/en")</f>
        <v>https://patents.google.com/patent/US7226062B1/en</v>
      </c>
    </row>
    <row r="5946" spans="3:5" x14ac:dyDescent="0.25">
      <c r="C5946" t="s">
        <v>10662</v>
      </c>
      <c r="D5946" t="s">
        <v>10663</v>
      </c>
      <c r="E5946" t="str">
        <f>HYPERLINK("https://patents.google.com/patent/US7124988B1/en")</f>
        <v>https://patents.google.com/patent/US7124988B1/en</v>
      </c>
    </row>
    <row r="5947" spans="3:5" x14ac:dyDescent="0.25">
      <c r="C5947" t="s">
        <v>10664</v>
      </c>
      <c r="D5947" t="s">
        <v>10665</v>
      </c>
      <c r="E5947" t="str">
        <f>HYPERLINK("https://patents.google.com/patent/US20090172167A1/en")</f>
        <v>https://patents.google.com/patent/US20090172167A1/en</v>
      </c>
    </row>
    <row r="5948" spans="3:5" x14ac:dyDescent="0.25">
      <c r="C5948" t="s">
        <v>10666</v>
      </c>
      <c r="D5948" t="s">
        <v>10667</v>
      </c>
      <c r="E5948" t="str">
        <f>HYPERLINK("https://patents.google.com/patent/CN200979506Y/en")</f>
        <v>https://patents.google.com/patent/CN200979506Y/en</v>
      </c>
    </row>
    <row r="5949" spans="3:5" x14ac:dyDescent="0.25">
      <c r="C5949" t="s">
        <v>10668</v>
      </c>
      <c r="D5949" t="s">
        <v>10669</v>
      </c>
      <c r="E5949" t="str">
        <f>HYPERLINK("https://patents.google.com/patent/US7603028B2/en")</f>
        <v>https://patents.google.com/patent/US7603028B2/en</v>
      </c>
    </row>
    <row r="5950" spans="3:5" x14ac:dyDescent="0.25">
      <c r="C5950" t="s">
        <v>10670</v>
      </c>
      <c r="D5950" t="s">
        <v>10671</v>
      </c>
      <c r="E5950" t="str">
        <f>HYPERLINK("https://patents.google.com/patent/CN104110020A/en")</f>
        <v>https://patents.google.com/patent/CN104110020A/en</v>
      </c>
    </row>
    <row r="5951" spans="3:5" x14ac:dyDescent="0.25">
      <c r="C5951" t="s">
        <v>10672</v>
      </c>
      <c r="D5951" t="s">
        <v>10673</v>
      </c>
      <c r="E5951" t="str">
        <f>HYPERLINK("https://patents.google.com/patent/US8126722B2/en")</f>
        <v>https://patents.google.com/patent/US8126722B2/en</v>
      </c>
    </row>
    <row r="5952" spans="3:5" x14ac:dyDescent="0.25">
      <c r="C5952" t="s">
        <v>10674</v>
      </c>
      <c r="D5952" t="s">
        <v>10675</v>
      </c>
      <c r="E5952" t="str">
        <f>HYPERLINK("https://patents.google.com/patent/US4070072A/en")</f>
        <v>https://patents.google.com/patent/US4070072A/en</v>
      </c>
    </row>
    <row r="5953" spans="3:5" x14ac:dyDescent="0.25">
      <c r="C5953" t="s">
        <v>10676</v>
      </c>
      <c r="D5953" t="s">
        <v>10677</v>
      </c>
      <c r="E5953" t="str">
        <f>HYPERLINK("https://patents.google.com/patent/US7051096B1/en")</f>
        <v>https://patents.google.com/patent/US7051096B1/en</v>
      </c>
    </row>
    <row r="5954" spans="3:5" x14ac:dyDescent="0.25">
      <c r="C5954" t="s">
        <v>10678</v>
      </c>
      <c r="D5954" t="s">
        <v>10679</v>
      </c>
      <c r="E5954" t="str">
        <f>HYPERLINK("https://patents.google.com/patent/US7111063B1/en")</f>
        <v>https://patents.google.com/patent/US7111063B1/en</v>
      </c>
    </row>
    <row r="5955" spans="3:5" x14ac:dyDescent="0.25">
      <c r="C5955" t="s">
        <v>10680</v>
      </c>
      <c r="D5955" t="s">
        <v>10681</v>
      </c>
      <c r="E5955" t="str">
        <f>HYPERLINK("https://patents.google.com/patent/CN2454346Y/en")</f>
        <v>https://patents.google.com/patent/CN2454346Y/en</v>
      </c>
    </row>
    <row r="5956" spans="3:5" x14ac:dyDescent="0.25">
      <c r="C5956" t="s">
        <v>10682</v>
      </c>
      <c r="D5956" t="s">
        <v>10683</v>
      </c>
      <c r="E5956" t="str">
        <f>HYPERLINK("https://patents.google.com/patent/CN102681899A/en")</f>
        <v>https://patents.google.com/patent/CN102681899A/en</v>
      </c>
    </row>
    <row r="5957" spans="3:5" x14ac:dyDescent="0.25">
      <c r="C5957" t="s">
        <v>10684</v>
      </c>
      <c r="D5957" t="s">
        <v>10685</v>
      </c>
      <c r="E5957" t="str">
        <f>HYPERLINK("https://patents.google.com/patent/US8060553B2/en")</f>
        <v>https://patents.google.com/patent/US8060553B2/en</v>
      </c>
    </row>
    <row r="5958" spans="3:5" x14ac:dyDescent="0.25">
      <c r="C5958" t="s">
        <v>10686</v>
      </c>
      <c r="D5958" t="s">
        <v>10687</v>
      </c>
      <c r="E5958" t="str">
        <f>HYPERLINK("https://patents.google.com/patent/US8041760B2/en")</f>
        <v>https://patents.google.com/patent/US8041760B2/en</v>
      </c>
    </row>
    <row r="5959" spans="3:5" x14ac:dyDescent="0.25">
      <c r="C5959" t="s">
        <v>10688</v>
      </c>
      <c r="D5959" t="s">
        <v>10689</v>
      </c>
      <c r="E5959" t="str">
        <f>HYPERLINK("https://patents.google.com/patent/US8041798B1/en")</f>
        <v>https://patents.google.com/patent/US8041798B1/en</v>
      </c>
    </row>
    <row r="5960" spans="3:5" x14ac:dyDescent="0.25">
      <c r="C5960" t="s">
        <v>10690</v>
      </c>
      <c r="D5960" t="s">
        <v>10691</v>
      </c>
      <c r="E5960" t="str">
        <f>HYPERLINK("https://patents.google.com/patent/CN103281306A/en")</f>
        <v>https://patents.google.com/patent/CN103281306A/en</v>
      </c>
    </row>
    <row r="5961" spans="3:5" x14ac:dyDescent="0.25">
      <c r="C5961" t="s">
        <v>10692</v>
      </c>
      <c r="D5961" t="s">
        <v>10693</v>
      </c>
      <c r="E5961" t="str">
        <f>HYPERLINK("https://patents.google.com/patent/US3202299A/en")</f>
        <v>https://patents.google.com/patent/US3202299A/en</v>
      </c>
    </row>
    <row r="5962" spans="3:5" x14ac:dyDescent="0.25">
      <c r="C5962" t="s">
        <v>10694</v>
      </c>
      <c r="D5962" t="s">
        <v>10695</v>
      </c>
      <c r="E5962" t="str">
        <f>HYPERLINK("https://patents.google.com/patent/US3783594A/en")</f>
        <v>https://patents.google.com/patent/US3783594A/en</v>
      </c>
    </row>
    <row r="5963" spans="3:5" x14ac:dyDescent="0.25">
      <c r="C5963" t="s">
        <v>10696</v>
      </c>
      <c r="D5963" t="s">
        <v>10697</v>
      </c>
      <c r="E5963" t="str">
        <f>HYPERLINK("https://patents.google.com/patent/US8886744B1/en")</f>
        <v>https://patents.google.com/patent/US8886744B1/en</v>
      </c>
    </row>
    <row r="5964" spans="3:5" x14ac:dyDescent="0.25">
      <c r="C5964" t="s">
        <v>10698</v>
      </c>
      <c r="D5964" t="s">
        <v>10699</v>
      </c>
      <c r="E5964" t="str">
        <f>HYPERLINK("https://patents.google.com/patent/CN201348570Y/en")</f>
        <v>https://patents.google.com/patent/CN201348570Y/en</v>
      </c>
    </row>
    <row r="5965" spans="3:5" x14ac:dyDescent="0.25">
      <c r="C5965" t="s">
        <v>10700</v>
      </c>
      <c r="D5965" t="s">
        <v>10701</v>
      </c>
      <c r="E5965" t="str">
        <f>HYPERLINK("https://patents.google.com/patent/CN1460448A/en")</f>
        <v>https://patents.google.com/patent/CN1460448A/en</v>
      </c>
    </row>
    <row r="5966" spans="3:5" x14ac:dyDescent="0.25">
      <c r="C5966" t="s">
        <v>10702</v>
      </c>
      <c r="D5966" t="s">
        <v>10703</v>
      </c>
      <c r="E5966" t="str">
        <f>HYPERLINK("https://patents.google.com/patent/US6990513B2/en")</f>
        <v>https://patents.google.com/patent/US6990513B2/en</v>
      </c>
    </row>
    <row r="5967" spans="3:5" x14ac:dyDescent="0.25">
      <c r="C5967" t="s">
        <v>10704</v>
      </c>
      <c r="D5967" t="s">
        <v>10705</v>
      </c>
      <c r="E5967" t="str">
        <f>HYPERLINK("https://patents.google.com/patent/US20130097321A1/en")</f>
        <v>https://patents.google.com/patent/US20130097321A1/en</v>
      </c>
    </row>
    <row r="5968" spans="3:5" x14ac:dyDescent="0.25">
      <c r="C5968" t="s">
        <v>10706</v>
      </c>
      <c r="D5968" t="s">
        <v>10707</v>
      </c>
      <c r="E5968" t="str">
        <f>HYPERLINK("https://patents.google.com/patent/US5506459A/en")</f>
        <v>https://patents.google.com/patent/US5506459A/en</v>
      </c>
    </row>
    <row r="5969" spans="3:5" x14ac:dyDescent="0.25">
      <c r="C5969" t="s">
        <v>10708</v>
      </c>
      <c r="D5969" t="s">
        <v>10709</v>
      </c>
      <c r="E5969" t="str">
        <f>HYPERLINK("https://patents.google.com/patent/CN201534508U/en")</f>
        <v>https://patents.google.com/patent/CN201534508U/en</v>
      </c>
    </row>
    <row r="5970" spans="3:5" x14ac:dyDescent="0.25">
      <c r="C5970" t="s">
        <v>10710</v>
      </c>
      <c r="D5970" t="s">
        <v>10711</v>
      </c>
      <c r="E5970" t="str">
        <f>HYPERLINK("https://patents.google.com/patent/US7761406B2/en")</f>
        <v>https://patents.google.com/patent/US7761406B2/en</v>
      </c>
    </row>
    <row r="5971" spans="3:5" x14ac:dyDescent="0.25">
      <c r="C5971" t="s">
        <v>10712</v>
      </c>
      <c r="D5971" t="s">
        <v>10713</v>
      </c>
      <c r="E5971" t="str">
        <f>HYPERLINK("https://patents.google.com/patent/US20160132787A1/en")</f>
        <v>https://patents.google.com/patent/US20160132787A1/en</v>
      </c>
    </row>
    <row r="5972" spans="3:5" x14ac:dyDescent="0.25">
      <c r="C5972" t="s">
        <v>10714</v>
      </c>
      <c r="D5972" t="s">
        <v>10715</v>
      </c>
      <c r="E5972" t="str">
        <f>HYPERLINK("https://patents.google.com/patent/US20160205518A1/en")</f>
        <v>https://patents.google.com/patent/US20160205518A1/en</v>
      </c>
    </row>
    <row r="5973" spans="3:5" x14ac:dyDescent="0.25">
      <c r="C5973" t="s">
        <v>10716</v>
      </c>
      <c r="D5973" t="s">
        <v>10717</v>
      </c>
      <c r="E5973" t="str">
        <f>HYPERLINK("https://patents.google.com/patent/US20040031052A1/en")</f>
        <v>https://patents.google.com/patent/US20040031052A1/en</v>
      </c>
    </row>
    <row r="5974" spans="3:5" x14ac:dyDescent="0.25">
      <c r="C5974" t="s">
        <v>10718</v>
      </c>
      <c r="D5974" t="s">
        <v>10719</v>
      </c>
      <c r="E5974" t="str">
        <f>HYPERLINK("https://patents.google.com/patent/US20050234969A1/en")</f>
        <v>https://patents.google.com/patent/US20050234969A1/en</v>
      </c>
    </row>
    <row r="5975" spans="3:5" x14ac:dyDescent="0.25">
      <c r="C5975" t="s">
        <v>10720</v>
      </c>
      <c r="D5975" t="s">
        <v>10721</v>
      </c>
      <c r="E5975" t="str">
        <f>HYPERLINK("https://patents.google.com/patent/US20060069717A1/en")</f>
        <v>https://patents.google.com/patent/US20060069717A1/en</v>
      </c>
    </row>
    <row r="5976" spans="3:5" x14ac:dyDescent="0.25">
      <c r="C5976" t="s">
        <v>10722</v>
      </c>
      <c r="D5976" t="s">
        <v>10723</v>
      </c>
      <c r="E5976" t="str">
        <f>HYPERLINK("https://patents.google.com/patent/US20040054610A1/en")</f>
        <v>https://patents.google.com/patent/US20040054610A1/en</v>
      </c>
    </row>
    <row r="5977" spans="3:5" x14ac:dyDescent="0.25">
      <c r="C5977" t="s">
        <v>10724</v>
      </c>
      <c r="D5977" t="s">
        <v>10725</v>
      </c>
      <c r="E5977" t="str">
        <f>HYPERLINK("https://patents.google.com/patent/US20050240354A1/en")</f>
        <v>https://patents.google.com/patent/US20050240354A1/en</v>
      </c>
    </row>
    <row r="5978" spans="3:5" x14ac:dyDescent="0.25">
      <c r="C5978" t="s">
        <v>10726</v>
      </c>
      <c r="D5978" t="s">
        <v>10727</v>
      </c>
      <c r="E5978" t="str">
        <f>HYPERLINK("https://patents.google.com/patent/US20060010195A1/en")</f>
        <v>https://patents.google.com/patent/US20060010195A1/en</v>
      </c>
    </row>
    <row r="5979" spans="3:5" x14ac:dyDescent="0.25">
      <c r="C5979" t="s">
        <v>10728</v>
      </c>
      <c r="D5979" t="s">
        <v>10729</v>
      </c>
      <c r="E5979" t="str">
        <f>HYPERLINK("https://patents.google.com/patent/US8320949B2/en")</f>
        <v>https://patents.google.com/patent/US8320949B2/en</v>
      </c>
    </row>
    <row r="5980" spans="3:5" x14ac:dyDescent="0.25">
      <c r="C5980" t="s">
        <v>10730</v>
      </c>
      <c r="D5980" t="s">
        <v>10731</v>
      </c>
      <c r="E5980" t="str">
        <f>HYPERLINK("https://patents.google.com/patent/US6151602A/en")</f>
        <v>https://patents.google.com/patent/US6151602A/en</v>
      </c>
    </row>
    <row r="5981" spans="3:5" x14ac:dyDescent="0.25">
      <c r="C5981" t="s">
        <v>10732</v>
      </c>
      <c r="D5981" t="s">
        <v>10733</v>
      </c>
      <c r="E5981" t="str">
        <f>HYPERLINK("https://patents.google.com/patent/US3735600A/en")</f>
        <v>https://patents.google.com/patent/US3735600A/en</v>
      </c>
    </row>
    <row r="5982" spans="3:5" x14ac:dyDescent="0.25">
      <c r="C5982" t="s">
        <v>10734</v>
      </c>
      <c r="D5982" t="s">
        <v>10735</v>
      </c>
      <c r="E5982" t="str">
        <f>HYPERLINK("https://patents.google.com/patent/US5832417A/en")</f>
        <v>https://patents.google.com/patent/US5832417A/en</v>
      </c>
    </row>
    <row r="5983" spans="3:5" x14ac:dyDescent="0.25">
      <c r="C5983" t="s">
        <v>10736</v>
      </c>
      <c r="D5983" t="s">
        <v>10737</v>
      </c>
      <c r="E5983" t="str">
        <f>HYPERLINK("https://patents.google.com/patent/US3145797A/en")</f>
        <v>https://patents.google.com/patent/US3145797A/en</v>
      </c>
    </row>
    <row r="5984" spans="3:5" x14ac:dyDescent="0.25">
      <c r="C5984" t="s">
        <v>10738</v>
      </c>
      <c r="D5984" t="s">
        <v>10739</v>
      </c>
      <c r="E5984" t="str">
        <f>HYPERLINK("https://patents.google.com/patent/US3500486A/en")</f>
        <v>https://patents.google.com/patent/US3500486A/en</v>
      </c>
    </row>
    <row r="5985" spans="3:5" x14ac:dyDescent="0.25">
      <c r="C5985" t="s">
        <v>10740</v>
      </c>
      <c r="D5985" t="s">
        <v>10741</v>
      </c>
      <c r="E5985" t="str">
        <f>HYPERLINK("https://patents.google.com/patent/US3095945A/en")</f>
        <v>https://patents.google.com/patent/US3095945A/en</v>
      </c>
    </row>
    <row r="5986" spans="3:5" x14ac:dyDescent="0.25">
      <c r="C5986" t="s">
        <v>10742</v>
      </c>
      <c r="D5986" t="s">
        <v>10743</v>
      </c>
      <c r="E5986" t="str">
        <f>HYPERLINK("https://patents.google.com/patent/US5762351A/en")</f>
        <v>https://patents.google.com/patent/US5762351A/en</v>
      </c>
    </row>
    <row r="5987" spans="3:5" x14ac:dyDescent="0.25">
      <c r="C5987" t="s">
        <v>10744</v>
      </c>
      <c r="D5987" t="s">
        <v>10745</v>
      </c>
      <c r="E5987" t="str">
        <f>HYPERLINK("https://patents.google.com/patent/US8958812B2/en")</f>
        <v>https://patents.google.com/patent/US8958812B2/en</v>
      </c>
    </row>
    <row r="5988" spans="3:5" x14ac:dyDescent="0.25">
      <c r="C5988" t="s">
        <v>10746</v>
      </c>
      <c r="D5988" t="s">
        <v>10747</v>
      </c>
      <c r="E5988" t="str">
        <f>HYPERLINK("https://patents.google.com/patent/US8528059B1/en")</f>
        <v>https://patents.google.com/patent/US8528059B1/en</v>
      </c>
    </row>
    <row r="5989" spans="3:5" x14ac:dyDescent="0.25">
      <c r="C5989" t="s">
        <v>10748</v>
      </c>
      <c r="D5989" t="s">
        <v>10749</v>
      </c>
      <c r="E5989" t="str">
        <f>HYPERLINK("https://patents.google.com/patent/US7327258B2/en")</f>
        <v>https://patents.google.com/patent/US7327258B2/en</v>
      </c>
    </row>
    <row r="5990" spans="3:5" x14ac:dyDescent="0.25">
      <c r="C5990" t="s">
        <v>10750</v>
      </c>
      <c r="D5990" t="s">
        <v>10751</v>
      </c>
      <c r="E5990" t="str">
        <f>HYPERLINK("https://patents.google.com/patent/US7783777B1/en")</f>
        <v>https://patents.google.com/patent/US7783777B1/en</v>
      </c>
    </row>
    <row r="5991" spans="3:5" x14ac:dyDescent="0.25">
      <c r="C5991" t="s">
        <v>10752</v>
      </c>
      <c r="D5991" t="s">
        <v>10753</v>
      </c>
      <c r="E5991" t="str">
        <f>HYPERLINK("https://patents.google.com/patent/US3890958A/en")</f>
        <v>https://patents.google.com/patent/US3890958A/en</v>
      </c>
    </row>
    <row r="5992" spans="3:5" x14ac:dyDescent="0.25">
      <c r="C5992" t="s">
        <v>10754</v>
      </c>
      <c r="D5992" t="s">
        <v>10755</v>
      </c>
      <c r="E5992" t="str">
        <f>HYPERLINK("https://patents.google.com/patent/US7814142B2/en")</f>
        <v>https://patents.google.com/patent/US7814142B2/en</v>
      </c>
    </row>
    <row r="5993" spans="3:5" x14ac:dyDescent="0.25">
      <c r="C5993" t="s">
        <v>10756</v>
      </c>
      <c r="D5993" t="s">
        <v>10757</v>
      </c>
      <c r="E5993" t="str">
        <f>HYPERLINK("https://patents.google.com/patent/US7814470B2/en")</f>
        <v>https://patents.google.com/patent/US7814470B2/en</v>
      </c>
    </row>
    <row r="5994" spans="3:5" x14ac:dyDescent="0.25">
      <c r="C5994" t="s">
        <v>10758</v>
      </c>
      <c r="D5994" t="s">
        <v>10759</v>
      </c>
      <c r="E5994" t="str">
        <f>HYPERLINK("https://patents.google.com/patent/US8161527B2/en")</f>
        <v>https://patents.google.com/patent/US8161527B2/en</v>
      </c>
    </row>
    <row r="5995" spans="3:5" x14ac:dyDescent="0.25">
      <c r="C5995" t="s">
        <v>10760</v>
      </c>
      <c r="D5995" t="s">
        <v>10761</v>
      </c>
      <c r="E5995" t="str">
        <f>HYPERLINK("https://patents.google.com/patent/US20050262193A1/en")</f>
        <v>https://patents.google.com/patent/US20050262193A1/en</v>
      </c>
    </row>
    <row r="5996" spans="3:5" x14ac:dyDescent="0.25">
      <c r="C5996" t="s">
        <v>10762</v>
      </c>
      <c r="D5996" t="s">
        <v>10763</v>
      </c>
      <c r="E5996" t="str">
        <f>HYPERLINK("https://patents.google.com/patent/US6760748B1/en")</f>
        <v>https://patents.google.com/patent/US6760748B1/en</v>
      </c>
    </row>
    <row r="5997" spans="3:5" x14ac:dyDescent="0.25">
      <c r="C5997" t="s">
        <v>10764</v>
      </c>
      <c r="D5997" t="s">
        <v>10765</v>
      </c>
      <c r="E5997" t="str">
        <f>HYPERLINK("https://patents.google.com/patent/US7165107B2/en")</f>
        <v>https://patents.google.com/patent/US7165107B2/en</v>
      </c>
    </row>
    <row r="5998" spans="3:5" x14ac:dyDescent="0.25">
      <c r="C5998" t="s">
        <v>10766</v>
      </c>
      <c r="D5998" t="s">
        <v>10767</v>
      </c>
      <c r="E5998" t="str">
        <f>HYPERLINK("https://patents.google.com/patent/US7194543B2/en")</f>
        <v>https://patents.google.com/patent/US7194543B2/en</v>
      </c>
    </row>
    <row r="5999" spans="3:5" x14ac:dyDescent="0.25">
      <c r="C5999" t="s">
        <v>10768</v>
      </c>
      <c r="D5999" t="s">
        <v>10769</v>
      </c>
      <c r="E5999" t="str">
        <f>HYPERLINK("https://patents.google.com/patent/US8504718B2/en")</f>
        <v>https://patents.google.com/patent/US8504718B2/en</v>
      </c>
    </row>
    <row r="6000" spans="3:5" x14ac:dyDescent="0.25">
      <c r="C6000" t="s">
        <v>10770</v>
      </c>
      <c r="D6000" t="s">
        <v>10771</v>
      </c>
      <c r="E6000" t="str">
        <f>HYPERLINK("https://patents.google.com/patent/US7239877B2/en")</f>
        <v>https://patents.google.com/patent/US7239877B2/en</v>
      </c>
    </row>
    <row r="6001" spans="3:5" x14ac:dyDescent="0.25">
      <c r="C6001" t="s">
        <v>10772</v>
      </c>
      <c r="D6001" t="s">
        <v>10773</v>
      </c>
      <c r="E6001" t="str">
        <f>HYPERLINK("https://patents.google.com/patent/US6986015B2/en")</f>
        <v>https://patents.google.com/patent/US6986015B2/en</v>
      </c>
    </row>
    <row r="6002" spans="3:5" x14ac:dyDescent="0.25">
      <c r="C6002" t="s">
        <v>10774</v>
      </c>
      <c r="D6002" t="s">
        <v>10775</v>
      </c>
      <c r="E6002" t="str">
        <f>HYPERLINK("https://patents.google.com/patent/US6718486B1/en")</f>
        <v>https://patents.google.com/patent/US6718486B1/en</v>
      </c>
    </row>
    <row r="6003" spans="3:5" x14ac:dyDescent="0.25">
      <c r="C6003" t="s">
        <v>10776</v>
      </c>
      <c r="D6003" t="s">
        <v>10777</v>
      </c>
      <c r="E6003" t="str">
        <f>HYPERLINK("https://patents.google.com/patent/US6973549B1/en")</f>
        <v>https://patents.google.com/patent/US6973549B1/en</v>
      </c>
    </row>
    <row r="6004" spans="3:5" x14ac:dyDescent="0.25">
      <c r="C6004" t="s">
        <v>10778</v>
      </c>
      <c r="D6004" t="s">
        <v>10779</v>
      </c>
      <c r="E6004" t="str">
        <f>HYPERLINK("https://patents.google.com/patent/US7716077B1/en")</f>
        <v>https://patents.google.com/patent/US7716077B1/en</v>
      </c>
    </row>
    <row r="6005" spans="3:5" x14ac:dyDescent="0.25">
      <c r="C6005" t="s">
        <v>10780</v>
      </c>
      <c r="D6005" t="s">
        <v>10781</v>
      </c>
      <c r="E6005" t="str">
        <f>HYPERLINK("https://patents.google.com/patent/US7831693B2/en")</f>
        <v>https://patents.google.com/patent/US7831693B2/en</v>
      </c>
    </row>
    <row r="6006" spans="3:5" x14ac:dyDescent="0.25">
      <c r="C6006" t="s">
        <v>8474</v>
      </c>
      <c r="D6006" t="s">
        <v>10782</v>
      </c>
      <c r="E6006" t="str">
        <f>HYPERLINK("https://patents.google.com/patent/US6988138B1/en")</f>
        <v>https://patents.google.com/patent/US6988138B1/en</v>
      </c>
    </row>
    <row r="6007" spans="3:5" x14ac:dyDescent="0.25">
      <c r="C6007" t="s">
        <v>10783</v>
      </c>
      <c r="D6007" t="s">
        <v>10784</v>
      </c>
      <c r="E6007" t="str">
        <f>HYPERLINK("https://patents.google.com/patent/US5317568A/en")</f>
        <v>https://patents.google.com/patent/US5317568A/en</v>
      </c>
    </row>
    <row r="6008" spans="3:5" x14ac:dyDescent="0.25">
      <c r="C6008" t="s">
        <v>10785</v>
      </c>
      <c r="D6008" t="s">
        <v>10786</v>
      </c>
      <c r="E6008" t="str">
        <f>HYPERLINK("https://patents.google.com/patent/US7698398B1/en")</f>
        <v>https://patents.google.com/patent/US7698398B1/en</v>
      </c>
    </row>
    <row r="6009" spans="3:5" x14ac:dyDescent="0.25">
      <c r="C6009" t="s">
        <v>10787</v>
      </c>
      <c r="D6009" t="s">
        <v>10788</v>
      </c>
      <c r="E6009" t="str">
        <f>HYPERLINK("https://patents.google.com/patent/US7013379B1/en")</f>
        <v>https://patents.google.com/patent/US7013379B1/en</v>
      </c>
    </row>
    <row r="6010" spans="3:5" x14ac:dyDescent="0.25">
      <c r="C6010" t="s">
        <v>10789</v>
      </c>
      <c r="D6010" t="s">
        <v>10790</v>
      </c>
      <c r="E6010" t="str">
        <f>HYPERLINK("https://patents.google.com/patent/US8346929B1/en")</f>
        <v>https://patents.google.com/patent/US8346929B1/en</v>
      </c>
    </row>
    <row r="6011" spans="3:5" x14ac:dyDescent="0.25">
      <c r="C6011" t="s">
        <v>10791</v>
      </c>
      <c r="D6011" t="s">
        <v>10792</v>
      </c>
      <c r="E6011" t="str">
        <f>HYPERLINK("https://patents.google.com/patent/US8069435B1/en")</f>
        <v>https://patents.google.com/patent/US8069435B1/en</v>
      </c>
    </row>
    <row r="6012" spans="3:5" x14ac:dyDescent="0.25">
      <c r="C6012" t="s">
        <v>10793</v>
      </c>
      <c r="D6012" t="s">
        <v>10794</v>
      </c>
      <c r="E6012" t="str">
        <f>HYPERLINK("https://patents.google.com/patent/US3616070A/en")</f>
        <v>https://patents.google.com/patent/US3616070A/en</v>
      </c>
    </row>
    <row r="6013" spans="3:5" x14ac:dyDescent="0.25">
      <c r="C6013" t="s">
        <v>10795</v>
      </c>
      <c r="D6013" t="s">
        <v>10796</v>
      </c>
      <c r="E6013" t="str">
        <f>HYPERLINK("https://patents.google.com/patent/US5725776A/en")</f>
        <v>https://patents.google.com/patent/US5725776A/en</v>
      </c>
    </row>
    <row r="6014" spans="3:5" x14ac:dyDescent="0.25">
      <c r="C6014" t="s">
        <v>7747</v>
      </c>
      <c r="D6014" t="s">
        <v>10797</v>
      </c>
      <c r="E6014" t="str">
        <f>HYPERLINK("https://patents.google.com/patent/US7137126B1/en")</f>
        <v>https://patents.google.com/patent/US7137126B1/en</v>
      </c>
    </row>
    <row r="6015" spans="3:5" x14ac:dyDescent="0.25">
      <c r="C6015" t="s">
        <v>10798</v>
      </c>
      <c r="D6015" t="s">
        <v>10799</v>
      </c>
      <c r="E6015" t="str">
        <f>HYPERLINK("https://patents.google.com/patent/US7627617B2/en")</f>
        <v>https://patents.google.com/patent/US7627617B2/en</v>
      </c>
    </row>
    <row r="6016" spans="3:5" x14ac:dyDescent="0.25">
      <c r="C6016" t="s">
        <v>10800</v>
      </c>
      <c r="D6016" t="s">
        <v>10801</v>
      </c>
      <c r="E6016" t="str">
        <f>HYPERLINK("https://patents.google.com/patent/US7685109B1/en")</f>
        <v>https://patents.google.com/patent/US7685109B1/en</v>
      </c>
    </row>
    <row r="6017" spans="3:5" x14ac:dyDescent="0.25">
      <c r="C6017" t="s">
        <v>10802</v>
      </c>
      <c r="D6017" t="s">
        <v>10803</v>
      </c>
      <c r="E6017" t="str">
        <f>HYPERLINK("https://patents.google.com/patent/US6088659A/en")</f>
        <v>https://patents.google.com/patent/US6088659A/en</v>
      </c>
    </row>
    <row r="6018" spans="3:5" x14ac:dyDescent="0.25">
      <c r="C6018" t="s">
        <v>10804</v>
      </c>
      <c r="D6018" t="s">
        <v>10805</v>
      </c>
      <c r="E6018" t="str">
        <f>HYPERLINK("https://patents.google.com/patent/US8578076B2/en")</f>
        <v>https://patents.google.com/patent/US8578076B2/en</v>
      </c>
    </row>
    <row r="6019" spans="3:5" x14ac:dyDescent="0.25">
      <c r="C6019" t="s">
        <v>10806</v>
      </c>
      <c r="D6019" t="s">
        <v>10807</v>
      </c>
      <c r="E6019" t="str">
        <f>HYPERLINK("https://patents.google.com/patent/US7280536B2/en")</f>
        <v>https://patents.google.com/patent/US7280536B2/en</v>
      </c>
    </row>
    <row r="6020" spans="3:5" x14ac:dyDescent="0.25">
      <c r="C6020" t="s">
        <v>10808</v>
      </c>
      <c r="D6020" t="s">
        <v>10809</v>
      </c>
      <c r="E6020" t="str">
        <f>HYPERLINK("https://patents.google.com/patent/US6959373B2/en")</f>
        <v>https://patents.google.com/patent/US6959373B2/en</v>
      </c>
    </row>
    <row r="6021" spans="3:5" x14ac:dyDescent="0.25">
      <c r="C6021" t="s">
        <v>10810</v>
      </c>
      <c r="D6021" t="s">
        <v>10811</v>
      </c>
      <c r="E6021" t="str">
        <f>HYPERLINK("https://patents.google.com/patent/US8880682B2/en")</f>
        <v>https://patents.google.com/patent/US8880682B2/en</v>
      </c>
    </row>
    <row r="6022" spans="3:5" x14ac:dyDescent="0.25">
      <c r="C6022" t="s">
        <v>10812</v>
      </c>
      <c r="D6022" t="s">
        <v>10813</v>
      </c>
      <c r="E6022" t="str">
        <f>HYPERLINK("https://patents.google.com/patent/US8300798B1/en")</f>
        <v>https://patents.google.com/patent/US8300798B1/en</v>
      </c>
    </row>
    <row r="6023" spans="3:5" x14ac:dyDescent="0.25">
      <c r="C6023" t="s">
        <v>10814</v>
      </c>
      <c r="D6023" t="s">
        <v>10815</v>
      </c>
      <c r="E6023" t="str">
        <f>HYPERLINK("https://patents.google.com/patent/CN101966868A/en")</f>
        <v>https://patents.google.com/patent/CN101966868A/en</v>
      </c>
    </row>
    <row r="6024" spans="3:5" x14ac:dyDescent="0.25">
      <c r="C6024" t="s">
        <v>10816</v>
      </c>
      <c r="D6024" t="s">
        <v>10817</v>
      </c>
      <c r="E6024" t="str">
        <f>HYPERLINK("https://patents.google.com/patent/US5917615A/en")</f>
        <v>https://patents.google.com/patent/US5917615A/en</v>
      </c>
    </row>
    <row r="6025" spans="3:5" x14ac:dyDescent="0.25">
      <c r="C6025" t="s">
        <v>10818</v>
      </c>
      <c r="D6025" t="s">
        <v>10819</v>
      </c>
      <c r="E6025" t="str">
        <f>HYPERLINK("https://patents.google.com/patent/US20130179061A1/en")</f>
        <v>https://patents.google.com/patent/US20130179061A1/en</v>
      </c>
    </row>
    <row r="6026" spans="3:5" x14ac:dyDescent="0.25">
      <c r="C6026" t="s">
        <v>10820</v>
      </c>
      <c r="D6026" t="s">
        <v>10821</v>
      </c>
      <c r="E6026" t="str">
        <f>HYPERLINK("https://patents.google.com/patent/US6601902B1/en")</f>
        <v>https://patents.google.com/patent/US6601902B1/en</v>
      </c>
    </row>
    <row r="6027" spans="3:5" x14ac:dyDescent="0.25">
      <c r="C6027" t="s">
        <v>10822</v>
      </c>
      <c r="D6027" t="s">
        <v>10823</v>
      </c>
      <c r="E6027" t="str">
        <f>HYPERLINK("https://patents.google.com/patent/US7415038B2/en")</f>
        <v>https://patents.google.com/patent/US7415038B2/en</v>
      </c>
    </row>
    <row r="6028" spans="3:5" x14ac:dyDescent="0.25">
      <c r="C6028" t="s">
        <v>10824</v>
      </c>
      <c r="D6028" t="s">
        <v>10825</v>
      </c>
      <c r="E6028" t="str">
        <f>HYPERLINK("https://patents.google.com/patent/US5720018A/en")</f>
        <v>https://patents.google.com/patent/US5720018A/en</v>
      </c>
    </row>
    <row r="6029" spans="3:5" x14ac:dyDescent="0.25">
      <c r="C6029" t="s">
        <v>10826</v>
      </c>
      <c r="D6029" t="s">
        <v>10827</v>
      </c>
      <c r="E6029" t="str">
        <f>HYPERLINK("https://patents.google.com/patent/US6244108B1/en")</f>
        <v>https://patents.google.com/patent/US6244108B1/en</v>
      </c>
    </row>
    <row r="6030" spans="3:5" x14ac:dyDescent="0.25">
      <c r="C6030" t="s">
        <v>10828</v>
      </c>
      <c r="D6030" t="s">
        <v>10829</v>
      </c>
      <c r="E6030" t="str">
        <f>HYPERLINK("https://patents.google.com/patent/US6119411A/en")</f>
        <v>https://patents.google.com/patent/US6119411A/en</v>
      </c>
    </row>
    <row r="6031" spans="3:5" x14ac:dyDescent="0.25">
      <c r="C6031" t="s">
        <v>10830</v>
      </c>
      <c r="D6031" t="s">
        <v>10831</v>
      </c>
      <c r="E6031" t="str">
        <f>HYPERLINK("https://patents.google.com/patent/US20120030672A1/en")</f>
        <v>https://patents.google.com/patent/US20120030672A1/en</v>
      </c>
    </row>
    <row r="6032" spans="3:5" x14ac:dyDescent="0.25">
      <c r="C6032" t="s">
        <v>10832</v>
      </c>
      <c r="D6032" t="s">
        <v>10833</v>
      </c>
      <c r="E6032" t="str">
        <f>HYPERLINK("https://patents.google.com/patent/US6517207B2/en")</f>
        <v>https://patents.google.com/patent/US6517207B2/en</v>
      </c>
    </row>
    <row r="6033" spans="3:5" x14ac:dyDescent="0.25">
      <c r="C6033" t="s">
        <v>7693</v>
      </c>
      <c r="D6033" t="s">
        <v>10834</v>
      </c>
      <c r="E6033" t="str">
        <f>HYPERLINK("https://patents.google.com/patent/US7372952B1/en")</f>
        <v>https://patents.google.com/patent/US7372952B1/en</v>
      </c>
    </row>
    <row r="6034" spans="3:5" x14ac:dyDescent="0.25">
      <c r="C6034" t="s">
        <v>10835</v>
      </c>
      <c r="D6034" t="s">
        <v>10836</v>
      </c>
      <c r="E6034" t="str">
        <f>HYPERLINK("https://patents.google.com/patent/US20030037181A1/en")</f>
        <v>https://patents.google.com/patent/US20030037181A1/en</v>
      </c>
    </row>
    <row r="6035" spans="3:5" x14ac:dyDescent="0.25">
      <c r="C6035" t="s">
        <v>10837</v>
      </c>
      <c r="D6035" t="s">
        <v>10838</v>
      </c>
      <c r="E6035" t="str">
        <f>HYPERLINK("https://patents.google.com/patent/US20140328190A1/en")</f>
        <v>https://patents.google.com/patent/US20140328190A1/en</v>
      </c>
    </row>
    <row r="6036" spans="3:5" x14ac:dyDescent="0.25">
      <c r="C6036" t="s">
        <v>10839</v>
      </c>
      <c r="D6036" t="s">
        <v>10840</v>
      </c>
      <c r="E6036" t="str">
        <f>HYPERLINK("https://patents.google.com/patent/US20060227116A1/en")</f>
        <v>https://patents.google.com/patent/US20060227116A1/en</v>
      </c>
    </row>
    <row r="6037" spans="3:5" x14ac:dyDescent="0.25">
      <c r="C6037" t="s">
        <v>10841</v>
      </c>
      <c r="D6037" t="s">
        <v>10842</v>
      </c>
      <c r="E6037" t="str">
        <f>HYPERLINK("https://patents.google.com/patent/US20050032611A1/en")</f>
        <v>https://patents.google.com/patent/US20050032611A1/en</v>
      </c>
    </row>
    <row r="6038" spans="3:5" x14ac:dyDescent="0.25">
      <c r="C6038" t="s">
        <v>10843</v>
      </c>
      <c r="D6038" t="s">
        <v>10844</v>
      </c>
      <c r="E6038" t="str">
        <f>HYPERLINK("https://patents.google.com/patent/US20040267168A1/en")</f>
        <v>https://patents.google.com/patent/US20040267168A1/en</v>
      </c>
    </row>
    <row r="6039" spans="3:5" x14ac:dyDescent="0.25">
      <c r="C6039" t="s">
        <v>10845</v>
      </c>
      <c r="D6039" t="s">
        <v>10846</v>
      </c>
      <c r="E6039" t="str">
        <f>HYPERLINK("https://patents.google.com/patent/US6892216B2/en")</f>
        <v>https://patents.google.com/patent/US6892216B2/en</v>
      </c>
    </row>
    <row r="6040" spans="3:5" x14ac:dyDescent="0.25">
      <c r="C6040" t="s">
        <v>10847</v>
      </c>
      <c r="D6040" t="s">
        <v>10848</v>
      </c>
      <c r="E6040" t="str">
        <f>HYPERLINK("https://patents.google.com/patent/US20050243604A1/en")</f>
        <v>https://patents.google.com/patent/US20050243604A1/en</v>
      </c>
    </row>
    <row r="6041" spans="3:5" x14ac:dyDescent="0.25">
      <c r="C6041" t="s">
        <v>10849</v>
      </c>
      <c r="D6041" t="s">
        <v>10850</v>
      </c>
      <c r="E6041" t="str">
        <f>HYPERLINK("https://patents.google.com/patent/US20150127565A1/en")</f>
        <v>https://patents.google.com/patent/US20150127565A1/en</v>
      </c>
    </row>
    <row r="6042" spans="3:5" x14ac:dyDescent="0.25">
      <c r="C6042" t="s">
        <v>10851</v>
      </c>
      <c r="D6042" t="s">
        <v>10852</v>
      </c>
      <c r="E6042" t="str">
        <f>HYPERLINK("https://patents.google.com/patent/US7277946B2/en")</f>
        <v>https://patents.google.com/patent/US7277946B2/en</v>
      </c>
    </row>
    <row r="6043" spans="3:5" x14ac:dyDescent="0.25">
      <c r="C6043" t="s">
        <v>10853</v>
      </c>
      <c r="D6043" t="s">
        <v>10854</v>
      </c>
      <c r="E6043" t="str">
        <f>HYPERLINK("https://patents.google.com/patent/US3656354A/en")</f>
        <v>https://patents.google.com/patent/US3656354A/en</v>
      </c>
    </row>
    <row r="6044" spans="3:5" x14ac:dyDescent="0.25">
      <c r="C6044" t="s">
        <v>10855</v>
      </c>
      <c r="D6044" t="s">
        <v>10856</v>
      </c>
      <c r="E6044" t="str">
        <f>HYPERLINK("https://patents.google.com/patent/US4730797A/en")</f>
        <v>https://patents.google.com/patent/US4730797A/en</v>
      </c>
    </row>
    <row r="6045" spans="3:5" x14ac:dyDescent="0.25">
      <c r="C6045" t="s">
        <v>10857</v>
      </c>
      <c r="D6045" t="s">
        <v>10858</v>
      </c>
      <c r="E6045" t="str">
        <f>HYPERLINK("https://patents.google.com/patent/US6644976B2/en")</f>
        <v>https://patents.google.com/patent/US6644976B2/en</v>
      </c>
    </row>
    <row r="6046" spans="3:5" x14ac:dyDescent="0.25">
      <c r="C6046" t="s">
        <v>10859</v>
      </c>
      <c r="D6046" t="s">
        <v>10860</v>
      </c>
      <c r="E6046" t="str">
        <f>HYPERLINK("https://patents.google.com/patent/US4226502A/en")</f>
        <v>https://patents.google.com/patent/US4226502A/en</v>
      </c>
    </row>
    <row r="6047" spans="3:5" x14ac:dyDescent="0.25">
      <c r="C6047" t="s">
        <v>10861</v>
      </c>
      <c r="D6047" t="s">
        <v>10862</v>
      </c>
      <c r="E6047" t="str">
        <f>HYPERLINK("https://patents.google.com/patent/US20070067769A1/en")</f>
        <v>https://patents.google.com/patent/US20070067769A1/en</v>
      </c>
    </row>
    <row r="6048" spans="3:5" x14ac:dyDescent="0.25">
      <c r="C6048" t="s">
        <v>10863</v>
      </c>
      <c r="D6048" t="s">
        <v>10864</v>
      </c>
      <c r="E6048" t="str">
        <f>HYPERLINK("https://patents.google.com/patent/US20070074192A1/en")</f>
        <v>https://patents.google.com/patent/US20070074192A1/en</v>
      </c>
    </row>
    <row r="6049" spans="3:5" x14ac:dyDescent="0.25">
      <c r="C6049" t="s">
        <v>10865</v>
      </c>
      <c r="D6049" t="s">
        <v>10866</v>
      </c>
      <c r="E6049" t="str">
        <f>HYPERLINK("https://patents.google.com/patent/US4934630A/en")</f>
        <v>https://patents.google.com/patent/US4934630A/en</v>
      </c>
    </row>
    <row r="6050" spans="3:5" x14ac:dyDescent="0.25">
      <c r="C6050" t="s">
        <v>10867</v>
      </c>
      <c r="D6050" t="s">
        <v>10868</v>
      </c>
      <c r="E6050" t="str">
        <f>HYPERLINK("https://patents.google.com/patent/US5735497A/en")</f>
        <v>https://patents.google.com/patent/US5735497A/en</v>
      </c>
    </row>
    <row r="6051" spans="3:5" x14ac:dyDescent="0.25">
      <c r="C6051" t="s">
        <v>10869</v>
      </c>
      <c r="D6051" t="s">
        <v>10870</v>
      </c>
      <c r="E6051" t="str">
        <f>HYPERLINK("https://patents.google.com/patent/US6550408B1/en")</f>
        <v>https://patents.google.com/patent/US6550408B1/en</v>
      </c>
    </row>
    <row r="6052" spans="3:5" x14ac:dyDescent="0.25">
      <c r="C6052" t="s">
        <v>10871</v>
      </c>
      <c r="D6052" t="s">
        <v>10872</v>
      </c>
      <c r="E6052" t="str">
        <f>HYPERLINK("https://patents.google.com/patent/CN103136101A/en")</f>
        <v>https://patents.google.com/patent/CN103136101A/en</v>
      </c>
    </row>
    <row r="6053" spans="3:5" x14ac:dyDescent="0.25">
      <c r="C6053" t="s">
        <v>10873</v>
      </c>
      <c r="D6053" t="s">
        <v>10874</v>
      </c>
      <c r="E6053" t="str">
        <f>HYPERLINK("https://patents.google.com/patent/US7310666B2/en")</f>
        <v>https://patents.google.com/patent/US7310666B2/en</v>
      </c>
    </row>
    <row r="6054" spans="3:5" x14ac:dyDescent="0.25">
      <c r="C6054" t="s">
        <v>10875</v>
      </c>
      <c r="D6054" t="s">
        <v>10876</v>
      </c>
      <c r="E6054" t="str">
        <f>HYPERLINK("https://patents.google.com/patent/US20030126200A1/en")</f>
        <v>https://patents.google.com/patent/US20030126200A1/en</v>
      </c>
    </row>
    <row r="6055" spans="3:5" x14ac:dyDescent="0.25">
      <c r="C6055" t="s">
        <v>10877</v>
      </c>
      <c r="D6055" t="s">
        <v>10878</v>
      </c>
      <c r="E6055" t="str">
        <f>HYPERLINK("https://patents.google.com/patent/US20050075957A1/en")</f>
        <v>https://patents.google.com/patent/US20050075957A1/en</v>
      </c>
    </row>
    <row r="6056" spans="3:5" x14ac:dyDescent="0.25">
      <c r="C6056" t="s">
        <v>10879</v>
      </c>
      <c r="D6056" t="s">
        <v>10880</v>
      </c>
      <c r="E6056" t="str">
        <f>HYPERLINK("https://patents.google.com/patent/US20080294996A1/en")</f>
        <v>https://patents.google.com/patent/US20080294996A1/en</v>
      </c>
    </row>
    <row r="6057" spans="3:5" x14ac:dyDescent="0.25">
      <c r="C6057" t="s">
        <v>10881</v>
      </c>
      <c r="D6057" t="s">
        <v>10882</v>
      </c>
      <c r="E6057" t="str">
        <f>HYPERLINK("https://patents.google.com/patent/US20050177515A1/en")</f>
        <v>https://patents.google.com/patent/US20050177515A1/en</v>
      </c>
    </row>
    <row r="6058" spans="3:5" x14ac:dyDescent="0.25">
      <c r="C6058" t="s">
        <v>10883</v>
      </c>
      <c r="D6058" t="s">
        <v>10884</v>
      </c>
      <c r="E6058" t="str">
        <f>HYPERLINK("https://patents.google.com/patent/US20100086251A1/en")</f>
        <v>https://patents.google.com/patent/US20100086251A1/en</v>
      </c>
    </row>
    <row r="6059" spans="3:5" x14ac:dyDescent="0.25">
      <c r="C6059" t="s">
        <v>10885</v>
      </c>
      <c r="D6059" t="s">
        <v>10886</v>
      </c>
      <c r="E6059" t="str">
        <f>HYPERLINK("https://patents.google.com/patent/US20090171999A1/en")</f>
        <v>https://patents.google.com/patent/US20090171999A1/en</v>
      </c>
    </row>
    <row r="6060" spans="3:5" x14ac:dyDescent="0.25">
      <c r="C6060" t="s">
        <v>10887</v>
      </c>
      <c r="D6060" t="s">
        <v>10888</v>
      </c>
      <c r="E6060" t="str">
        <f>HYPERLINK("https://patents.google.com/patent/CN201486534U/en")</f>
        <v>https://patents.google.com/patent/CN201486534U/en</v>
      </c>
    </row>
    <row r="6061" spans="3:5" x14ac:dyDescent="0.25">
      <c r="C6061" t="s">
        <v>10889</v>
      </c>
      <c r="D6061" t="s">
        <v>10890</v>
      </c>
      <c r="E6061" t="str">
        <f>HYPERLINK("https://patents.google.com/patent/US20080133767A1/en")</f>
        <v>https://patents.google.com/patent/US20080133767A1/en</v>
      </c>
    </row>
    <row r="6062" spans="3:5" x14ac:dyDescent="0.25">
      <c r="C6062" t="s">
        <v>10891</v>
      </c>
      <c r="D6062" t="s">
        <v>10892</v>
      </c>
      <c r="E6062" t="str">
        <f>HYPERLINK("https://patents.google.com/patent/US20050086360A1/en")</f>
        <v>https://patents.google.com/patent/US20050086360A1/en</v>
      </c>
    </row>
    <row r="6063" spans="3:5" x14ac:dyDescent="0.25">
      <c r="C6063" t="s">
        <v>10893</v>
      </c>
      <c r="D6063" t="s">
        <v>10894</v>
      </c>
      <c r="E6063" t="str">
        <f>HYPERLINK("https://patents.google.com/patent/US7263686B2/en")</f>
        <v>https://patents.google.com/patent/US7263686B2/en</v>
      </c>
    </row>
    <row r="6064" spans="3:5" x14ac:dyDescent="0.25">
      <c r="C6064" t="s">
        <v>10895</v>
      </c>
      <c r="D6064" t="s">
        <v>10896</v>
      </c>
      <c r="E6064" t="str">
        <f>HYPERLINK("https://patents.google.com/patent/US20110231280A1/en")</f>
        <v>https://patents.google.com/patent/US20110231280A1/en</v>
      </c>
    </row>
    <row r="6065" spans="3:5" x14ac:dyDescent="0.25">
      <c r="C6065" t="s">
        <v>10897</v>
      </c>
      <c r="D6065" t="s">
        <v>10898</v>
      </c>
      <c r="E6065" t="str">
        <f>HYPERLINK("https://patents.google.com/patent/US20120324069A1/en")</f>
        <v>https://patents.google.com/patent/US20120324069A1/en</v>
      </c>
    </row>
    <row r="6066" spans="3:5" x14ac:dyDescent="0.25">
      <c r="C6066" t="s">
        <v>10899</v>
      </c>
      <c r="D6066" t="s">
        <v>10900</v>
      </c>
      <c r="E6066" t="str">
        <f>HYPERLINK("https://patents.google.com/patent/US20020065879A1/en")</f>
        <v>https://patents.google.com/patent/US20020065879A1/en</v>
      </c>
    </row>
    <row r="6067" spans="3:5" x14ac:dyDescent="0.25">
      <c r="C6067" t="s">
        <v>10901</v>
      </c>
      <c r="D6067" t="s">
        <v>10902</v>
      </c>
      <c r="E6067" t="str">
        <f>HYPERLINK("https://patents.google.com/patent/US20050240558A1/en")</f>
        <v>https://patents.google.com/patent/US20050240558A1/en</v>
      </c>
    </row>
    <row r="6068" spans="3:5" x14ac:dyDescent="0.25">
      <c r="C6068" t="s">
        <v>10903</v>
      </c>
      <c r="D6068" t="s">
        <v>10904</v>
      </c>
      <c r="E6068" t="str">
        <f>HYPERLINK("https://patents.google.com/patent/US20150141027A1/en")</f>
        <v>https://patents.google.com/patent/US20150141027A1/en</v>
      </c>
    </row>
    <row r="6069" spans="3:5" x14ac:dyDescent="0.25">
      <c r="C6069" t="s">
        <v>10905</v>
      </c>
      <c r="D6069" t="s">
        <v>10906</v>
      </c>
      <c r="E6069" t="str">
        <f>HYPERLINK("https://patents.google.com/patent/US20050223109A1/en")</f>
        <v>https://patents.google.com/patent/US20050223109A1/en</v>
      </c>
    </row>
    <row r="6070" spans="3:5" x14ac:dyDescent="0.25">
      <c r="C6070" t="s">
        <v>10907</v>
      </c>
      <c r="D6070" t="s">
        <v>10908</v>
      </c>
      <c r="E6070" t="str">
        <f>HYPERLINK("https://patents.google.com/patent/US20050222931A1/en")</f>
        <v>https://patents.google.com/patent/US20050222931A1/en</v>
      </c>
    </row>
    <row r="6071" spans="3:5" x14ac:dyDescent="0.25">
      <c r="C6071" t="s">
        <v>10909</v>
      </c>
      <c r="D6071" t="s">
        <v>10910</v>
      </c>
      <c r="E6071" t="str">
        <f>HYPERLINK("https://patents.google.com/patent/US20050228808A1/en")</f>
        <v>https://patents.google.com/patent/US20050228808A1/en</v>
      </c>
    </row>
    <row r="6072" spans="3:5" x14ac:dyDescent="0.25">
      <c r="C6072" t="s">
        <v>10911</v>
      </c>
      <c r="D6072" t="s">
        <v>10912</v>
      </c>
      <c r="E6072" t="str">
        <f>HYPERLINK("https://patents.google.com/patent/US20050240592A1/en")</f>
        <v>https://patents.google.com/patent/US20050240592A1/en</v>
      </c>
    </row>
    <row r="6073" spans="3:5" x14ac:dyDescent="0.25">
      <c r="C6073" t="s">
        <v>10913</v>
      </c>
      <c r="D6073" t="s">
        <v>10914</v>
      </c>
      <c r="E6073" t="str">
        <f>HYPERLINK("https://patents.google.com/patent/US20130145482A1/en")</f>
        <v>https://patents.google.com/patent/US20130145482A1/en</v>
      </c>
    </row>
    <row r="6074" spans="3:5" x14ac:dyDescent="0.25">
      <c r="C6074" t="s">
        <v>10915</v>
      </c>
      <c r="D6074" t="s">
        <v>10916</v>
      </c>
      <c r="E6074" t="str">
        <f>HYPERLINK("https://patents.google.com/patent/US20090074214A1/en")</f>
        <v>https://patents.google.com/patent/US20090074214A1/en</v>
      </c>
    </row>
    <row r="6075" spans="3:5" x14ac:dyDescent="0.25">
      <c r="C6075" t="s">
        <v>10917</v>
      </c>
      <c r="D6075" t="s">
        <v>10918</v>
      </c>
      <c r="E6075" t="str">
        <f>HYPERLINK("https://patents.google.com/patent/US20100049654A1/en")</f>
        <v>https://patents.google.com/patent/US20100049654A1/en</v>
      </c>
    </row>
    <row r="6076" spans="3:5" x14ac:dyDescent="0.25">
      <c r="C6076" t="s">
        <v>10919</v>
      </c>
      <c r="D6076" t="s">
        <v>10920</v>
      </c>
      <c r="E6076" t="str">
        <f>HYPERLINK("https://patents.google.com/patent/US20130204466A1/en")</f>
        <v>https://patents.google.com/patent/US20130204466A1/en</v>
      </c>
    </row>
    <row r="6077" spans="3:5" x14ac:dyDescent="0.25">
      <c r="C6077" t="s">
        <v>10921</v>
      </c>
      <c r="D6077" t="s">
        <v>10922</v>
      </c>
      <c r="E6077" t="str">
        <f>HYPERLINK("https://patents.google.com/patent/US5740635A/en")</f>
        <v>https://patents.google.com/patent/US5740635A/en</v>
      </c>
    </row>
    <row r="6078" spans="3:5" x14ac:dyDescent="0.25">
      <c r="C6078" t="s">
        <v>10923</v>
      </c>
      <c r="D6078" t="s">
        <v>10924</v>
      </c>
      <c r="E6078" t="str">
        <f>HYPERLINK("https://patents.google.com/patent/US20050235274A1/en")</f>
        <v>https://patents.google.com/patent/US20050235274A1/en</v>
      </c>
    </row>
    <row r="6079" spans="3:5" x14ac:dyDescent="0.25">
      <c r="C6079" t="s">
        <v>10925</v>
      </c>
      <c r="D6079" t="s">
        <v>10926</v>
      </c>
      <c r="E6079" t="str">
        <f>HYPERLINK("https://patents.google.com/patent/US20090077097A1/en")</f>
        <v>https://patents.google.com/patent/US20090077097A1/en</v>
      </c>
    </row>
    <row r="6080" spans="3:5" x14ac:dyDescent="0.25">
      <c r="C6080" t="s">
        <v>10925</v>
      </c>
      <c r="D6080" t="s">
        <v>10927</v>
      </c>
      <c r="E6080" t="str">
        <f>HYPERLINK("https://patents.google.com/patent/US20090106255A1/en")</f>
        <v>https://patents.google.com/patent/US20090106255A1/en</v>
      </c>
    </row>
    <row r="6081" spans="3:5" x14ac:dyDescent="0.25">
      <c r="C6081" t="s">
        <v>10928</v>
      </c>
      <c r="D6081" t="s">
        <v>10929</v>
      </c>
      <c r="E6081" t="str">
        <f>HYPERLINK("https://patents.google.com/patent/US20100331633A1/en")</f>
        <v>https://patents.google.com/patent/US20100331633A1/en</v>
      </c>
    </row>
    <row r="6082" spans="3:5" x14ac:dyDescent="0.25">
      <c r="C6082" t="s">
        <v>10930</v>
      </c>
      <c r="D6082" t="s">
        <v>10931</v>
      </c>
      <c r="E6082" t="str">
        <f>HYPERLINK("https://patents.google.com/patent/US20030009551A1/en")</f>
        <v>https://patents.google.com/patent/US20030009551A1/en</v>
      </c>
    </row>
    <row r="6083" spans="3:5" x14ac:dyDescent="0.25">
      <c r="C6083" t="s">
        <v>10932</v>
      </c>
      <c r="D6083" t="s">
        <v>10933</v>
      </c>
      <c r="E6083" t="str">
        <f>HYPERLINK("https://patents.google.com/patent/US20170085437A1/en")</f>
        <v>https://patents.google.com/patent/US20170085437A1/en</v>
      </c>
    </row>
    <row r="6084" spans="3:5" x14ac:dyDescent="0.25">
      <c r="C6084" t="s">
        <v>10934</v>
      </c>
      <c r="D6084" t="s">
        <v>10935</v>
      </c>
      <c r="E6084" t="str">
        <f>HYPERLINK("https://patents.google.com/patent/US20010032154A1/en")</f>
        <v>https://patents.google.com/patent/US20010032154A1/en</v>
      </c>
    </row>
    <row r="6085" spans="3:5" x14ac:dyDescent="0.25">
      <c r="C6085" t="s">
        <v>10936</v>
      </c>
      <c r="D6085" t="s">
        <v>10937</v>
      </c>
      <c r="E6085" t="str">
        <f>HYPERLINK("https://patents.google.com/patent/US6782374B2/en")</f>
        <v>https://patents.google.com/patent/US6782374B2/en</v>
      </c>
    </row>
    <row r="6086" spans="3:5" x14ac:dyDescent="0.25">
      <c r="C6086" t="s">
        <v>10938</v>
      </c>
      <c r="D6086" t="s">
        <v>10939</v>
      </c>
      <c r="E6086" t="str">
        <f>HYPERLINK("https://patents.google.com/patent/US20070204017A1/en")</f>
        <v>https://patents.google.com/patent/US20070204017A1/en</v>
      </c>
    </row>
    <row r="6087" spans="3:5" x14ac:dyDescent="0.25">
      <c r="C6087" t="s">
        <v>10940</v>
      </c>
      <c r="D6087" t="s">
        <v>10941</v>
      </c>
      <c r="E6087" t="str">
        <f>HYPERLINK("https://patents.google.com/patent/US20120136780A1/en")</f>
        <v>https://patents.google.com/patent/US20120136780A1/en</v>
      </c>
    </row>
    <row r="6088" spans="3:5" x14ac:dyDescent="0.25">
      <c r="C6088" t="s">
        <v>10942</v>
      </c>
      <c r="D6088" t="s">
        <v>10943</v>
      </c>
      <c r="E6088" t="str">
        <f>HYPERLINK("https://patents.google.com/patent/US20120036515A1/en")</f>
        <v>https://patents.google.com/patent/US20120036515A1/en</v>
      </c>
    </row>
    <row r="6089" spans="3:5" x14ac:dyDescent="0.25">
      <c r="C6089" t="s">
        <v>10944</v>
      </c>
      <c r="D6089" t="s">
        <v>10945</v>
      </c>
      <c r="E6089" t="str">
        <f>HYPERLINK("https://patents.google.com/patent/US20120151472A1/en")</f>
        <v>https://patents.google.com/patent/US20120151472A1/en</v>
      </c>
    </row>
    <row r="6090" spans="3:5" x14ac:dyDescent="0.25">
      <c r="C6090" t="s">
        <v>10946</v>
      </c>
      <c r="D6090" t="s">
        <v>10947</v>
      </c>
      <c r="E6090" t="str">
        <f>HYPERLINK("https://patents.google.com/patent/CN101118719A/en")</f>
        <v>https://patents.google.com/patent/CN101118719A/en</v>
      </c>
    </row>
    <row r="6091" spans="3:5" x14ac:dyDescent="0.25">
      <c r="C6091" t="s">
        <v>10948</v>
      </c>
      <c r="D6091" t="s">
        <v>10949</v>
      </c>
      <c r="E6091" t="str">
        <f>HYPERLINK("https://patents.google.com/patent/US20140068611A1/en")</f>
        <v>https://patents.google.com/patent/US20140068611A1/en</v>
      </c>
    </row>
    <row r="6092" spans="3:5" x14ac:dyDescent="0.25">
      <c r="C6092" t="s">
        <v>10950</v>
      </c>
      <c r="D6092" t="s">
        <v>10951</v>
      </c>
      <c r="E6092" t="str">
        <f>HYPERLINK("https://patents.google.com/patent/US20070184846A1/en")</f>
        <v>https://patents.google.com/patent/US20070184846A1/en</v>
      </c>
    </row>
    <row r="6093" spans="3:5" x14ac:dyDescent="0.25">
      <c r="C6093" t="s">
        <v>10952</v>
      </c>
      <c r="D6093" t="s">
        <v>10953</v>
      </c>
      <c r="E6093" t="str">
        <f>HYPERLINK("https://patents.google.com/patent/US20100088187A1/en")</f>
        <v>https://patents.google.com/patent/US20100088187A1/en</v>
      </c>
    </row>
    <row r="6094" spans="3:5" x14ac:dyDescent="0.25">
      <c r="C6094" t="s">
        <v>10954</v>
      </c>
      <c r="D6094" t="s">
        <v>10955</v>
      </c>
      <c r="E6094" t="str">
        <f>HYPERLINK("https://patents.google.com/patent/US20120083669A1/en")</f>
        <v>https://patents.google.com/patent/US20120083669A1/en</v>
      </c>
    </row>
    <row r="6095" spans="3:5" x14ac:dyDescent="0.25">
      <c r="C6095" t="s">
        <v>10956</v>
      </c>
      <c r="D6095" t="s">
        <v>10957</v>
      </c>
      <c r="E6095" t="str">
        <f>HYPERLINK("https://patents.google.com/patent/US20030046396A1/en")</f>
        <v>https://patents.google.com/patent/US20030046396A1/en</v>
      </c>
    </row>
    <row r="6096" spans="3:5" x14ac:dyDescent="0.25">
      <c r="C6096" t="s">
        <v>10958</v>
      </c>
      <c r="D6096" t="s">
        <v>10959</v>
      </c>
      <c r="E6096" t="str">
        <f>HYPERLINK("https://patents.google.com/patent/US20040030781A1/en")</f>
        <v>https://patents.google.com/patent/US20040030781A1/en</v>
      </c>
    </row>
    <row r="6097" spans="3:5" x14ac:dyDescent="0.25">
      <c r="C6097" t="s">
        <v>10960</v>
      </c>
      <c r="D6097" t="s">
        <v>10961</v>
      </c>
      <c r="E6097" t="str">
        <f>HYPERLINK("https://patents.google.com/patent/US20030172145A1/en")</f>
        <v>https://patents.google.com/patent/US20030172145A1/en</v>
      </c>
    </row>
    <row r="6098" spans="3:5" x14ac:dyDescent="0.25">
      <c r="C6098" t="s">
        <v>10962</v>
      </c>
      <c r="D6098" t="s">
        <v>10963</v>
      </c>
      <c r="E6098" t="str">
        <f>HYPERLINK("https://patents.google.com/patent/US20030120593A1/en")</f>
        <v>https://patents.google.com/patent/US20030120593A1/en</v>
      </c>
    </row>
    <row r="6099" spans="3:5" x14ac:dyDescent="0.25">
      <c r="C6099" t="s">
        <v>10964</v>
      </c>
      <c r="D6099" t="s">
        <v>10965</v>
      </c>
      <c r="E6099" t="str">
        <f>HYPERLINK("https://patents.google.com/patent/US20140341109A1/en")</f>
        <v>https://patents.google.com/patent/US20140341109A1/en</v>
      </c>
    </row>
    <row r="6100" spans="3:5" x14ac:dyDescent="0.25">
      <c r="C6100" t="s">
        <v>10966</v>
      </c>
      <c r="D6100" t="s">
        <v>10967</v>
      </c>
      <c r="E6100" t="str">
        <f>HYPERLINK("https://patents.google.com/patent/US20020194251A1/en")</f>
        <v>https://patents.google.com/patent/US20020194251A1/en</v>
      </c>
    </row>
    <row r="6101" spans="3:5" x14ac:dyDescent="0.25">
      <c r="C6101" t="s">
        <v>10968</v>
      </c>
      <c r="D6101" t="s">
        <v>10969</v>
      </c>
      <c r="E6101" t="str">
        <f>HYPERLINK("https://patents.google.com/patent/US20050234600A1/en")</f>
        <v>https://patents.google.com/patent/US20050234600A1/en</v>
      </c>
    </row>
    <row r="6102" spans="3:5" x14ac:dyDescent="0.25">
      <c r="C6102" t="s">
        <v>10970</v>
      </c>
      <c r="D6102" t="s">
        <v>10971</v>
      </c>
      <c r="E6102" t="str">
        <f>HYPERLINK("https://patents.google.com/patent/US20030237016A1/en")</f>
        <v>https://patents.google.com/patent/US20030237016A1/en</v>
      </c>
    </row>
    <row r="6103" spans="3:5" x14ac:dyDescent="0.25">
      <c r="C6103" t="s">
        <v>10972</v>
      </c>
      <c r="D6103" t="s">
        <v>10973</v>
      </c>
      <c r="E6103" t="str">
        <f>HYPERLINK("https://patents.google.com/patent/US20110107406A1/en")</f>
        <v>https://patents.google.com/patent/US20110107406A1/en</v>
      </c>
    </row>
    <row r="6104" spans="3:5" x14ac:dyDescent="0.25">
      <c r="C6104" t="s">
        <v>10974</v>
      </c>
      <c r="D6104" t="s">
        <v>10975</v>
      </c>
      <c r="E6104" t="str">
        <f>HYPERLINK("https://patents.google.com/patent/US20100331738A1/en")</f>
        <v>https://patents.google.com/patent/US20100331738A1/en</v>
      </c>
    </row>
    <row r="6105" spans="3:5" x14ac:dyDescent="0.25">
      <c r="C6105" t="s">
        <v>10976</v>
      </c>
      <c r="D6105" t="s">
        <v>10977</v>
      </c>
      <c r="E6105" t="str">
        <f>HYPERLINK("https://patents.google.com/patent/US20090055795A1/en")</f>
        <v>https://patents.google.com/patent/US20090055795A1/en</v>
      </c>
    </row>
    <row r="6106" spans="3:5" x14ac:dyDescent="0.25">
      <c r="C6106" t="s">
        <v>10978</v>
      </c>
      <c r="D6106" t="s">
        <v>10979</v>
      </c>
      <c r="E6106" t="str">
        <f>HYPERLINK("https://patents.google.com/patent/US20130117382A1/en")</f>
        <v>https://patents.google.com/patent/US20130117382A1/en</v>
      </c>
    </row>
    <row r="6107" spans="3:5" x14ac:dyDescent="0.25">
      <c r="C6107" t="s">
        <v>10980</v>
      </c>
      <c r="D6107" t="s">
        <v>10981</v>
      </c>
      <c r="E6107" t="str">
        <f>HYPERLINK("https://patents.google.com/patent/US20050165881A1/en")</f>
        <v>https://patents.google.com/patent/US20050165881A1/en</v>
      </c>
    </row>
    <row r="6108" spans="3:5" x14ac:dyDescent="0.25">
      <c r="C6108" t="s">
        <v>10982</v>
      </c>
      <c r="D6108" t="s">
        <v>10983</v>
      </c>
      <c r="E6108" t="str">
        <f>HYPERLINK("https://patents.google.com/patent/US20130219039A1/en")</f>
        <v>https://patents.google.com/patent/US20130219039A1/en</v>
      </c>
    </row>
    <row r="6109" spans="3:5" x14ac:dyDescent="0.25">
      <c r="C6109" t="s">
        <v>10984</v>
      </c>
      <c r="D6109" t="s">
        <v>10985</v>
      </c>
      <c r="E6109" t="str">
        <f>HYPERLINK("https://patents.google.com/patent/US20050262189A1/en")</f>
        <v>https://patents.google.com/patent/US20050262189A1/en</v>
      </c>
    </row>
    <row r="6110" spans="3:5" x14ac:dyDescent="0.25">
      <c r="C6110" t="s">
        <v>10986</v>
      </c>
      <c r="D6110" t="s">
        <v>10987</v>
      </c>
      <c r="E6110" t="str">
        <f>HYPERLINK("https://patents.google.com/patent/US20080065225A1/en")</f>
        <v>https://patents.google.com/patent/US20080065225A1/en</v>
      </c>
    </row>
    <row r="6111" spans="3:5" x14ac:dyDescent="0.25">
      <c r="C6111" t="s">
        <v>10988</v>
      </c>
      <c r="D6111" t="s">
        <v>10989</v>
      </c>
      <c r="E6111" t="str">
        <f>HYPERLINK("https://patents.google.com/patent/US20020124094A1/en")</f>
        <v>https://patents.google.com/patent/US20020124094A1/en</v>
      </c>
    </row>
    <row r="6112" spans="3:5" x14ac:dyDescent="0.25">
      <c r="C6112" t="s">
        <v>10990</v>
      </c>
      <c r="D6112" t="s">
        <v>10991</v>
      </c>
      <c r="E6112" t="str">
        <f>HYPERLINK("https://patents.google.com/patent/US20130304903A1/en")</f>
        <v>https://patents.google.com/patent/US20130304903A1/en</v>
      </c>
    </row>
    <row r="6113" spans="3:5" x14ac:dyDescent="0.25">
      <c r="C6113" t="s">
        <v>10992</v>
      </c>
      <c r="D6113" t="s">
        <v>10993</v>
      </c>
      <c r="E6113" t="str">
        <f>HYPERLINK("https://patents.google.com/patent/US20020002475A1/en")</f>
        <v>https://patents.google.com/patent/US20020002475A1/en</v>
      </c>
    </row>
    <row r="6114" spans="3:5" x14ac:dyDescent="0.25">
      <c r="C6114" t="s">
        <v>10994</v>
      </c>
      <c r="D6114" t="s">
        <v>10995</v>
      </c>
      <c r="E6114" t="str">
        <f>HYPERLINK("https://patents.google.com/patent/US20100017782A1/en")</f>
        <v>https://patents.google.com/patent/US20100017782A1/en</v>
      </c>
    </row>
    <row r="6115" spans="3:5" x14ac:dyDescent="0.25">
      <c r="C6115" t="s">
        <v>10996</v>
      </c>
      <c r="D6115" t="s">
        <v>10997</v>
      </c>
      <c r="E6115" t="str">
        <f>HYPERLINK("https://patents.google.com/patent/US20120226742A1/en")</f>
        <v>https://patents.google.com/patent/US20120226742A1/en</v>
      </c>
    </row>
    <row r="6116" spans="3:5" x14ac:dyDescent="0.25">
      <c r="C6116" t="s">
        <v>10998</v>
      </c>
      <c r="D6116" t="s">
        <v>10999</v>
      </c>
      <c r="E6116" t="str">
        <f>HYPERLINK("https://patents.google.com/patent/US20080028401A1/en")</f>
        <v>https://patents.google.com/patent/US20080028401A1/en</v>
      </c>
    </row>
    <row r="6117" spans="3:5" x14ac:dyDescent="0.25">
      <c r="C6117" t="s">
        <v>11000</v>
      </c>
      <c r="D6117" t="s">
        <v>11001</v>
      </c>
      <c r="E6117" t="str">
        <f>HYPERLINK("https://patents.google.com/patent/US20130227648A1/en")</f>
        <v>https://patents.google.com/patent/US20130227648A1/en</v>
      </c>
    </row>
    <row r="6118" spans="3:5" x14ac:dyDescent="0.25">
      <c r="C6118" t="s">
        <v>11002</v>
      </c>
      <c r="D6118" t="s">
        <v>11003</v>
      </c>
      <c r="E6118" t="str">
        <f>HYPERLINK("https://patents.google.com/patent/US20130200991A1/en")</f>
        <v>https://patents.google.com/patent/US20130200991A1/en</v>
      </c>
    </row>
    <row r="6119" spans="3:5" x14ac:dyDescent="0.25">
      <c r="C6119" t="s">
        <v>11002</v>
      </c>
      <c r="D6119" t="s">
        <v>11004</v>
      </c>
      <c r="E6119" t="str">
        <f>HYPERLINK("https://patents.google.com/patent/US20130198802A1/en")</f>
        <v>https://patents.google.com/patent/US20130198802A1/en</v>
      </c>
    </row>
    <row r="6120" spans="3:5" x14ac:dyDescent="0.25">
      <c r="C6120" t="s">
        <v>11005</v>
      </c>
      <c r="D6120" t="s">
        <v>11006</v>
      </c>
      <c r="E6120" t="str">
        <f>HYPERLINK("https://patents.google.com/patent/US20050232046A1/en")</f>
        <v>https://patents.google.com/patent/US20050232046A1/en</v>
      </c>
    </row>
    <row r="6121" spans="3:5" x14ac:dyDescent="0.25">
      <c r="C6121" t="s">
        <v>11007</v>
      </c>
      <c r="D6121" t="s">
        <v>11008</v>
      </c>
      <c r="E6121" t="str">
        <f>HYPERLINK("https://patents.google.com/patent/US20060041660A1/en")</f>
        <v>https://patents.google.com/patent/US20060041660A1/en</v>
      </c>
    </row>
    <row r="6122" spans="3:5" x14ac:dyDescent="0.25">
      <c r="C6122" t="s">
        <v>11009</v>
      </c>
      <c r="D6122" t="s">
        <v>11010</v>
      </c>
      <c r="E6122" t="str">
        <f>HYPERLINK("https://patents.google.com/patent/US20030009437A1/en")</f>
        <v>https://patents.google.com/patent/US20030009437A1/en</v>
      </c>
    </row>
    <row r="6123" spans="3:5" x14ac:dyDescent="0.25">
      <c r="C6123" t="s">
        <v>11011</v>
      </c>
      <c r="D6123" t="s">
        <v>11012</v>
      </c>
      <c r="E6123" t="str">
        <f>HYPERLINK("https://patents.google.com/patent/US5309867A/en")</f>
        <v>https://patents.google.com/patent/US5309867A/en</v>
      </c>
    </row>
    <row r="6124" spans="3:5" x14ac:dyDescent="0.25">
      <c r="C6124" t="s">
        <v>11013</v>
      </c>
      <c r="D6124" t="s">
        <v>11014</v>
      </c>
      <c r="E6124" t="str">
        <f>HYPERLINK("https://patents.google.com/patent/US20150271255A1/en")</f>
        <v>https://patents.google.com/patent/US20150271255A1/en</v>
      </c>
    </row>
    <row r="6125" spans="3:5" x14ac:dyDescent="0.25">
      <c r="C6125" t="s">
        <v>11015</v>
      </c>
      <c r="D6125" t="s">
        <v>11016</v>
      </c>
      <c r="E6125" t="str">
        <f>HYPERLINK("https://patents.google.com/patent/US20130204484A1/en")</f>
        <v>https://patents.google.com/patent/US20130204484A1/en</v>
      </c>
    </row>
    <row r="6126" spans="3:5" x14ac:dyDescent="0.25">
      <c r="C6126" t="s">
        <v>11017</v>
      </c>
      <c r="D6126" t="s">
        <v>11018</v>
      </c>
      <c r="E6126" t="str">
        <f>HYPERLINK("https://patents.google.com/patent/US20130203400A1/en")</f>
        <v>https://patents.google.com/patent/US20130203400A1/en</v>
      </c>
    </row>
    <row r="6127" spans="3:5" x14ac:dyDescent="0.25">
      <c r="C6127" t="s">
        <v>11019</v>
      </c>
      <c r="D6127" t="s">
        <v>11020</v>
      </c>
      <c r="E6127" t="str">
        <f>HYPERLINK("https://patents.google.com/patent/US20140143839A1/en")</f>
        <v>https://patents.google.com/patent/US20140143839A1/en</v>
      </c>
    </row>
    <row r="6128" spans="3:5" x14ac:dyDescent="0.25">
      <c r="C6128" t="s">
        <v>11021</v>
      </c>
      <c r="D6128" t="s">
        <v>11022</v>
      </c>
      <c r="E6128" t="str">
        <f>HYPERLINK("https://patents.google.com/patent/US20140280595A1/en")</f>
        <v>https://patents.google.com/patent/US20140280595A1/en</v>
      </c>
    </row>
    <row r="6129" spans="3:5" x14ac:dyDescent="0.25">
      <c r="C6129" t="s">
        <v>11023</v>
      </c>
      <c r="D6129" t="s">
        <v>11024</v>
      </c>
      <c r="E6129" t="str">
        <f>HYPERLINK("https://patents.google.com/patent/US20120281708A1/en")</f>
        <v>https://patents.google.com/patent/US20120281708A1/en</v>
      </c>
    </row>
    <row r="6130" spans="3:5" x14ac:dyDescent="0.25">
      <c r="C6130" t="s">
        <v>11025</v>
      </c>
      <c r="D6130" t="s">
        <v>11026</v>
      </c>
      <c r="E6130" t="str">
        <f>HYPERLINK("https://patents.google.com/patent/US6286368B1/en")</f>
        <v>https://patents.google.com/patent/US6286368B1/en</v>
      </c>
    </row>
    <row r="6131" spans="3:5" x14ac:dyDescent="0.25">
      <c r="C6131" t="s">
        <v>11027</v>
      </c>
      <c r="D6131" t="s">
        <v>11028</v>
      </c>
      <c r="E6131" t="str">
        <f>HYPERLINK("https://patents.google.com/patent/US20040205414A1/en")</f>
        <v>https://patents.google.com/patent/US20040205414A1/en</v>
      </c>
    </row>
    <row r="6132" spans="3:5" x14ac:dyDescent="0.25">
      <c r="C6132" t="s">
        <v>11029</v>
      </c>
      <c r="D6132" t="s">
        <v>11030</v>
      </c>
      <c r="E6132" t="str">
        <f>HYPERLINK("https://patents.google.com/patent/US20120071168A1/en")</f>
        <v>https://patents.google.com/patent/US20120071168A1/en</v>
      </c>
    </row>
    <row r="6133" spans="3:5" x14ac:dyDescent="0.25">
      <c r="C6133" t="s">
        <v>11031</v>
      </c>
      <c r="D6133" t="s">
        <v>11032</v>
      </c>
      <c r="E6133" t="str">
        <f>HYPERLINK("https://patents.google.com/patent/US20090018834A1/en")</f>
        <v>https://patents.google.com/patent/US20090018834A1/en</v>
      </c>
    </row>
    <row r="6134" spans="3:5" x14ac:dyDescent="0.25">
      <c r="C6134" t="s">
        <v>11033</v>
      </c>
      <c r="D6134" t="s">
        <v>11034</v>
      </c>
      <c r="E6134" t="str">
        <f>HYPERLINK("https://patents.google.com/patent/US20120130853A1/en")</f>
        <v>https://patents.google.com/patent/US20120130853A1/en</v>
      </c>
    </row>
    <row r="6135" spans="3:5" x14ac:dyDescent="0.25">
      <c r="C6135" t="s">
        <v>11035</v>
      </c>
      <c r="D6135" t="s">
        <v>11036</v>
      </c>
      <c r="E6135" t="str">
        <f>HYPERLINK("https://patents.google.com/patent/US20140337472A1/en")</f>
        <v>https://patents.google.com/patent/US20140337472A1/en</v>
      </c>
    </row>
    <row r="6136" spans="3:5" x14ac:dyDescent="0.25">
      <c r="C6136" t="s">
        <v>11037</v>
      </c>
      <c r="D6136" t="s">
        <v>11038</v>
      </c>
      <c r="E6136" t="str">
        <f>HYPERLINK("https://patents.google.com/patent/US20150074259A1/en")</f>
        <v>https://patents.google.com/patent/US20150074259A1/en</v>
      </c>
    </row>
    <row r="6137" spans="3:5" x14ac:dyDescent="0.25">
      <c r="C6137" t="s">
        <v>11039</v>
      </c>
      <c r="D6137" t="s">
        <v>11040</v>
      </c>
      <c r="E6137" t="str">
        <f>HYPERLINK("https://patents.google.com/patent/US20110107512A1/en")</f>
        <v>https://patents.google.com/patent/US20110107512A1/en</v>
      </c>
    </row>
    <row r="6138" spans="3:5" x14ac:dyDescent="0.25">
      <c r="C6138" t="s">
        <v>11041</v>
      </c>
      <c r="D6138" t="s">
        <v>11042</v>
      </c>
      <c r="E6138" t="str">
        <f>HYPERLINK("https://patents.google.com/patent/US20130311778A1/en")</f>
        <v>https://patents.google.com/patent/US20130311778A1/en</v>
      </c>
    </row>
    <row r="6139" spans="3:5" x14ac:dyDescent="0.25">
      <c r="C6139" t="s">
        <v>11043</v>
      </c>
      <c r="D6139" t="s">
        <v>11044</v>
      </c>
      <c r="E6139" t="str">
        <f>HYPERLINK("https://patents.google.com/patent/US20120179742A1/en")</f>
        <v>https://patents.google.com/patent/US20120179742A1/en</v>
      </c>
    </row>
    <row r="6140" spans="3:5" x14ac:dyDescent="0.25">
      <c r="C6140" t="s">
        <v>11045</v>
      </c>
      <c r="D6140" t="s">
        <v>11046</v>
      </c>
      <c r="E6140" t="str">
        <f>HYPERLINK("https://patents.google.com/patent/US20030152186A1/en")</f>
        <v>https://patents.google.com/patent/US20030152186A1/en</v>
      </c>
    </row>
    <row r="6141" spans="3:5" x14ac:dyDescent="0.25">
      <c r="C6141" t="s">
        <v>11047</v>
      </c>
      <c r="D6141" t="s">
        <v>11048</v>
      </c>
      <c r="E6141" t="str">
        <f>HYPERLINK("https://patents.google.com/patent/US20120324365A1/en")</f>
        <v>https://patents.google.com/patent/US20120324365A1/en</v>
      </c>
    </row>
    <row r="6142" spans="3:5" x14ac:dyDescent="0.25">
      <c r="C6142" t="s">
        <v>11049</v>
      </c>
      <c r="D6142" t="s">
        <v>11050</v>
      </c>
      <c r="E6142" t="str">
        <f>HYPERLINK("https://patents.google.com/patent/US20110161293A1/en")</f>
        <v>https://patents.google.com/patent/US20110161293A1/en</v>
      </c>
    </row>
    <row r="6143" spans="3:5" x14ac:dyDescent="0.25">
      <c r="C6143" t="s">
        <v>11051</v>
      </c>
      <c r="D6143" t="s">
        <v>11052</v>
      </c>
      <c r="E6143" t="str">
        <f>HYPERLINK("https://patents.google.com/patent/US20140153489A1/en")</f>
        <v>https://patents.google.com/patent/US20140153489A1/en</v>
      </c>
    </row>
    <row r="6144" spans="3:5" x14ac:dyDescent="0.25">
      <c r="C6144" t="s">
        <v>11053</v>
      </c>
      <c r="D6144" t="s">
        <v>11054</v>
      </c>
      <c r="E6144" t="str">
        <f>HYPERLINK("https://patents.google.com/patent/US20100323350A1/en")</f>
        <v>https://patents.google.com/patent/US20100323350A1/en</v>
      </c>
    </row>
    <row r="6145" spans="3:5" x14ac:dyDescent="0.25">
      <c r="C6145" t="s">
        <v>11055</v>
      </c>
      <c r="D6145" t="s">
        <v>11056</v>
      </c>
      <c r="E6145" t="str">
        <f>HYPERLINK("https://patents.google.com/patent/US20070100696A1/en")</f>
        <v>https://patents.google.com/patent/US20070100696A1/en</v>
      </c>
    </row>
    <row r="6146" spans="3:5" x14ac:dyDescent="0.25">
      <c r="C6146" t="s">
        <v>11057</v>
      </c>
      <c r="D6146" t="s">
        <v>11058</v>
      </c>
      <c r="E6146" t="str">
        <f>HYPERLINK("https://patents.google.com/patent/US20070095901A1/en")</f>
        <v>https://patents.google.com/patent/US20070095901A1/en</v>
      </c>
    </row>
    <row r="6147" spans="3:5" x14ac:dyDescent="0.25">
      <c r="C6147" t="s">
        <v>11059</v>
      </c>
      <c r="D6147" t="s">
        <v>11060</v>
      </c>
      <c r="E6147" t="str">
        <f>HYPERLINK("https://patents.google.com/patent/US4915577A/en")</f>
        <v>https://patents.google.com/patent/US4915577A/en</v>
      </c>
    </row>
    <row r="6148" spans="3:5" x14ac:dyDescent="0.25">
      <c r="C6148" t="s">
        <v>10676</v>
      </c>
      <c r="D6148" t="s">
        <v>11061</v>
      </c>
      <c r="E6148" t="str">
        <f>HYPERLINK("https://patents.google.com/patent/EP1081664A2/en")</f>
        <v>https://patents.google.com/patent/EP1081664A2/en</v>
      </c>
    </row>
    <row r="6149" spans="3:5" x14ac:dyDescent="0.25">
      <c r="C6149" t="s">
        <v>9320</v>
      </c>
      <c r="D6149" t="s">
        <v>11062</v>
      </c>
      <c r="E6149" t="str">
        <f>HYPERLINK("https://patents.google.com/patent/CN204952213U/en")</f>
        <v>https://patents.google.com/patent/CN204952213U/en</v>
      </c>
    </row>
    <row r="6150" spans="3:5" x14ac:dyDescent="0.25">
      <c r="C6150" t="s">
        <v>11063</v>
      </c>
      <c r="D6150" t="s">
        <v>11064</v>
      </c>
      <c r="E6150" t="str">
        <f>HYPERLINK("https://patents.google.com/patent/US3631988A/en")</f>
        <v>https://patents.google.com/patent/US3631988A/en</v>
      </c>
    </row>
    <row r="6151" spans="3:5" x14ac:dyDescent="0.25">
      <c r="C6151" t="s">
        <v>11065</v>
      </c>
      <c r="D6151" t="s">
        <v>11066</v>
      </c>
      <c r="E6151" t="str">
        <f>HYPERLINK("https://patents.google.com/patent/US3757899A/en")</f>
        <v>https://patents.google.com/patent/US3757899A/en</v>
      </c>
    </row>
    <row r="6152" spans="3:5" x14ac:dyDescent="0.25">
      <c r="C6152" t="s">
        <v>11067</v>
      </c>
      <c r="D6152" t="s">
        <v>11068</v>
      </c>
      <c r="E6152" t="str">
        <f>HYPERLINK("https://patents.google.com/patent/US20120324112A1/en")</f>
        <v>https://patents.google.com/patent/US20120324112A1/en</v>
      </c>
    </row>
    <row r="6153" spans="3:5" x14ac:dyDescent="0.25">
      <c r="C6153" t="s">
        <v>11069</v>
      </c>
      <c r="D6153" t="s">
        <v>11070</v>
      </c>
      <c r="E6153" t="str">
        <f>HYPERLINK("https://patents.google.com/patent/US20130316886A1/en")</f>
        <v>https://patents.google.com/patent/US20130316886A1/en</v>
      </c>
    </row>
    <row r="6154" spans="3:5" x14ac:dyDescent="0.25">
      <c r="C6154" t="s">
        <v>11071</v>
      </c>
      <c r="D6154" t="s">
        <v>11072</v>
      </c>
      <c r="E6154" t="str">
        <f>HYPERLINK("https://patents.google.com/patent/US20090286540A1/en")</f>
        <v>https://patents.google.com/patent/US20090286540A1/en</v>
      </c>
    </row>
    <row r="6155" spans="3:5" x14ac:dyDescent="0.25">
      <c r="C6155" t="s">
        <v>11073</v>
      </c>
      <c r="D6155" t="s">
        <v>11074</v>
      </c>
      <c r="E6155" t="str">
        <f>HYPERLINK("https://patents.google.com/patent/US20140278623A1/en")</f>
        <v>https://patents.google.com/patent/US20140278623A1/en</v>
      </c>
    </row>
    <row r="6156" spans="3:5" x14ac:dyDescent="0.25">
      <c r="C6156" t="s">
        <v>11075</v>
      </c>
      <c r="D6156" t="s">
        <v>11076</v>
      </c>
      <c r="E6156" t="str">
        <f>HYPERLINK("https://patents.google.com/patent/US20070254789A1/en")</f>
        <v>https://patents.google.com/patent/US20070254789A1/en</v>
      </c>
    </row>
    <row r="6157" spans="3:5" x14ac:dyDescent="0.25">
      <c r="C6157" t="s">
        <v>11077</v>
      </c>
      <c r="D6157" t="s">
        <v>11078</v>
      </c>
      <c r="E6157" t="str">
        <f>HYPERLINK("https://patents.google.com/patent/CN104463492A/en")</f>
        <v>https://patents.google.com/patent/CN104463492A/en</v>
      </c>
    </row>
    <row r="6158" spans="3:5" x14ac:dyDescent="0.25">
      <c r="C6158" t="s">
        <v>11079</v>
      </c>
      <c r="D6158" t="s">
        <v>11080</v>
      </c>
      <c r="E6158" t="str">
        <f>HYPERLINK("https://patents.google.com/patent/US20160112475A1/en")</f>
        <v>https://patents.google.com/patent/US20160112475A1/en</v>
      </c>
    </row>
    <row r="6159" spans="3:5" x14ac:dyDescent="0.25">
      <c r="C6159" t="s">
        <v>11081</v>
      </c>
      <c r="D6159" t="s">
        <v>11082</v>
      </c>
      <c r="E6159" t="str">
        <f>HYPERLINK("https://patents.google.com/patent/US20100031090A1/en")</f>
        <v>https://patents.google.com/patent/US20100031090A1/en</v>
      </c>
    </row>
    <row r="6160" spans="3:5" x14ac:dyDescent="0.25">
      <c r="C6160" t="s">
        <v>11083</v>
      </c>
      <c r="D6160" t="s">
        <v>11084</v>
      </c>
      <c r="E6160" t="str">
        <f>HYPERLINK("https://patents.google.com/patent/US20080309664A1/en")</f>
        <v>https://patents.google.com/patent/US20080309664A1/en</v>
      </c>
    </row>
    <row r="6161" spans="3:5" x14ac:dyDescent="0.25">
      <c r="C6161" t="s">
        <v>11085</v>
      </c>
      <c r="D6161" t="s">
        <v>11086</v>
      </c>
      <c r="E6161" t="str">
        <f>HYPERLINK("https://patents.google.com/patent/US20120159459A1/en")</f>
        <v>https://patents.google.com/patent/US20120159459A1/en</v>
      </c>
    </row>
    <row r="6162" spans="3:5" x14ac:dyDescent="0.25">
      <c r="C6162" t="s">
        <v>11087</v>
      </c>
      <c r="D6162" t="s">
        <v>11088</v>
      </c>
      <c r="E6162" t="str">
        <f>HYPERLINK("https://patents.google.com/patent/US4122576A/en")</f>
        <v>https://patents.google.com/patent/US4122576A/en</v>
      </c>
    </row>
    <row r="6163" spans="3:5" x14ac:dyDescent="0.25">
      <c r="C6163" t="s">
        <v>10837</v>
      </c>
      <c r="D6163" t="s">
        <v>11089</v>
      </c>
      <c r="E6163" t="str">
        <f>HYPERLINK("https://patents.google.com/patent/WO2014176503A1/en")</f>
        <v>https://patents.google.com/patent/WO2014176503A1/en</v>
      </c>
    </row>
    <row r="6164" spans="3:5" x14ac:dyDescent="0.25">
      <c r="C6164" t="s">
        <v>11090</v>
      </c>
      <c r="D6164" t="s">
        <v>11091</v>
      </c>
      <c r="E6164" t="str">
        <f>HYPERLINK("https://patents.google.com/patent/US20120150679A1/en")</f>
        <v>https://patents.google.com/patent/US20120150679A1/en</v>
      </c>
    </row>
    <row r="6165" spans="3:5" x14ac:dyDescent="0.25">
      <c r="C6165" t="s">
        <v>11092</v>
      </c>
      <c r="D6165" t="s">
        <v>11093</v>
      </c>
      <c r="E6165" t="str">
        <f>HYPERLINK("https://patents.google.com/patent/US2898764A/en")</f>
        <v>https://patents.google.com/patent/US2898764A/en</v>
      </c>
    </row>
    <row r="6166" spans="3:5" x14ac:dyDescent="0.25">
      <c r="C6166" t="s">
        <v>11094</v>
      </c>
      <c r="D6166" t="s">
        <v>11095</v>
      </c>
      <c r="E6166" t="str">
        <f>HYPERLINK("https://patents.google.com/patent/US20140053226A1/en")</f>
        <v>https://patents.google.com/patent/US20140053226A1/en</v>
      </c>
    </row>
    <row r="6167" spans="3:5" x14ac:dyDescent="0.25">
      <c r="C6167" t="s">
        <v>11096</v>
      </c>
      <c r="D6167" t="s">
        <v>11097</v>
      </c>
      <c r="E6167" t="str">
        <f>HYPERLINK("https://patents.google.com/patent/US7119656B2/en")</f>
        <v>https://patents.google.com/patent/US7119656B2/en</v>
      </c>
    </row>
    <row r="6168" spans="3:5" x14ac:dyDescent="0.25">
      <c r="C6168" t="s">
        <v>11098</v>
      </c>
      <c r="D6168" t="s">
        <v>11099</v>
      </c>
      <c r="E6168" t="str">
        <f>HYPERLINK("https://patents.google.com/patent/US20130205026A1/en")</f>
        <v>https://patents.google.com/patent/US20130205026A1/en</v>
      </c>
    </row>
    <row r="6169" spans="3:5" x14ac:dyDescent="0.25">
      <c r="C6169" t="s">
        <v>11100</v>
      </c>
      <c r="D6169" t="s">
        <v>11101</v>
      </c>
      <c r="E6169" t="str">
        <f>HYPERLINK("https://patents.google.com/patent/US20130326507A1/en")</f>
        <v>https://patents.google.com/patent/US20130326507A1/en</v>
      </c>
    </row>
    <row r="6170" spans="3:5" x14ac:dyDescent="0.25">
      <c r="C6170" t="s">
        <v>11102</v>
      </c>
      <c r="D6170" t="s">
        <v>11103</v>
      </c>
      <c r="E6170" t="str">
        <f>HYPERLINK("https://patents.google.com/patent/US20050262190A1/en")</f>
        <v>https://patents.google.com/patent/US20050262190A1/en</v>
      </c>
    </row>
    <row r="6171" spans="3:5" x14ac:dyDescent="0.25">
      <c r="C6171" t="s">
        <v>10919</v>
      </c>
      <c r="D6171" t="s">
        <v>11104</v>
      </c>
      <c r="E6171" t="str">
        <f>HYPERLINK("https://patents.google.com/patent/US20130204943A1/en")</f>
        <v>https://patents.google.com/patent/US20130204943A1/en</v>
      </c>
    </row>
    <row r="6172" spans="3:5" x14ac:dyDescent="0.25">
      <c r="C6172" t="s">
        <v>11105</v>
      </c>
      <c r="D6172" t="s">
        <v>11106</v>
      </c>
      <c r="E6172" t="str">
        <f>HYPERLINK("https://patents.google.com/patent/US20130218412A1/en")</f>
        <v>https://patents.google.com/patent/US20130218412A1/en</v>
      </c>
    </row>
    <row r="6173" spans="3:5" x14ac:dyDescent="0.25">
      <c r="C6173" t="s">
        <v>11107</v>
      </c>
      <c r="D6173" t="s">
        <v>11108</v>
      </c>
      <c r="E6173" t="str">
        <f>HYPERLINK("https://patents.google.com/patent/US20100142410A1/en")</f>
        <v>https://patents.google.com/patent/US20100142410A1/en</v>
      </c>
    </row>
    <row r="6174" spans="3:5" x14ac:dyDescent="0.25">
      <c r="C6174" t="s">
        <v>11002</v>
      </c>
      <c r="D6174" t="s">
        <v>11109</v>
      </c>
      <c r="E6174" t="str">
        <f>HYPERLINK("https://patents.google.com/patent/US20130205412A1/en")</f>
        <v>https://patents.google.com/patent/US20130205412A1/en</v>
      </c>
    </row>
    <row r="6175" spans="3:5" x14ac:dyDescent="0.25">
      <c r="C6175" t="s">
        <v>4646</v>
      </c>
      <c r="D6175" t="s">
        <v>11110</v>
      </c>
      <c r="E6175" t="str">
        <f>HYPERLINK("https://patents.google.com/patent/WO1999053130A2/en")</f>
        <v>https://patents.google.com/patent/WO1999053130A2/en</v>
      </c>
    </row>
    <row r="6176" spans="3:5" x14ac:dyDescent="0.25">
      <c r="C6176" t="s">
        <v>11111</v>
      </c>
      <c r="D6176" t="s">
        <v>11112</v>
      </c>
      <c r="E6176" t="str">
        <f>HYPERLINK("https://patents.google.com/patent/US20060161752A1/en")</f>
        <v>https://patents.google.com/patent/US20060161752A1/en</v>
      </c>
    </row>
    <row r="6177" spans="3:5" x14ac:dyDescent="0.25">
      <c r="C6177" t="s">
        <v>11113</v>
      </c>
      <c r="D6177" t="s">
        <v>11114</v>
      </c>
      <c r="E6177" t="str">
        <f>HYPERLINK("https://patents.google.com/patent/US20110153798A1/en")</f>
        <v>https://patents.google.com/patent/US20110153798A1/en</v>
      </c>
    </row>
    <row r="6178" spans="3:5" x14ac:dyDescent="0.25">
      <c r="C6178" t="s">
        <v>11115</v>
      </c>
      <c r="D6178" t="s">
        <v>11116</v>
      </c>
      <c r="E6178" t="str">
        <f>HYPERLINK("https://patents.google.com/patent/CN2847709Y/en")</f>
        <v>https://patents.google.com/patent/CN2847709Y/en</v>
      </c>
    </row>
    <row r="6179" spans="3:5" x14ac:dyDescent="0.25">
      <c r="C6179" t="s">
        <v>11117</v>
      </c>
      <c r="D6179" t="s">
        <v>11118</v>
      </c>
      <c r="E6179" t="str">
        <f>HYPERLINK("https://patents.google.com/patent/US20130046704A1/en")</f>
        <v>https://patents.google.com/patent/US20130046704A1/en</v>
      </c>
    </row>
    <row r="6180" spans="3:5" x14ac:dyDescent="0.25">
      <c r="C6180" t="s">
        <v>11119</v>
      </c>
      <c r="D6180" t="s">
        <v>11120</v>
      </c>
      <c r="E6180" t="str">
        <f>HYPERLINK("https://patents.google.com/patent/US20130246430A1/en")</f>
        <v>https://patents.google.com/patent/US20130246430A1/en</v>
      </c>
    </row>
    <row r="6181" spans="3:5" x14ac:dyDescent="0.25">
      <c r="C6181" t="s">
        <v>11121</v>
      </c>
      <c r="D6181" t="s">
        <v>11122</v>
      </c>
      <c r="E6181" t="str">
        <f>HYPERLINK("https://patents.google.com/patent/US20110153630A1/en")</f>
        <v>https://patents.google.com/patent/US20110153630A1/en</v>
      </c>
    </row>
    <row r="6182" spans="3:5" x14ac:dyDescent="0.25">
      <c r="C6182" t="s">
        <v>11123</v>
      </c>
      <c r="D6182" t="s">
        <v>11124</v>
      </c>
      <c r="E6182" t="str">
        <f>HYPERLINK("https://patents.google.com/patent/US20100283969A1/en")</f>
        <v>https://patents.google.com/patent/US20100283969A1/en</v>
      </c>
    </row>
    <row r="6183" spans="3:5" x14ac:dyDescent="0.25">
      <c r="C6183" t="s">
        <v>11125</v>
      </c>
      <c r="D6183" t="s">
        <v>11126</v>
      </c>
      <c r="E6183" t="str">
        <f>HYPERLINK("https://patents.google.com/patent/US20040035967A1/en")</f>
        <v>https://patents.google.com/patent/US20040035967A1/en</v>
      </c>
    </row>
    <row r="6184" spans="3:5" x14ac:dyDescent="0.25">
      <c r="C6184" t="s">
        <v>11127</v>
      </c>
      <c r="D6184" t="s">
        <v>11128</v>
      </c>
      <c r="E6184" t="str">
        <f>HYPERLINK("https://patents.google.com/patent/US20140172944A1/en")</f>
        <v>https://patents.google.com/patent/US20140172944A1/en</v>
      </c>
    </row>
    <row r="6185" spans="3:5" x14ac:dyDescent="0.25">
      <c r="C6185" t="s">
        <v>11129</v>
      </c>
      <c r="D6185" t="s">
        <v>11130</v>
      </c>
      <c r="E6185" t="str">
        <f>HYPERLINK("https://patents.google.com/patent/US20080277492A1/en")</f>
        <v>https://patents.google.com/patent/US20080277492A1/en</v>
      </c>
    </row>
    <row r="6186" spans="3:5" x14ac:dyDescent="0.25">
      <c r="C6186" t="s">
        <v>11131</v>
      </c>
      <c r="D6186" t="s">
        <v>11132</v>
      </c>
      <c r="E6186" t="str">
        <f>HYPERLINK("https://patents.google.com/patent/US4350190A/en")</f>
        <v>https://patents.google.com/patent/US4350190A/en</v>
      </c>
    </row>
    <row r="6187" spans="3:5" x14ac:dyDescent="0.25">
      <c r="C6187" t="s">
        <v>11133</v>
      </c>
      <c r="D6187" t="s">
        <v>11134</v>
      </c>
      <c r="E6187" t="str">
        <f>HYPERLINK("https://patents.google.com/patent/US3154162A/en")</f>
        <v>https://patents.google.com/patent/US3154162A/en</v>
      </c>
    </row>
    <row r="6188" spans="3:5" x14ac:dyDescent="0.25">
      <c r="C6188" t="s">
        <v>11135</v>
      </c>
      <c r="D6188" t="s">
        <v>11136</v>
      </c>
      <c r="E6188" t="str">
        <f>HYPERLINK("https://patents.google.com/patent/US20140344453A1/en")</f>
        <v>https://patents.google.com/patent/US20140344453A1/en</v>
      </c>
    </row>
    <row r="6189" spans="3:5" x14ac:dyDescent="0.25">
      <c r="C6189" t="s">
        <v>11137</v>
      </c>
      <c r="D6189" t="s">
        <v>11138</v>
      </c>
      <c r="E6189" t="str">
        <f>HYPERLINK("https://patents.google.com/patent/CN102739771A/en")</f>
        <v>https://patents.google.com/patent/CN102739771A/en</v>
      </c>
    </row>
    <row r="6190" spans="3:5" x14ac:dyDescent="0.25">
      <c r="C6190" t="s">
        <v>11067</v>
      </c>
      <c r="D6190" t="s">
        <v>11139</v>
      </c>
      <c r="E6190" t="str">
        <f>HYPERLINK("https://patents.google.com/patent/US20120324073A1/en")</f>
        <v>https://patents.google.com/patent/US20120324073A1/en</v>
      </c>
    </row>
    <row r="6191" spans="3:5" x14ac:dyDescent="0.25">
      <c r="C6191" t="s">
        <v>11140</v>
      </c>
      <c r="D6191" t="s">
        <v>11141</v>
      </c>
      <c r="E6191" t="str">
        <f>HYPERLINK("https://patents.google.com/patent/US4676339A/en")</f>
        <v>https://patents.google.com/patent/US4676339A/en</v>
      </c>
    </row>
    <row r="6192" spans="3:5" x14ac:dyDescent="0.25">
      <c r="C6192" t="s">
        <v>11142</v>
      </c>
      <c r="D6192" t="s">
        <v>11143</v>
      </c>
      <c r="E6192" t="str">
        <f>HYPERLINK("https://patents.google.com/patent/US20130341934A1/en")</f>
        <v>https://patents.google.com/patent/US20130341934A1/en</v>
      </c>
    </row>
    <row r="6193" spans="3:5" x14ac:dyDescent="0.25">
      <c r="C6193" t="s">
        <v>11144</v>
      </c>
      <c r="D6193" t="s">
        <v>11145</v>
      </c>
      <c r="E6193" t="str">
        <f>HYPERLINK("https://patents.google.com/patent/US1558567A/en")</f>
        <v>https://patents.google.com/patent/US1558567A/en</v>
      </c>
    </row>
    <row r="6194" spans="3:5" x14ac:dyDescent="0.25">
      <c r="C6194" t="s">
        <v>11146</v>
      </c>
      <c r="D6194" t="s">
        <v>11147</v>
      </c>
      <c r="E6194" t="str">
        <f>HYPERLINK("https://patents.google.com/patent/US20110267241A1/en")</f>
        <v>https://patents.google.com/patent/US20110267241A1/en</v>
      </c>
    </row>
    <row r="6195" spans="3:5" x14ac:dyDescent="0.25">
      <c r="C6195" t="s">
        <v>11148</v>
      </c>
      <c r="D6195" t="s">
        <v>11149</v>
      </c>
      <c r="E6195" t="str">
        <f>HYPERLINK("https://patents.google.com/patent/US20090089410A1/en")</f>
        <v>https://patents.google.com/patent/US20090089410A1/en</v>
      </c>
    </row>
    <row r="6196" spans="3:5" x14ac:dyDescent="0.25">
      <c r="C6196" t="s">
        <v>11150</v>
      </c>
      <c r="D6196" t="s">
        <v>11151</v>
      </c>
      <c r="E6196" t="str">
        <f>HYPERLINK("https://patents.google.com/patent/US20110319755A1/en")</f>
        <v>https://patents.google.com/patent/US20110319755A1/en</v>
      </c>
    </row>
    <row r="6197" spans="3:5" x14ac:dyDescent="0.25">
      <c r="C6197" t="s">
        <v>11152</v>
      </c>
      <c r="D6197" t="s">
        <v>11153</v>
      </c>
      <c r="E6197" t="str">
        <f>HYPERLINK("https://patents.google.com/patent/US20110160616A1/en")</f>
        <v>https://patents.google.com/patent/US20110160616A1/en</v>
      </c>
    </row>
    <row r="6198" spans="3:5" x14ac:dyDescent="0.25">
      <c r="C6198" t="s">
        <v>11154</v>
      </c>
      <c r="D6198" t="s">
        <v>11155</v>
      </c>
      <c r="E6198" t="str">
        <f>HYPERLINK("https://patents.google.com/patent/US20080214365A1/en")</f>
        <v>https://patents.google.com/patent/US20080214365A1/en</v>
      </c>
    </row>
    <row r="6199" spans="3:5" x14ac:dyDescent="0.25">
      <c r="C6199" t="s">
        <v>11156</v>
      </c>
      <c r="D6199" t="s">
        <v>11157</v>
      </c>
      <c r="E6199" t="str">
        <f>HYPERLINK("https://patents.google.com/patent/US20150098393A1/en")</f>
        <v>https://patents.google.com/patent/US20150098393A1/en</v>
      </c>
    </row>
    <row r="6200" spans="3:5" x14ac:dyDescent="0.25">
      <c r="C6200" t="s">
        <v>11075</v>
      </c>
      <c r="D6200" t="s">
        <v>11158</v>
      </c>
      <c r="E6200" t="str">
        <f>HYPERLINK("https://patents.google.com/patent/US20080242515A1/en")</f>
        <v>https://patents.google.com/patent/US20080242515A1/en</v>
      </c>
    </row>
    <row r="6201" spans="3:5" x14ac:dyDescent="0.25">
      <c r="C6201" t="s">
        <v>11159</v>
      </c>
      <c r="D6201" t="s">
        <v>11160</v>
      </c>
      <c r="E6201" t="str">
        <f>HYPERLINK("https://patents.google.com/patent/US20140279546A1/en")</f>
        <v>https://patents.google.com/patent/US20140279546A1/en</v>
      </c>
    </row>
    <row r="6202" spans="3:5" x14ac:dyDescent="0.25">
      <c r="C6202" t="s">
        <v>11161</v>
      </c>
      <c r="D6202" t="s">
        <v>11162</v>
      </c>
      <c r="E6202" t="str">
        <f>HYPERLINK("https://patents.google.com/patent/US20150095190A1/en")</f>
        <v>https://patents.google.com/patent/US20150095190A1/en</v>
      </c>
    </row>
    <row r="6203" spans="3:5" x14ac:dyDescent="0.25">
      <c r="C6203" t="s">
        <v>11163</v>
      </c>
      <c r="D6203" t="s">
        <v>11164</v>
      </c>
      <c r="E6203" t="str">
        <f>HYPERLINK("https://patents.google.com/patent/US20160048408A1/en")</f>
        <v>https://patents.google.com/patent/US20160048408A1/en</v>
      </c>
    </row>
    <row r="6204" spans="3:5" x14ac:dyDescent="0.25">
      <c r="C6204" t="s">
        <v>11165</v>
      </c>
      <c r="D6204" t="s">
        <v>11166</v>
      </c>
      <c r="E6204" t="str">
        <f>HYPERLINK("https://patents.google.com/patent/US5232064A/en")</f>
        <v>https://patents.google.com/patent/US5232064A/en</v>
      </c>
    </row>
    <row r="6205" spans="3:5" x14ac:dyDescent="0.25">
      <c r="C6205" t="s">
        <v>11167</v>
      </c>
      <c r="D6205" t="s">
        <v>11168</v>
      </c>
      <c r="E6205" t="str">
        <f>HYPERLINK("https://patents.google.com/patent/CN102291280A/en")</f>
        <v>https://patents.google.com/patent/CN102291280A/en</v>
      </c>
    </row>
    <row r="6206" spans="3:5" x14ac:dyDescent="0.25">
      <c r="C6206" t="s">
        <v>11169</v>
      </c>
      <c r="D6206" t="s">
        <v>11170</v>
      </c>
      <c r="E6206" t="str">
        <f>HYPERLINK("https://patents.google.com/patent/US20100235095A1/en")</f>
        <v>https://patents.google.com/patent/US20100235095A1/en</v>
      </c>
    </row>
    <row r="6207" spans="3:5" x14ac:dyDescent="0.25">
      <c r="C6207" t="s">
        <v>11171</v>
      </c>
      <c r="D6207" t="s">
        <v>11172</v>
      </c>
      <c r="E6207" t="str">
        <f>HYPERLINK("https://patents.google.com/patent/US7369858B2/en")</f>
        <v>https://patents.google.com/patent/US7369858B2/en</v>
      </c>
    </row>
    <row r="6208" spans="3:5" x14ac:dyDescent="0.25">
      <c r="C6208" t="s">
        <v>11173</v>
      </c>
      <c r="D6208" t="s">
        <v>11174</v>
      </c>
      <c r="E6208" t="str">
        <f>HYPERLINK("https://patents.google.com/patent/US4009915A/en")</f>
        <v>https://patents.google.com/patent/US4009915A/en</v>
      </c>
    </row>
    <row r="6209" spans="3:5" x14ac:dyDescent="0.25">
      <c r="C6209" t="s">
        <v>11175</v>
      </c>
      <c r="D6209" t="s">
        <v>11176</v>
      </c>
      <c r="E6209" t="str">
        <f>HYPERLINK("https://patents.google.com/patent/US20150058467A1/en")</f>
        <v>https://patents.google.com/patent/US20150058467A1/en</v>
      </c>
    </row>
    <row r="6210" spans="3:5" x14ac:dyDescent="0.25">
      <c r="C6210" t="s">
        <v>11177</v>
      </c>
      <c r="D6210" t="s">
        <v>11178</v>
      </c>
      <c r="E6210" t="str">
        <f>HYPERLINK("https://patents.google.com/patent/US20130115959A1/en")</f>
        <v>https://patents.google.com/patent/US20130115959A1/en</v>
      </c>
    </row>
    <row r="6211" spans="3:5" x14ac:dyDescent="0.25">
      <c r="C6211" t="s">
        <v>11179</v>
      </c>
      <c r="D6211" t="s">
        <v>11180</v>
      </c>
      <c r="E6211" t="str">
        <f>HYPERLINK("https://patents.google.com/patent/US2787278A/en")</f>
        <v>https://patents.google.com/patent/US2787278A/en</v>
      </c>
    </row>
    <row r="6212" spans="3:5" x14ac:dyDescent="0.25">
      <c r="C6212" t="s">
        <v>11181</v>
      </c>
      <c r="D6212" t="s">
        <v>11182</v>
      </c>
      <c r="E6212" t="str">
        <f>HYPERLINK("https://patents.google.com/patent/US20140344391A1/en")</f>
        <v>https://patents.google.com/patent/US20140344391A1/en</v>
      </c>
    </row>
    <row r="6213" spans="3:5" x14ac:dyDescent="0.25">
      <c r="C6213" t="s">
        <v>11183</v>
      </c>
      <c r="D6213" t="s">
        <v>11184</v>
      </c>
      <c r="E6213" t="str">
        <f>HYPERLINK("https://patents.google.com/patent/JP2005503598A/en")</f>
        <v>https://patents.google.com/patent/JP2005503598A/en</v>
      </c>
    </row>
    <row r="6214" spans="3:5" x14ac:dyDescent="0.25">
      <c r="C6214" t="s">
        <v>11185</v>
      </c>
      <c r="D6214" t="s">
        <v>11186</v>
      </c>
      <c r="E6214" t="str">
        <f>HYPERLINK("https://patents.google.com/patent/US20140270093A1/en")</f>
        <v>https://patents.google.com/patent/US20140270093A1/en</v>
      </c>
    </row>
    <row r="6215" spans="3:5" x14ac:dyDescent="0.25">
      <c r="C6215" t="s">
        <v>11187</v>
      </c>
      <c r="D6215" t="s">
        <v>11188</v>
      </c>
      <c r="E6215" t="str">
        <f>HYPERLINK("https://patents.google.com/patent/US6105240A/en")</f>
        <v>https://patents.google.com/patent/US6105240A/en</v>
      </c>
    </row>
    <row r="6216" spans="3:5" x14ac:dyDescent="0.25">
      <c r="C6216" t="s">
        <v>11189</v>
      </c>
      <c r="D6216" t="s">
        <v>11190</v>
      </c>
      <c r="E6216" t="str">
        <f>HYPERLINK("https://patents.google.com/patent/US6050277A/en")</f>
        <v>https://patents.google.com/patent/US6050277A/en</v>
      </c>
    </row>
    <row r="6217" spans="3:5" x14ac:dyDescent="0.25">
      <c r="C6217" t="s">
        <v>11191</v>
      </c>
      <c r="D6217" t="s">
        <v>11192</v>
      </c>
      <c r="E6217" t="str">
        <f>HYPERLINK("https://patents.google.com/patent/CN2229514Y/en")</f>
        <v>https://patents.google.com/patent/CN2229514Y/en</v>
      </c>
    </row>
    <row r="6218" spans="3:5" x14ac:dyDescent="0.25">
      <c r="C6218" t="s">
        <v>11193</v>
      </c>
      <c r="D6218" t="s">
        <v>11194</v>
      </c>
      <c r="E6218" t="str">
        <f>HYPERLINK("https://patents.google.com/patent/US20100103494A1/en")</f>
        <v>https://patents.google.com/patent/US20100103494A1/en</v>
      </c>
    </row>
    <row r="6219" spans="3:5" x14ac:dyDescent="0.25">
      <c r="C6219" t="s">
        <v>11195</v>
      </c>
      <c r="D6219" t="s">
        <v>11196</v>
      </c>
      <c r="E6219" t="str">
        <f>HYPERLINK("https://patents.google.com/patent/US4014139A/en")</f>
        <v>https://patents.google.com/patent/US4014139A/en</v>
      </c>
    </row>
    <row r="6220" spans="3:5" x14ac:dyDescent="0.25">
      <c r="C6220" t="s">
        <v>11197</v>
      </c>
      <c r="D6220" t="s">
        <v>11198</v>
      </c>
      <c r="E6220" t="str">
        <f>HYPERLINK("https://patents.google.com/patent/US20090166998A1/en")</f>
        <v>https://patents.google.com/patent/US20090166998A1/en</v>
      </c>
    </row>
    <row r="6221" spans="3:5" x14ac:dyDescent="0.25">
      <c r="C6221" t="s">
        <v>11199</v>
      </c>
      <c r="D6221" t="s">
        <v>11200</v>
      </c>
      <c r="E6221" t="str">
        <f>HYPERLINK("https://patents.google.com/patent/US3911751A/en")</f>
        <v>https://patents.google.com/patent/US3911751A/en</v>
      </c>
    </row>
    <row r="6222" spans="3:5" x14ac:dyDescent="0.25">
      <c r="C6222" t="s">
        <v>11201</v>
      </c>
      <c r="D6222" t="s">
        <v>11202</v>
      </c>
      <c r="E6222" t="str">
        <f>HYPERLINK("https://patents.google.com/patent/US20140098762A1/en")</f>
        <v>https://patents.google.com/patent/US20140098762A1/en</v>
      </c>
    </row>
    <row r="6223" spans="3:5" x14ac:dyDescent="0.25">
      <c r="C6223" t="s">
        <v>11203</v>
      </c>
      <c r="D6223" t="s">
        <v>11204</v>
      </c>
      <c r="E6223" t="str">
        <f>HYPERLINK("https://patents.google.com/patent/US3999396A/en")</f>
        <v>https://patents.google.com/patent/US3999396A/en</v>
      </c>
    </row>
    <row r="6224" spans="3:5" x14ac:dyDescent="0.25">
      <c r="C6224" t="s">
        <v>11205</v>
      </c>
      <c r="D6224" t="s">
        <v>11206</v>
      </c>
      <c r="E6224" t="str">
        <f>HYPERLINK("https://patents.google.com/patent/US2999391A/en")</f>
        <v>https://patents.google.com/patent/US2999391A/en</v>
      </c>
    </row>
    <row r="6225" spans="1:5" x14ac:dyDescent="0.25">
      <c r="C6225" t="s">
        <v>11207</v>
      </c>
      <c r="D6225" t="s">
        <v>11208</v>
      </c>
      <c r="E6225" t="str">
        <f>HYPERLINK("https://patents.google.com/patent/US3621607A/en")</f>
        <v>https://patents.google.com/patent/US3621607A/en</v>
      </c>
    </row>
    <row r="6226" spans="1:5" x14ac:dyDescent="0.25">
      <c r="C6226" t="s">
        <v>11209</v>
      </c>
      <c r="D6226" t="s">
        <v>11210</v>
      </c>
      <c r="E6226" t="str">
        <f>HYPERLINK("https://patents.google.com/patent/CN104050555A/en")</f>
        <v>https://patents.google.com/patent/CN104050555A/en</v>
      </c>
    </row>
    <row r="6227" spans="1:5" x14ac:dyDescent="0.25">
      <c r="C6227" t="s">
        <v>11211</v>
      </c>
      <c r="D6227" t="s">
        <v>11212</v>
      </c>
      <c r="E6227" t="str">
        <f>HYPERLINK("https://patents.google.com/patent/US20130164339A1/en")</f>
        <v>https://patents.google.com/patent/US20130164339A1/en</v>
      </c>
    </row>
    <row r="6228" spans="1:5" x14ac:dyDescent="0.25">
      <c r="C6228" t="s">
        <v>11213</v>
      </c>
      <c r="D6228" t="s">
        <v>11214</v>
      </c>
      <c r="E6228" t="str">
        <f>HYPERLINK("https://patents.google.com/patent/CN102857363A/en")</f>
        <v>https://patents.google.com/patent/CN102857363A/en</v>
      </c>
    </row>
    <row r="6229" spans="1:5" x14ac:dyDescent="0.25">
      <c r="C6229" t="s">
        <v>11215</v>
      </c>
      <c r="D6229" t="s">
        <v>11216</v>
      </c>
      <c r="E6229" t="str">
        <f>HYPERLINK("https://patents.google.com/patent/US20110258065A1/en")</f>
        <v>https://patents.google.com/patent/US20110258065A1/en</v>
      </c>
    </row>
    <row r="6230" spans="1:5" x14ac:dyDescent="0.25">
      <c r="C6230" t="s">
        <v>11217</v>
      </c>
      <c r="D6230" t="s">
        <v>11218</v>
      </c>
      <c r="E6230" t="str">
        <f>HYPERLINK("https://patents.google.com/patent/US20120192200A1/en")</f>
        <v>https://patents.google.com/patent/US20120192200A1/en</v>
      </c>
    </row>
    <row r="6231" spans="1:5" x14ac:dyDescent="0.25">
      <c r="C6231" t="s">
        <v>11219</v>
      </c>
      <c r="D6231" t="s">
        <v>11220</v>
      </c>
      <c r="E6231" t="str">
        <f>HYPERLINK("https://patents.google.com/patent/US8141886B1/en")</f>
        <v>https://patents.google.com/patent/US8141886B1/en</v>
      </c>
    </row>
    <row r="6232" spans="1:5" x14ac:dyDescent="0.25">
      <c r="C6232" t="s">
        <v>11221</v>
      </c>
      <c r="D6232" t="s">
        <v>11222</v>
      </c>
      <c r="E6232" t="str">
        <f>HYPERLINK("https://patents.google.com/patent/US20130143561A1/en")</f>
        <v>https://patents.google.com/patent/US20130143561A1/en</v>
      </c>
    </row>
    <row r="6233" spans="1:5" x14ac:dyDescent="0.25">
      <c r="C6233" t="s">
        <v>11223</v>
      </c>
      <c r="D6233" t="s">
        <v>11224</v>
      </c>
      <c r="E6233" t="str">
        <f>HYPERLINK("https://patents.google.com/patent/US20080133687A1/en")</f>
        <v>https://patents.google.com/patent/US20080133687A1/en</v>
      </c>
    </row>
    <row r="6234" spans="1:5" x14ac:dyDescent="0.25">
      <c r="C6234" t="s">
        <v>11225</v>
      </c>
      <c r="D6234" t="s">
        <v>11226</v>
      </c>
      <c r="E6234" t="str">
        <f>HYPERLINK("https://patents.google.com/patent/CN104092229A/en")</f>
        <v>https://patents.google.com/patent/CN104092229A/en</v>
      </c>
    </row>
    <row r="6235" spans="1:5" x14ac:dyDescent="0.25">
      <c r="C6235" t="s">
        <v>11227</v>
      </c>
      <c r="D6235" t="s">
        <v>11228</v>
      </c>
      <c r="E6235" t="str">
        <f>HYPERLINK("https://patents.google.com/patent/CN102094597A/en")</f>
        <v>https://patents.google.com/patent/CN102094597A/en</v>
      </c>
    </row>
    <row r="6236" spans="1:5" x14ac:dyDescent="0.25">
      <c r="C6236" t="s">
        <v>11229</v>
      </c>
      <c r="D6236" t="s">
        <v>11230</v>
      </c>
      <c r="E6236" t="str">
        <f>HYPERLINK("https://patents.google.com/patent/CN102491186A/en")</f>
        <v>https://patents.google.com/patent/CN102491186A/en</v>
      </c>
    </row>
    <row r="6237" spans="1:5" x14ac:dyDescent="0.25">
      <c r="A6237" t="s">
        <v>1320</v>
      </c>
      <c r="B6237">
        <v>743</v>
      </c>
    </row>
    <row r="6238" spans="1:5" x14ac:dyDescent="0.25">
      <c r="C6238" t="s">
        <v>11231</v>
      </c>
      <c r="D6238" t="s">
        <v>11232</v>
      </c>
      <c r="E6238" t="str">
        <f>HYPERLINK("https://patents.google.com/patent/US20150046002A1/en")</f>
        <v>https://patents.google.com/patent/US20150046002A1/en</v>
      </c>
    </row>
    <row r="6239" spans="1:5" x14ac:dyDescent="0.25">
      <c r="C6239" t="s">
        <v>11233</v>
      </c>
      <c r="D6239" t="s">
        <v>11234</v>
      </c>
      <c r="E6239" t="str">
        <f>HYPERLINK("https://patents.google.com/patent/CN201327459Y/en")</f>
        <v>https://patents.google.com/patent/CN201327459Y/en</v>
      </c>
    </row>
    <row r="6240" spans="1:5" x14ac:dyDescent="0.25">
      <c r="C6240" t="s">
        <v>11235</v>
      </c>
      <c r="D6240" t="s">
        <v>11236</v>
      </c>
      <c r="E6240" t="str">
        <f>HYPERLINK("https://patents.google.com/patent/CN204056128U/en")</f>
        <v>https://patents.google.com/patent/CN204056128U/en</v>
      </c>
    </row>
    <row r="6241" spans="3:5" x14ac:dyDescent="0.25">
      <c r="C6241" t="s">
        <v>11237</v>
      </c>
      <c r="D6241" t="s">
        <v>11238</v>
      </c>
      <c r="E6241" t="str">
        <f>HYPERLINK("https://patents.google.com/patent/US20100194914A1/en")</f>
        <v>https://patents.google.com/patent/US20100194914A1/en</v>
      </c>
    </row>
    <row r="6242" spans="3:5" x14ac:dyDescent="0.25">
      <c r="C6242" t="s">
        <v>11239</v>
      </c>
      <c r="D6242" t="s">
        <v>11240</v>
      </c>
      <c r="E6242" t="str">
        <f>HYPERLINK("https://patents.google.com/patent/CN201191347Y/en")</f>
        <v>https://patents.google.com/patent/CN201191347Y/en</v>
      </c>
    </row>
    <row r="6243" spans="3:5" x14ac:dyDescent="0.25">
      <c r="C6243" t="s">
        <v>11241</v>
      </c>
      <c r="D6243" t="s">
        <v>11242</v>
      </c>
      <c r="E6243" t="str">
        <f>HYPERLINK("https://patents.google.com/patent/CN202627328U/en")</f>
        <v>https://patents.google.com/patent/CN202627328U/en</v>
      </c>
    </row>
    <row r="6244" spans="3:5" x14ac:dyDescent="0.25">
      <c r="C6244" t="s">
        <v>11243</v>
      </c>
      <c r="D6244" t="s">
        <v>11244</v>
      </c>
      <c r="E6244" t="str">
        <f>HYPERLINK("https://patents.google.com/patent/CN104563970A/en")</f>
        <v>https://patents.google.com/patent/CN104563970A/en</v>
      </c>
    </row>
    <row r="6245" spans="3:5" x14ac:dyDescent="0.25">
      <c r="C6245" t="s">
        <v>11245</v>
      </c>
      <c r="D6245" t="s">
        <v>11246</v>
      </c>
      <c r="E6245" t="str">
        <f>HYPERLINK("https://patents.google.com/patent/CN204355221U/en")</f>
        <v>https://patents.google.com/patent/CN204355221U/en</v>
      </c>
    </row>
    <row r="6246" spans="3:5" x14ac:dyDescent="0.25">
      <c r="C6246" t="s">
        <v>11247</v>
      </c>
      <c r="D6246" t="s">
        <v>11248</v>
      </c>
      <c r="E6246" t="str">
        <f>HYPERLINK("https://patents.google.com/patent/WO2009149600A1/en")</f>
        <v>https://patents.google.com/patent/WO2009149600A1/en</v>
      </c>
    </row>
    <row r="6247" spans="3:5" x14ac:dyDescent="0.25">
      <c r="C6247" t="s">
        <v>11249</v>
      </c>
      <c r="D6247" t="s">
        <v>11250</v>
      </c>
      <c r="E6247" t="str">
        <f>HYPERLINK("https://patents.google.com/patent/CN102395157A/en")</f>
        <v>https://patents.google.com/patent/CN102395157A/en</v>
      </c>
    </row>
    <row r="6248" spans="3:5" x14ac:dyDescent="0.25">
      <c r="C6248" t="s">
        <v>11251</v>
      </c>
      <c r="D6248" t="s">
        <v>11252</v>
      </c>
      <c r="E6248" t="str">
        <f>HYPERLINK("https://patents.google.com/patent/CN102091682A/en")</f>
        <v>https://patents.google.com/patent/CN102091682A/en</v>
      </c>
    </row>
    <row r="6249" spans="3:5" x14ac:dyDescent="0.25">
      <c r="C6249" t="s">
        <v>11253</v>
      </c>
      <c r="D6249" t="s">
        <v>11254</v>
      </c>
      <c r="E6249" t="str">
        <f>HYPERLINK("https://patents.google.com/patent/US6370381B1/en")</f>
        <v>https://patents.google.com/patent/US6370381B1/en</v>
      </c>
    </row>
    <row r="6250" spans="3:5" x14ac:dyDescent="0.25">
      <c r="C6250" t="s">
        <v>11255</v>
      </c>
      <c r="D6250" t="s">
        <v>11256</v>
      </c>
      <c r="E6250" t="str">
        <f>HYPERLINK("https://patents.google.com/patent/JP2007194961A/en")</f>
        <v>https://patents.google.com/patent/JP2007194961A/en</v>
      </c>
    </row>
    <row r="6251" spans="3:5" x14ac:dyDescent="0.25">
      <c r="C6251" t="s">
        <v>11257</v>
      </c>
      <c r="D6251" t="s">
        <v>11258</v>
      </c>
      <c r="E6251" t="str">
        <f>HYPERLINK("https://patents.google.com/patent/CN104775792A/en")</f>
        <v>https://patents.google.com/patent/CN104775792A/en</v>
      </c>
    </row>
    <row r="6252" spans="3:5" x14ac:dyDescent="0.25">
      <c r="C6252" t="s">
        <v>11259</v>
      </c>
      <c r="D6252" t="s">
        <v>11260</v>
      </c>
      <c r="E6252" t="str">
        <f>HYPERLINK("https://patents.google.com/patent/CN103987085A/en")</f>
        <v>https://patents.google.com/patent/CN103987085A/en</v>
      </c>
    </row>
    <row r="6253" spans="3:5" x14ac:dyDescent="0.25">
      <c r="C6253" t="s">
        <v>11261</v>
      </c>
      <c r="D6253" t="s">
        <v>11262</v>
      </c>
      <c r="E6253" t="str">
        <f>HYPERLINK("https://patents.google.com/patent/CN102905317A/en")</f>
        <v>https://patents.google.com/patent/CN102905317A/en</v>
      </c>
    </row>
    <row r="6254" spans="3:5" x14ac:dyDescent="0.25">
      <c r="C6254" t="s">
        <v>11263</v>
      </c>
      <c r="D6254" t="s">
        <v>11264</v>
      </c>
      <c r="E6254" t="str">
        <f>HYPERLINK("https://patents.google.com/patent/CN102563133A/en")</f>
        <v>https://patents.google.com/patent/CN102563133A/en</v>
      </c>
    </row>
    <row r="6255" spans="3:5" x14ac:dyDescent="0.25">
      <c r="C6255" t="s">
        <v>11265</v>
      </c>
      <c r="D6255" t="s">
        <v>11266</v>
      </c>
      <c r="E6255" t="str">
        <f>HYPERLINK("https://patents.google.com/patent/CN101626590A/en")</f>
        <v>https://patents.google.com/patent/CN101626590A/en</v>
      </c>
    </row>
    <row r="6256" spans="3:5" x14ac:dyDescent="0.25">
      <c r="C6256" t="s">
        <v>11267</v>
      </c>
      <c r="D6256" t="s">
        <v>11268</v>
      </c>
      <c r="E6256" t="str">
        <f>HYPERLINK("https://patents.google.com/patent/CN102098728A/en")</f>
        <v>https://patents.google.com/patent/CN102098728A/en</v>
      </c>
    </row>
    <row r="6257" spans="3:5" x14ac:dyDescent="0.25">
      <c r="C6257" t="s">
        <v>11269</v>
      </c>
      <c r="D6257" t="s">
        <v>11270</v>
      </c>
      <c r="E6257" t="str">
        <f>HYPERLINK("https://patents.google.com/patent/CN2836282Y/en")</f>
        <v>https://patents.google.com/patent/CN2836282Y/en</v>
      </c>
    </row>
    <row r="6258" spans="3:5" x14ac:dyDescent="0.25">
      <c r="C6258" t="s">
        <v>11271</v>
      </c>
      <c r="D6258" t="s">
        <v>11272</v>
      </c>
      <c r="E6258" t="str">
        <f>HYPERLINK("https://patents.google.com/patent/US4019670A/en")</f>
        <v>https://patents.google.com/patent/US4019670A/en</v>
      </c>
    </row>
    <row r="6259" spans="3:5" x14ac:dyDescent="0.25">
      <c r="C6259" t="s">
        <v>11273</v>
      </c>
      <c r="D6259" t="s">
        <v>11274</v>
      </c>
      <c r="E6259" t="str">
        <f>HYPERLINK("https://patents.google.com/patent/CN103167557A/en")</f>
        <v>https://patents.google.com/patent/CN103167557A/en</v>
      </c>
    </row>
    <row r="6260" spans="3:5" x14ac:dyDescent="0.25">
      <c r="C6260" t="s">
        <v>11275</v>
      </c>
      <c r="D6260" t="s">
        <v>11276</v>
      </c>
      <c r="E6260" t="str">
        <f>HYPERLINK("https://patents.google.com/patent/US20120330178A1/en")</f>
        <v>https://patents.google.com/patent/US20120330178A1/en</v>
      </c>
    </row>
    <row r="6261" spans="3:5" x14ac:dyDescent="0.25">
      <c r="C6261" t="s">
        <v>11277</v>
      </c>
      <c r="D6261" t="s">
        <v>11278</v>
      </c>
      <c r="E6261" t="str">
        <f>HYPERLINK("https://patents.google.com/patent/US5754959A/en")</f>
        <v>https://patents.google.com/patent/US5754959A/en</v>
      </c>
    </row>
    <row r="6262" spans="3:5" x14ac:dyDescent="0.25">
      <c r="C6262" t="s">
        <v>11279</v>
      </c>
      <c r="D6262" t="s">
        <v>11280</v>
      </c>
      <c r="E6262" t="str">
        <f>HYPERLINK("https://patents.google.com/patent/CN101754279A/en")</f>
        <v>https://patents.google.com/patent/CN101754279A/en</v>
      </c>
    </row>
    <row r="6263" spans="3:5" x14ac:dyDescent="0.25">
      <c r="C6263" t="s">
        <v>11281</v>
      </c>
      <c r="D6263" t="s">
        <v>11282</v>
      </c>
      <c r="E6263" t="str">
        <f>HYPERLINK("https://patents.google.com/patent/US20090163223A1/en")</f>
        <v>https://patents.google.com/patent/US20090163223A1/en</v>
      </c>
    </row>
    <row r="6264" spans="3:5" x14ac:dyDescent="0.25">
      <c r="C6264" t="s">
        <v>11283</v>
      </c>
      <c r="D6264" t="s">
        <v>11284</v>
      </c>
      <c r="E6264" t="str">
        <f>HYPERLINK("https://patents.google.com/patent/US20160066191A1/en")</f>
        <v>https://patents.google.com/patent/US20160066191A1/en</v>
      </c>
    </row>
    <row r="6265" spans="3:5" x14ac:dyDescent="0.25">
      <c r="C6265" t="s">
        <v>11285</v>
      </c>
      <c r="D6265" t="s">
        <v>11286</v>
      </c>
      <c r="E6265" t="str">
        <f>HYPERLINK("https://patents.google.com/patent/US6451466B1/en")</f>
        <v>https://patents.google.com/patent/US6451466B1/en</v>
      </c>
    </row>
    <row r="6266" spans="3:5" x14ac:dyDescent="0.25">
      <c r="C6266" t="s">
        <v>11287</v>
      </c>
      <c r="D6266" t="s">
        <v>11288</v>
      </c>
      <c r="E6266" t="str">
        <f>HYPERLINK("https://patents.google.com/patent/US6007243A/en")</f>
        <v>https://patents.google.com/patent/US6007243A/en</v>
      </c>
    </row>
    <row r="6267" spans="3:5" x14ac:dyDescent="0.25">
      <c r="C6267" t="s">
        <v>11289</v>
      </c>
      <c r="D6267" t="s">
        <v>11290</v>
      </c>
      <c r="E6267" t="str">
        <f>HYPERLINK("https://patents.google.com/patent/CN102017692B/en")</f>
        <v>https://patents.google.com/patent/CN102017692B/en</v>
      </c>
    </row>
    <row r="6268" spans="3:5" x14ac:dyDescent="0.25">
      <c r="C6268" t="s">
        <v>11291</v>
      </c>
      <c r="D6268" t="s">
        <v>11292</v>
      </c>
      <c r="E6268" t="str">
        <f>HYPERLINK("https://patents.google.com/patent/US7280483B2/en")</f>
        <v>https://patents.google.com/patent/US7280483B2/en</v>
      </c>
    </row>
    <row r="6269" spans="3:5" x14ac:dyDescent="0.25">
      <c r="C6269" t="s">
        <v>11293</v>
      </c>
      <c r="D6269" t="s">
        <v>11294</v>
      </c>
      <c r="E6269" t="str">
        <f>HYPERLINK("https://patents.google.com/patent/EP2728926A1/en")</f>
        <v>https://patents.google.com/patent/EP2728926A1/en</v>
      </c>
    </row>
    <row r="6270" spans="3:5" x14ac:dyDescent="0.25">
      <c r="C6270" t="s">
        <v>11295</v>
      </c>
      <c r="D6270" t="s">
        <v>11296</v>
      </c>
      <c r="E6270" t="str">
        <f>HYPERLINK("https://patents.google.com/patent/US20050178036A1/en")</f>
        <v>https://patents.google.com/patent/US20050178036A1/en</v>
      </c>
    </row>
    <row r="6271" spans="3:5" x14ac:dyDescent="0.25">
      <c r="C6271" t="s">
        <v>11297</v>
      </c>
      <c r="D6271" t="s">
        <v>11298</v>
      </c>
      <c r="E6271" t="str">
        <f>HYPERLINK("https://patents.google.com/patent/US20120009972A1/en")</f>
        <v>https://patents.google.com/patent/US20120009972A1/en</v>
      </c>
    </row>
    <row r="6272" spans="3:5" x14ac:dyDescent="0.25">
      <c r="C6272" t="s">
        <v>11299</v>
      </c>
      <c r="D6272" t="s">
        <v>11300</v>
      </c>
      <c r="E6272" t="str">
        <f>HYPERLINK("https://patents.google.com/patent/US6373154B1/en")</f>
        <v>https://patents.google.com/patent/US6373154B1/en</v>
      </c>
    </row>
    <row r="6273" spans="3:5" x14ac:dyDescent="0.25">
      <c r="C6273" t="s">
        <v>11301</v>
      </c>
      <c r="D6273" t="s">
        <v>11302</v>
      </c>
      <c r="E6273" t="str">
        <f>HYPERLINK("https://patents.google.com/patent/US20140004862A1/en")</f>
        <v>https://patents.google.com/patent/US20140004862A1/en</v>
      </c>
    </row>
    <row r="6274" spans="3:5" x14ac:dyDescent="0.25">
      <c r="C6274" t="s">
        <v>11303</v>
      </c>
      <c r="D6274" t="s">
        <v>11304</v>
      </c>
      <c r="E6274" t="str">
        <f>HYPERLINK("https://patents.google.com/patent/US20110256880A1/en")</f>
        <v>https://patents.google.com/patent/US20110256880A1/en</v>
      </c>
    </row>
    <row r="6275" spans="3:5" x14ac:dyDescent="0.25">
      <c r="C6275" t="s">
        <v>11305</v>
      </c>
      <c r="D6275" t="s">
        <v>11306</v>
      </c>
      <c r="E6275" t="str">
        <f>HYPERLINK("https://patents.google.com/patent/CN102905307A/en")</f>
        <v>https://patents.google.com/patent/CN102905307A/en</v>
      </c>
    </row>
    <row r="6276" spans="3:5" x14ac:dyDescent="0.25">
      <c r="C6276" t="s">
        <v>11307</v>
      </c>
      <c r="D6276" t="s">
        <v>11308</v>
      </c>
      <c r="E6276" t="str">
        <f>HYPERLINK("https://patents.google.com/patent/CN2892797Y/en")</f>
        <v>https://patents.google.com/patent/CN2892797Y/en</v>
      </c>
    </row>
    <row r="6277" spans="3:5" x14ac:dyDescent="0.25">
      <c r="C6277" t="s">
        <v>11309</v>
      </c>
      <c r="D6277" t="s">
        <v>11310</v>
      </c>
      <c r="E6277" t="str">
        <f>HYPERLINK("https://patents.google.com/patent/CN102740395A/en")</f>
        <v>https://patents.google.com/patent/CN102740395A/en</v>
      </c>
    </row>
    <row r="6278" spans="3:5" x14ac:dyDescent="0.25">
      <c r="C6278" t="s">
        <v>11311</v>
      </c>
      <c r="D6278" t="s">
        <v>11312</v>
      </c>
      <c r="E6278" t="str">
        <f>HYPERLINK("https://patents.google.com/patent/US20120198279A1/en")</f>
        <v>https://patents.google.com/patent/US20120198279A1/en</v>
      </c>
    </row>
    <row r="6279" spans="3:5" x14ac:dyDescent="0.25">
      <c r="C6279" t="s">
        <v>11313</v>
      </c>
      <c r="D6279" t="s">
        <v>11314</v>
      </c>
      <c r="E6279" t="str">
        <f>HYPERLINK("https://patents.google.com/patent/CN102039791A/en")</f>
        <v>https://patents.google.com/patent/CN102039791A/en</v>
      </c>
    </row>
    <row r="6280" spans="3:5" x14ac:dyDescent="0.25">
      <c r="C6280" t="s">
        <v>11315</v>
      </c>
      <c r="D6280" t="s">
        <v>11316</v>
      </c>
      <c r="E6280" t="str">
        <f>HYPERLINK("https://patents.google.com/patent/CN102340825A/en")</f>
        <v>https://patents.google.com/patent/CN102340825A/en</v>
      </c>
    </row>
    <row r="6281" spans="3:5" x14ac:dyDescent="0.25">
      <c r="C6281" t="s">
        <v>11317</v>
      </c>
      <c r="D6281" t="s">
        <v>11318</v>
      </c>
      <c r="E6281" t="str">
        <f>HYPERLINK("https://patents.google.com/patent/CN101625002A/en")</f>
        <v>https://patents.google.com/patent/CN101625002A/en</v>
      </c>
    </row>
    <row r="6282" spans="3:5" x14ac:dyDescent="0.25">
      <c r="C6282" t="s">
        <v>11319</v>
      </c>
      <c r="D6282" t="s">
        <v>11320</v>
      </c>
      <c r="E6282" t="str">
        <f>HYPERLINK("https://patents.google.com/patent/CN102042021A/en")</f>
        <v>https://patents.google.com/patent/CN102042021A/en</v>
      </c>
    </row>
    <row r="6283" spans="3:5" x14ac:dyDescent="0.25">
      <c r="C6283" t="s">
        <v>11321</v>
      </c>
      <c r="D6283" t="s">
        <v>11322</v>
      </c>
      <c r="E6283" t="str">
        <f>HYPERLINK("https://patents.google.com/patent/CN102036243A/en")</f>
        <v>https://patents.google.com/patent/CN102036243A/en</v>
      </c>
    </row>
    <row r="6284" spans="3:5" x14ac:dyDescent="0.25">
      <c r="C6284" t="s">
        <v>11323</v>
      </c>
      <c r="D6284" t="s">
        <v>11324</v>
      </c>
      <c r="E6284" t="str">
        <f>HYPERLINK("https://patents.google.com/patent/US20120307697A1/en")</f>
        <v>https://patents.google.com/patent/US20120307697A1/en</v>
      </c>
    </row>
    <row r="6285" spans="3:5" x14ac:dyDescent="0.25">
      <c r="C6285" t="s">
        <v>11325</v>
      </c>
      <c r="D6285" t="s">
        <v>11326</v>
      </c>
      <c r="E6285" t="str">
        <f>HYPERLINK("https://patents.google.com/patent/CN1352497A/en")</f>
        <v>https://patents.google.com/patent/CN1352497A/en</v>
      </c>
    </row>
    <row r="6286" spans="3:5" x14ac:dyDescent="0.25">
      <c r="C6286" t="s">
        <v>11327</v>
      </c>
      <c r="D6286" t="s">
        <v>11328</v>
      </c>
      <c r="E6286" t="str">
        <f>HYPERLINK("https://patents.google.com/patent/US20140200016A1/en")</f>
        <v>https://patents.google.com/patent/US20140200016A1/en</v>
      </c>
    </row>
    <row r="6287" spans="3:5" x14ac:dyDescent="0.25">
      <c r="C6287" t="s">
        <v>11329</v>
      </c>
      <c r="D6287" t="s">
        <v>11330</v>
      </c>
      <c r="E6287" t="str">
        <f>HYPERLINK("https://patents.google.com/patent/US20130272132A1/en")</f>
        <v>https://patents.google.com/patent/US20130272132A1/en</v>
      </c>
    </row>
    <row r="6288" spans="3:5" x14ac:dyDescent="0.25">
      <c r="C6288" t="s">
        <v>11331</v>
      </c>
      <c r="D6288" t="s">
        <v>11332</v>
      </c>
      <c r="E6288" t="str">
        <f>HYPERLINK("https://patents.google.com/patent/CN101711048A/en")</f>
        <v>https://patents.google.com/patent/CN101711048A/en</v>
      </c>
    </row>
    <row r="6289" spans="3:5" x14ac:dyDescent="0.25">
      <c r="C6289" t="s">
        <v>11333</v>
      </c>
      <c r="D6289" t="s">
        <v>11334</v>
      </c>
      <c r="E6289" t="str">
        <f>HYPERLINK("https://patents.google.com/patent/EP0836185A2/en")</f>
        <v>https://patents.google.com/patent/EP0836185A2/en</v>
      </c>
    </row>
    <row r="6290" spans="3:5" x14ac:dyDescent="0.25">
      <c r="C6290" t="s">
        <v>11335</v>
      </c>
      <c r="D6290" t="s">
        <v>11336</v>
      </c>
      <c r="E6290" t="str">
        <f>HYPERLINK("https://patents.google.com/patent/US20150055479A1/en")</f>
        <v>https://patents.google.com/patent/US20150055479A1/en</v>
      </c>
    </row>
    <row r="6291" spans="3:5" x14ac:dyDescent="0.25">
      <c r="C6291" t="s">
        <v>11337</v>
      </c>
      <c r="D6291" t="s">
        <v>11338</v>
      </c>
      <c r="E6291" t="str">
        <f>HYPERLINK("https://patents.google.com/patent/US8676186B2/en")</f>
        <v>https://patents.google.com/patent/US8676186B2/en</v>
      </c>
    </row>
    <row r="6292" spans="3:5" x14ac:dyDescent="0.25">
      <c r="C6292" t="s">
        <v>11339</v>
      </c>
      <c r="D6292" t="s">
        <v>11340</v>
      </c>
      <c r="E6292" t="str">
        <f>HYPERLINK("https://patents.google.com/patent/US20130242736A1/en")</f>
        <v>https://patents.google.com/patent/US20130242736A1/en</v>
      </c>
    </row>
    <row r="6293" spans="3:5" x14ac:dyDescent="0.25">
      <c r="C6293" t="s">
        <v>11341</v>
      </c>
      <c r="D6293" t="s">
        <v>11342</v>
      </c>
      <c r="E6293" t="str">
        <f>HYPERLINK("https://patents.google.com/patent/US6549522B1/en")</f>
        <v>https://patents.google.com/patent/US6549522B1/en</v>
      </c>
    </row>
    <row r="6294" spans="3:5" x14ac:dyDescent="0.25">
      <c r="C6294" t="s">
        <v>11343</v>
      </c>
      <c r="D6294" t="s">
        <v>11344</v>
      </c>
      <c r="E6294" t="str">
        <f>HYPERLINK("https://patents.google.com/patent/US6193402B1/en")</f>
        <v>https://patents.google.com/patent/US6193402B1/en</v>
      </c>
    </row>
    <row r="6295" spans="3:5" x14ac:dyDescent="0.25">
      <c r="C6295" t="s">
        <v>11345</v>
      </c>
      <c r="D6295" t="s">
        <v>11346</v>
      </c>
      <c r="E6295" t="str">
        <f>HYPERLINK("https://patents.google.com/patent/US9026347B2/en")</f>
        <v>https://patents.google.com/patent/US9026347B2/en</v>
      </c>
    </row>
    <row r="6296" spans="3:5" x14ac:dyDescent="0.25">
      <c r="C6296" t="s">
        <v>11347</v>
      </c>
      <c r="D6296" t="s">
        <v>11348</v>
      </c>
      <c r="E6296" t="str">
        <f>HYPERLINK("https://patents.google.com/patent/CN102938910A/en")</f>
        <v>https://patents.google.com/patent/CN102938910A/en</v>
      </c>
    </row>
    <row r="6297" spans="3:5" x14ac:dyDescent="0.25">
      <c r="C6297" t="s">
        <v>11349</v>
      </c>
      <c r="D6297" t="s">
        <v>11350</v>
      </c>
      <c r="E6297" t="str">
        <f>HYPERLINK("https://patents.google.com/patent/CN101325271A/en")</f>
        <v>https://patents.google.com/patent/CN101325271A/en</v>
      </c>
    </row>
    <row r="6298" spans="3:5" x14ac:dyDescent="0.25">
      <c r="C6298" t="s">
        <v>11351</v>
      </c>
      <c r="D6298" t="s">
        <v>11352</v>
      </c>
      <c r="E6298" t="str">
        <f>HYPERLINK("https://patents.google.com/patent/US20140198659A1/en")</f>
        <v>https://patents.google.com/patent/US20140198659A1/en</v>
      </c>
    </row>
    <row r="6299" spans="3:5" x14ac:dyDescent="0.25">
      <c r="C6299" t="s">
        <v>11353</v>
      </c>
      <c r="D6299" t="s">
        <v>11354</v>
      </c>
      <c r="E6299" t="str">
        <f>HYPERLINK("https://patents.google.com/patent/US20140031006A1/en")</f>
        <v>https://patents.google.com/patent/US20140031006A1/en</v>
      </c>
    </row>
    <row r="6300" spans="3:5" x14ac:dyDescent="0.25">
      <c r="C6300" t="s">
        <v>11355</v>
      </c>
      <c r="D6300" t="s">
        <v>11356</v>
      </c>
      <c r="E6300" t="str">
        <f>HYPERLINK("https://patents.google.com/patent/US20130286851A1/en")</f>
        <v>https://patents.google.com/patent/US20130286851A1/en</v>
      </c>
    </row>
    <row r="6301" spans="3:5" x14ac:dyDescent="0.25">
      <c r="C6301" t="s">
        <v>11357</v>
      </c>
      <c r="D6301" t="s">
        <v>11358</v>
      </c>
      <c r="E6301" t="str">
        <f>HYPERLINK("https://patents.google.com/patent/US3868022A/en")</f>
        <v>https://patents.google.com/patent/US3868022A/en</v>
      </c>
    </row>
    <row r="6302" spans="3:5" x14ac:dyDescent="0.25">
      <c r="C6302" t="s">
        <v>11359</v>
      </c>
      <c r="D6302" t="s">
        <v>11360</v>
      </c>
      <c r="E6302" t="str">
        <f>HYPERLINK("https://patents.google.com/patent/US20130189991A1/en")</f>
        <v>https://patents.google.com/patent/US20130189991A1/en</v>
      </c>
    </row>
    <row r="6303" spans="3:5" x14ac:dyDescent="0.25">
      <c r="C6303" t="s">
        <v>11285</v>
      </c>
      <c r="D6303" t="s">
        <v>11361</v>
      </c>
      <c r="E6303" t="str">
        <f>HYPERLINK("https://patents.google.com/patent/US6605378B2/en")</f>
        <v>https://patents.google.com/patent/US6605378B2/en</v>
      </c>
    </row>
    <row r="6304" spans="3:5" x14ac:dyDescent="0.25">
      <c r="C6304" t="s">
        <v>11362</v>
      </c>
      <c r="D6304" t="s">
        <v>11363</v>
      </c>
      <c r="E6304" t="str">
        <f>HYPERLINK("https://patents.google.com/patent/US20150092552A1/en")</f>
        <v>https://patents.google.com/patent/US20150092552A1/en</v>
      </c>
    </row>
    <row r="6305" spans="3:5" x14ac:dyDescent="0.25">
      <c r="C6305" t="s">
        <v>11364</v>
      </c>
      <c r="D6305" t="s">
        <v>11365</v>
      </c>
      <c r="E6305" t="str">
        <f>HYPERLINK("https://patents.google.com/patent/CN102256307A/en")</f>
        <v>https://patents.google.com/patent/CN102256307A/en</v>
      </c>
    </row>
    <row r="6306" spans="3:5" x14ac:dyDescent="0.25">
      <c r="C6306" t="s">
        <v>11366</v>
      </c>
      <c r="D6306" t="s">
        <v>11367</v>
      </c>
      <c r="E6306" t="str">
        <f>HYPERLINK("https://patents.google.com/patent/US7376711B2/en")</f>
        <v>https://patents.google.com/patent/US7376711B2/en</v>
      </c>
    </row>
    <row r="6307" spans="3:5" x14ac:dyDescent="0.25">
      <c r="C6307" t="s">
        <v>11368</v>
      </c>
      <c r="D6307" t="s">
        <v>11369</v>
      </c>
      <c r="E6307" t="str">
        <f>HYPERLINK("https://patents.google.com/patent/CN101784061A/en")</f>
        <v>https://patents.google.com/patent/CN101784061A/en</v>
      </c>
    </row>
    <row r="6308" spans="3:5" x14ac:dyDescent="0.25">
      <c r="C6308" t="s">
        <v>11370</v>
      </c>
      <c r="D6308" t="s">
        <v>11371</v>
      </c>
      <c r="E6308" t="str">
        <f>HYPERLINK("https://patents.google.com/patent/US20130324076A1/en")</f>
        <v>https://patents.google.com/patent/US20130324076A1/en</v>
      </c>
    </row>
    <row r="6309" spans="3:5" x14ac:dyDescent="0.25">
      <c r="C6309" t="s">
        <v>11372</v>
      </c>
      <c r="D6309" t="s">
        <v>11373</v>
      </c>
      <c r="E6309" t="str">
        <f>HYPERLINK("https://patents.google.com/patent/WO2002103610A2/en")</f>
        <v>https://patents.google.com/patent/WO2002103610A2/en</v>
      </c>
    </row>
    <row r="6310" spans="3:5" x14ac:dyDescent="0.25">
      <c r="C6310" t="s">
        <v>11374</v>
      </c>
      <c r="D6310" t="s">
        <v>11375</v>
      </c>
      <c r="E6310" t="str">
        <f>HYPERLINK("https://patents.google.com/patent/US4560931A/en")</f>
        <v>https://patents.google.com/patent/US4560931A/en</v>
      </c>
    </row>
    <row r="6311" spans="3:5" x14ac:dyDescent="0.25">
      <c r="C6311" t="s">
        <v>11376</v>
      </c>
      <c r="D6311" t="s">
        <v>11377</v>
      </c>
      <c r="E6311" t="str">
        <f>HYPERLINK("https://patents.google.com/patent/CN101784078A/en")</f>
        <v>https://patents.google.com/patent/CN101784078A/en</v>
      </c>
    </row>
    <row r="6312" spans="3:5" x14ac:dyDescent="0.25">
      <c r="C6312" t="s">
        <v>11378</v>
      </c>
      <c r="D6312" t="s">
        <v>11379</v>
      </c>
      <c r="E6312" t="str">
        <f>HYPERLINK("https://patents.google.com/patent/CN101998468A/en")</f>
        <v>https://patents.google.com/patent/CN101998468A/en</v>
      </c>
    </row>
    <row r="6313" spans="3:5" x14ac:dyDescent="0.25">
      <c r="C6313" t="s">
        <v>11380</v>
      </c>
      <c r="D6313" t="s">
        <v>11381</v>
      </c>
      <c r="E6313" t="str">
        <f>HYPERLINK("https://patents.google.com/patent/JP2004080433A/en")</f>
        <v>https://patents.google.com/patent/JP2004080433A/en</v>
      </c>
    </row>
    <row r="6314" spans="3:5" x14ac:dyDescent="0.25">
      <c r="C6314" t="s">
        <v>11382</v>
      </c>
      <c r="D6314" t="s">
        <v>11383</v>
      </c>
      <c r="E6314" t="str">
        <f>HYPERLINK("https://patents.google.com/patent/CN102300765A/en")</f>
        <v>https://patents.google.com/patent/CN102300765A/en</v>
      </c>
    </row>
    <row r="6315" spans="3:5" x14ac:dyDescent="0.25">
      <c r="C6315" t="s">
        <v>11384</v>
      </c>
      <c r="D6315" t="s">
        <v>11385</v>
      </c>
      <c r="E6315" t="str">
        <f>HYPERLINK("https://patents.google.com/patent/CN102158864A/en")</f>
        <v>https://patents.google.com/patent/CN102158864A/en</v>
      </c>
    </row>
    <row r="6316" spans="3:5" x14ac:dyDescent="0.25">
      <c r="C6316" t="s">
        <v>11386</v>
      </c>
      <c r="D6316" t="s">
        <v>11387</v>
      </c>
      <c r="E6316" t="str">
        <f>HYPERLINK("https://patents.google.com/patent/US8315745B2/en")</f>
        <v>https://patents.google.com/patent/US8315745B2/en</v>
      </c>
    </row>
    <row r="6317" spans="3:5" x14ac:dyDescent="0.25">
      <c r="C6317" t="s">
        <v>11388</v>
      </c>
      <c r="D6317" t="s">
        <v>11389</v>
      </c>
      <c r="E6317" t="str">
        <f>HYPERLINK("https://patents.google.com/patent/CN201250069Y/en")</f>
        <v>https://patents.google.com/patent/CN201250069Y/en</v>
      </c>
    </row>
    <row r="6318" spans="3:5" x14ac:dyDescent="0.25">
      <c r="C6318" t="s">
        <v>11390</v>
      </c>
      <c r="D6318" t="s">
        <v>11391</v>
      </c>
      <c r="E6318" t="str">
        <f>HYPERLINK("https://patents.google.com/patent/US20160165472A1/en")</f>
        <v>https://patents.google.com/patent/US20160165472A1/en</v>
      </c>
    </row>
    <row r="6319" spans="3:5" x14ac:dyDescent="0.25">
      <c r="C6319" t="s">
        <v>11392</v>
      </c>
      <c r="D6319" t="s">
        <v>11393</v>
      </c>
      <c r="E6319" t="str">
        <f>HYPERLINK("https://patents.google.com/patent/CN104986281A/en")</f>
        <v>https://patents.google.com/patent/CN104986281A/en</v>
      </c>
    </row>
    <row r="6320" spans="3:5" x14ac:dyDescent="0.25">
      <c r="C6320" t="s">
        <v>11394</v>
      </c>
      <c r="D6320" t="s">
        <v>11395</v>
      </c>
      <c r="E6320" t="str">
        <f>HYPERLINK("https://patents.google.com/patent/US3858688A/en")</f>
        <v>https://patents.google.com/patent/US3858688A/en</v>
      </c>
    </row>
    <row r="6321" spans="3:5" x14ac:dyDescent="0.25">
      <c r="C6321" t="s">
        <v>11396</v>
      </c>
      <c r="D6321" t="s">
        <v>11397</v>
      </c>
      <c r="E6321" t="str">
        <f>HYPERLINK("https://patents.google.com/patent/US20070038743A1/en")</f>
        <v>https://patents.google.com/patent/US20070038743A1/en</v>
      </c>
    </row>
    <row r="6322" spans="3:5" x14ac:dyDescent="0.25">
      <c r="C6322" t="s">
        <v>11398</v>
      </c>
      <c r="D6322" t="s">
        <v>11399</v>
      </c>
      <c r="E6322" t="str">
        <f>HYPERLINK("https://patents.google.com/patent/US5504935A/en")</f>
        <v>https://patents.google.com/patent/US5504935A/en</v>
      </c>
    </row>
    <row r="6323" spans="3:5" x14ac:dyDescent="0.25">
      <c r="C6323" t="s">
        <v>11400</v>
      </c>
      <c r="D6323" t="s">
        <v>11401</v>
      </c>
      <c r="E6323" t="str">
        <f>HYPERLINK("https://patents.google.com/patent/US6785357B2/en")</f>
        <v>https://patents.google.com/patent/US6785357B2/en</v>
      </c>
    </row>
    <row r="6324" spans="3:5" x14ac:dyDescent="0.25">
      <c r="C6324" t="s">
        <v>11402</v>
      </c>
      <c r="D6324" t="s">
        <v>11403</v>
      </c>
      <c r="E6324" t="str">
        <f>HYPERLINK("https://patents.google.com/patent/US5652751A/en")</f>
        <v>https://patents.google.com/patent/US5652751A/en</v>
      </c>
    </row>
    <row r="6325" spans="3:5" x14ac:dyDescent="0.25">
      <c r="C6325" t="s">
        <v>11404</v>
      </c>
      <c r="D6325" t="s">
        <v>11405</v>
      </c>
      <c r="E6325" t="str">
        <f>HYPERLINK("https://patents.google.com/patent/US7480264B1/en")</f>
        <v>https://patents.google.com/patent/US7480264B1/en</v>
      </c>
    </row>
    <row r="6326" spans="3:5" x14ac:dyDescent="0.25">
      <c r="C6326" t="s">
        <v>11406</v>
      </c>
      <c r="D6326" t="s">
        <v>11407</v>
      </c>
      <c r="E6326" t="str">
        <f>HYPERLINK("https://patents.google.com/patent/US6021309A/en")</f>
        <v>https://patents.google.com/patent/US6021309A/en</v>
      </c>
    </row>
    <row r="6327" spans="3:5" x14ac:dyDescent="0.25">
      <c r="C6327" t="s">
        <v>11408</v>
      </c>
      <c r="D6327" t="s">
        <v>11409</v>
      </c>
      <c r="E6327" t="str">
        <f>HYPERLINK("https://patents.google.com/patent/US5850517A/en")</f>
        <v>https://patents.google.com/patent/US5850517A/en</v>
      </c>
    </row>
    <row r="6328" spans="3:5" x14ac:dyDescent="0.25">
      <c r="C6328" t="s">
        <v>11410</v>
      </c>
      <c r="D6328" t="s">
        <v>11411</v>
      </c>
      <c r="E6328" t="str">
        <f>HYPERLINK("https://patents.google.com/patent/US5713075A/en")</f>
        <v>https://patents.google.com/patent/US5713075A/en</v>
      </c>
    </row>
    <row r="6329" spans="3:5" x14ac:dyDescent="0.25">
      <c r="C6329" t="s">
        <v>11412</v>
      </c>
      <c r="D6329" t="s">
        <v>11413</v>
      </c>
      <c r="E6329" t="str">
        <f>HYPERLINK("https://patents.google.com/patent/US5805159A/en")</f>
        <v>https://patents.google.com/patent/US5805159A/en</v>
      </c>
    </row>
    <row r="6330" spans="3:5" x14ac:dyDescent="0.25">
      <c r="C6330" t="s">
        <v>11414</v>
      </c>
      <c r="D6330" t="s">
        <v>11415</v>
      </c>
      <c r="E6330" t="str">
        <f>HYPERLINK("https://patents.google.com/patent/US8509082B2/en")</f>
        <v>https://patents.google.com/patent/US8509082B2/en</v>
      </c>
    </row>
    <row r="6331" spans="3:5" x14ac:dyDescent="0.25">
      <c r="C6331" t="s">
        <v>11416</v>
      </c>
      <c r="D6331" t="s">
        <v>11417</v>
      </c>
      <c r="E6331" t="str">
        <f>HYPERLINK("https://patents.google.com/patent/US20100214943A1/en")</f>
        <v>https://patents.google.com/patent/US20100214943A1/en</v>
      </c>
    </row>
    <row r="6332" spans="3:5" x14ac:dyDescent="0.25">
      <c r="C6332" t="s">
        <v>11418</v>
      </c>
      <c r="D6332" t="s">
        <v>11419</v>
      </c>
      <c r="E6332" t="str">
        <f>HYPERLINK("https://patents.google.com/patent/US6636721B2/en")</f>
        <v>https://patents.google.com/patent/US6636721B2/en</v>
      </c>
    </row>
    <row r="6333" spans="3:5" x14ac:dyDescent="0.25">
      <c r="C6333" t="s">
        <v>11420</v>
      </c>
      <c r="D6333" t="s">
        <v>11421</v>
      </c>
      <c r="E6333" t="str">
        <f>HYPERLINK("https://patents.google.com/patent/US20030211828A1/en")</f>
        <v>https://patents.google.com/patent/US20030211828A1/en</v>
      </c>
    </row>
    <row r="6334" spans="3:5" x14ac:dyDescent="0.25">
      <c r="C6334" t="s">
        <v>11422</v>
      </c>
      <c r="D6334" t="s">
        <v>11423</v>
      </c>
      <c r="E6334" t="str">
        <f>HYPERLINK("https://patents.google.com/patent/US20060068849A1/en")</f>
        <v>https://patents.google.com/patent/US20060068849A1/en</v>
      </c>
    </row>
    <row r="6335" spans="3:5" x14ac:dyDescent="0.25">
      <c r="C6335" t="s">
        <v>11424</v>
      </c>
      <c r="D6335" t="s">
        <v>11425</v>
      </c>
      <c r="E6335" t="str">
        <f>HYPERLINK("https://patents.google.com/patent/US6944662B2/en")</f>
        <v>https://patents.google.com/patent/US6944662B2/en</v>
      </c>
    </row>
    <row r="6336" spans="3:5" x14ac:dyDescent="0.25">
      <c r="C6336" t="s">
        <v>11426</v>
      </c>
      <c r="D6336" t="s">
        <v>11427</v>
      </c>
      <c r="E6336" t="str">
        <f>HYPERLINK("https://patents.google.com/patent/US6157941A/en")</f>
        <v>https://patents.google.com/patent/US6157941A/en</v>
      </c>
    </row>
    <row r="6337" spans="3:5" x14ac:dyDescent="0.25">
      <c r="C6337" t="s">
        <v>11428</v>
      </c>
      <c r="D6337" t="s">
        <v>11429</v>
      </c>
      <c r="E6337" t="str">
        <f>HYPERLINK("https://patents.google.com/patent/US6273544B1/en")</f>
        <v>https://patents.google.com/patent/US6273544B1/en</v>
      </c>
    </row>
    <row r="6338" spans="3:5" x14ac:dyDescent="0.25">
      <c r="C6338" t="s">
        <v>11430</v>
      </c>
      <c r="D6338" t="s">
        <v>11431</v>
      </c>
      <c r="E6338" t="str">
        <f>HYPERLINK("https://patents.google.com/patent/US20110090820A1/en")</f>
        <v>https://patents.google.com/patent/US20110090820A1/en</v>
      </c>
    </row>
    <row r="6339" spans="3:5" x14ac:dyDescent="0.25">
      <c r="C6339" t="s">
        <v>11432</v>
      </c>
      <c r="D6339" t="s">
        <v>11433</v>
      </c>
      <c r="E6339" t="str">
        <f>HYPERLINK("https://patents.google.com/patent/US8467363B2/en")</f>
        <v>https://patents.google.com/patent/US8467363B2/en</v>
      </c>
    </row>
    <row r="6340" spans="3:5" x14ac:dyDescent="0.25">
      <c r="C6340" t="s">
        <v>11434</v>
      </c>
      <c r="D6340" t="s">
        <v>11435</v>
      </c>
      <c r="E6340" t="str">
        <f>HYPERLINK("https://patents.google.com/patent/US8402540B2/en")</f>
        <v>https://patents.google.com/patent/US8402540B2/en</v>
      </c>
    </row>
    <row r="6341" spans="3:5" x14ac:dyDescent="0.25">
      <c r="C6341" t="s">
        <v>11434</v>
      </c>
      <c r="D6341" t="s">
        <v>11436</v>
      </c>
      <c r="E6341" t="str">
        <f>HYPERLINK("https://patents.google.com/patent/US8010469B2/en")</f>
        <v>https://patents.google.com/patent/US8010469B2/en</v>
      </c>
    </row>
    <row r="6342" spans="3:5" x14ac:dyDescent="0.25">
      <c r="C6342" t="s">
        <v>10702</v>
      </c>
      <c r="D6342" t="s">
        <v>11437</v>
      </c>
      <c r="E6342" t="str">
        <f>HYPERLINK("https://patents.google.com/patent/US7263551B2/en")</f>
        <v>https://patents.google.com/patent/US7263551B2/en</v>
      </c>
    </row>
    <row r="6343" spans="3:5" x14ac:dyDescent="0.25">
      <c r="C6343" t="s">
        <v>11438</v>
      </c>
      <c r="D6343" t="s">
        <v>11439</v>
      </c>
      <c r="E6343" t="str">
        <f>HYPERLINK("https://patents.google.com/patent/US5262336A/en")</f>
        <v>https://patents.google.com/patent/US5262336A/en</v>
      </c>
    </row>
    <row r="6344" spans="3:5" x14ac:dyDescent="0.25">
      <c r="C6344" t="s">
        <v>11440</v>
      </c>
      <c r="D6344" t="s">
        <v>11441</v>
      </c>
      <c r="E6344" t="str">
        <f>HYPERLINK("https://patents.google.com/patent/US7248841B2/en")</f>
        <v>https://patents.google.com/patent/US7248841B2/en</v>
      </c>
    </row>
    <row r="6345" spans="3:5" x14ac:dyDescent="0.25">
      <c r="C6345" t="s">
        <v>11442</v>
      </c>
      <c r="D6345" t="s">
        <v>11443</v>
      </c>
      <c r="E6345" t="str">
        <f>HYPERLINK("https://patents.google.com/patent/US6564261B1/en")</f>
        <v>https://patents.google.com/patent/US6564261B1/en</v>
      </c>
    </row>
    <row r="6346" spans="3:5" x14ac:dyDescent="0.25">
      <c r="C6346" t="s">
        <v>11444</v>
      </c>
      <c r="D6346" t="s">
        <v>11445</v>
      </c>
      <c r="E6346" t="str">
        <f>HYPERLINK("https://patents.google.com/patent/US8583520B1/en")</f>
        <v>https://patents.google.com/patent/US8583520B1/en</v>
      </c>
    </row>
    <row r="6347" spans="3:5" x14ac:dyDescent="0.25">
      <c r="C6347" t="s">
        <v>11446</v>
      </c>
      <c r="D6347" t="s">
        <v>11447</v>
      </c>
      <c r="E6347" t="str">
        <f>HYPERLINK("https://patents.google.com/patent/US8494507B1/en")</f>
        <v>https://patents.google.com/patent/US8494507B1/en</v>
      </c>
    </row>
    <row r="6348" spans="3:5" x14ac:dyDescent="0.25">
      <c r="C6348" t="s">
        <v>11448</v>
      </c>
      <c r="D6348" t="s">
        <v>11449</v>
      </c>
      <c r="E6348" t="str">
        <f>HYPERLINK("https://patents.google.com/patent/US7024166B2/en")</f>
        <v>https://patents.google.com/patent/US7024166B2/en</v>
      </c>
    </row>
    <row r="6349" spans="3:5" x14ac:dyDescent="0.25">
      <c r="C6349" t="s">
        <v>11450</v>
      </c>
      <c r="D6349" t="s">
        <v>11451</v>
      </c>
      <c r="E6349" t="str">
        <f>HYPERLINK("https://patents.google.com/patent/US5987506A/en")</f>
        <v>https://patents.google.com/patent/US5987506A/en</v>
      </c>
    </row>
    <row r="6350" spans="3:5" x14ac:dyDescent="0.25">
      <c r="C6350" t="s">
        <v>11452</v>
      </c>
      <c r="D6350" t="s">
        <v>11453</v>
      </c>
      <c r="E6350" t="str">
        <f>HYPERLINK("https://patents.google.com/patent/US7619545B2/en")</f>
        <v>https://patents.google.com/patent/US7619545B2/en</v>
      </c>
    </row>
    <row r="6351" spans="3:5" x14ac:dyDescent="0.25">
      <c r="C6351" t="s">
        <v>11454</v>
      </c>
      <c r="D6351" t="s">
        <v>11455</v>
      </c>
      <c r="E6351" t="str">
        <f>HYPERLINK("https://patents.google.com/patent/US7809818B2/en")</f>
        <v>https://patents.google.com/patent/US7809818B2/en</v>
      </c>
    </row>
    <row r="6352" spans="3:5" x14ac:dyDescent="0.25">
      <c r="C6352" t="s">
        <v>11456</v>
      </c>
      <c r="D6352" t="s">
        <v>11457</v>
      </c>
      <c r="E6352" t="str">
        <f>HYPERLINK("https://patents.google.com/patent/US7128270B2/en")</f>
        <v>https://patents.google.com/patent/US7128270B2/en</v>
      </c>
    </row>
    <row r="6353" spans="3:5" x14ac:dyDescent="0.25">
      <c r="C6353" t="s">
        <v>11458</v>
      </c>
      <c r="D6353" t="s">
        <v>11459</v>
      </c>
      <c r="E6353" t="str">
        <f>HYPERLINK("https://patents.google.com/patent/US7783757B2/en")</f>
        <v>https://patents.google.com/patent/US7783757B2/en</v>
      </c>
    </row>
    <row r="6354" spans="3:5" x14ac:dyDescent="0.25">
      <c r="C6354" t="s">
        <v>11460</v>
      </c>
      <c r="D6354" t="s">
        <v>11461</v>
      </c>
      <c r="E6354" t="str">
        <f>HYPERLINK("https://patents.google.com/patent/US6957199B1/en")</f>
        <v>https://patents.google.com/patent/US6957199B1/en</v>
      </c>
    </row>
    <row r="6355" spans="3:5" x14ac:dyDescent="0.25">
      <c r="C6355" t="s">
        <v>11462</v>
      </c>
      <c r="D6355" t="s">
        <v>11463</v>
      </c>
      <c r="E6355" t="str">
        <f>HYPERLINK("https://patents.google.com/patent/US4232903A/en")</f>
        <v>https://patents.google.com/patent/US4232903A/en</v>
      </c>
    </row>
    <row r="6356" spans="3:5" x14ac:dyDescent="0.25">
      <c r="C6356" t="s">
        <v>11464</v>
      </c>
      <c r="D6356" t="s">
        <v>11465</v>
      </c>
      <c r="E6356" t="str">
        <f>HYPERLINK("https://patents.google.com/patent/US7584294B2/en")</f>
        <v>https://patents.google.com/patent/US7584294B2/en</v>
      </c>
    </row>
    <row r="6357" spans="3:5" x14ac:dyDescent="0.25">
      <c r="C6357" t="s">
        <v>10672</v>
      </c>
      <c r="D6357" t="s">
        <v>11466</v>
      </c>
      <c r="E6357" t="str">
        <f>HYPERLINK("https://patents.google.com/patent/US8660853B2/en")</f>
        <v>https://patents.google.com/patent/US8660853B2/en</v>
      </c>
    </row>
    <row r="6358" spans="3:5" x14ac:dyDescent="0.25">
      <c r="C6358" t="s">
        <v>11467</v>
      </c>
      <c r="D6358" t="s">
        <v>11468</v>
      </c>
      <c r="E6358" t="str">
        <f>HYPERLINK("https://patents.google.com/patent/US7532134B2/en")</f>
        <v>https://patents.google.com/patent/US7532134B2/en</v>
      </c>
    </row>
    <row r="6359" spans="3:5" x14ac:dyDescent="0.25">
      <c r="C6359" t="s">
        <v>11469</v>
      </c>
      <c r="D6359" t="s">
        <v>11470</v>
      </c>
      <c r="E6359" t="str">
        <f>HYPERLINK("https://patents.google.com/patent/US6613232B2/en")</f>
        <v>https://patents.google.com/patent/US6613232B2/en</v>
      </c>
    </row>
    <row r="6360" spans="3:5" x14ac:dyDescent="0.25">
      <c r="C6360" t="s">
        <v>11471</v>
      </c>
      <c r="D6360" t="s">
        <v>11472</v>
      </c>
      <c r="E6360" t="str">
        <f>HYPERLINK("https://patents.google.com/patent/US8385305B1/en")</f>
        <v>https://patents.google.com/patent/US8385305B1/en</v>
      </c>
    </row>
    <row r="6361" spans="3:5" x14ac:dyDescent="0.25">
      <c r="C6361" t="s">
        <v>11473</v>
      </c>
      <c r="D6361" t="s">
        <v>11474</v>
      </c>
      <c r="E6361" t="str">
        <f>HYPERLINK("https://patents.google.com/patent/US5864340A/en")</f>
        <v>https://patents.google.com/patent/US5864340A/en</v>
      </c>
    </row>
    <row r="6362" spans="3:5" x14ac:dyDescent="0.25">
      <c r="C6362" t="s">
        <v>11475</v>
      </c>
      <c r="D6362" t="s">
        <v>11476</v>
      </c>
      <c r="E6362" t="str">
        <f>HYPERLINK("https://patents.google.com/patent/US8690578B1/en")</f>
        <v>https://patents.google.com/patent/US8690578B1/en</v>
      </c>
    </row>
    <row r="6363" spans="3:5" x14ac:dyDescent="0.25">
      <c r="C6363" t="s">
        <v>11477</v>
      </c>
      <c r="D6363" t="s">
        <v>11478</v>
      </c>
      <c r="E6363" t="str">
        <f>HYPERLINK("https://patents.google.com/patent/US5579071A/en")</f>
        <v>https://patents.google.com/patent/US5579071A/en</v>
      </c>
    </row>
    <row r="6364" spans="3:5" x14ac:dyDescent="0.25">
      <c r="C6364" t="s">
        <v>11479</v>
      </c>
      <c r="D6364" t="s">
        <v>11480</v>
      </c>
      <c r="E6364" t="str">
        <f>HYPERLINK("https://patents.google.com/patent/US8238318B1/en")</f>
        <v>https://patents.google.com/patent/US8238318B1/en</v>
      </c>
    </row>
    <row r="6365" spans="3:5" x14ac:dyDescent="0.25">
      <c r="C6365" t="s">
        <v>11481</v>
      </c>
      <c r="D6365" t="s">
        <v>11482</v>
      </c>
      <c r="E6365" t="str">
        <f>HYPERLINK("https://patents.google.com/patent/US20120039175A1/en")</f>
        <v>https://patents.google.com/patent/US20120039175A1/en</v>
      </c>
    </row>
    <row r="6366" spans="3:5" x14ac:dyDescent="0.25">
      <c r="C6366" t="s">
        <v>11483</v>
      </c>
      <c r="D6366" t="s">
        <v>11484</v>
      </c>
      <c r="E6366" t="str">
        <f>HYPERLINK("https://patents.google.com/patent/EP1610571A2/en")</f>
        <v>https://patents.google.com/patent/EP1610571A2/en</v>
      </c>
    </row>
    <row r="6367" spans="3:5" x14ac:dyDescent="0.25">
      <c r="C6367" t="s">
        <v>11485</v>
      </c>
      <c r="D6367" t="s">
        <v>11486</v>
      </c>
      <c r="E6367" t="str">
        <f>HYPERLINK("https://patents.google.com/patent/US5207747A/en")</f>
        <v>https://patents.google.com/patent/US5207747A/en</v>
      </c>
    </row>
    <row r="6368" spans="3:5" x14ac:dyDescent="0.25">
      <c r="C6368" t="s">
        <v>11487</v>
      </c>
      <c r="D6368" t="s">
        <v>11488</v>
      </c>
      <c r="E6368" t="str">
        <f>HYPERLINK("https://patents.google.com/patent/US6144855A/en")</f>
        <v>https://patents.google.com/patent/US6144855A/en</v>
      </c>
    </row>
    <row r="6369" spans="3:5" x14ac:dyDescent="0.25">
      <c r="C6369" t="s">
        <v>11489</v>
      </c>
      <c r="D6369" t="s">
        <v>11490</v>
      </c>
      <c r="E6369" t="str">
        <f>HYPERLINK("https://patents.google.com/patent/US20110249558A1/en")</f>
        <v>https://patents.google.com/patent/US20110249558A1/en</v>
      </c>
    </row>
    <row r="6370" spans="3:5" x14ac:dyDescent="0.25">
      <c r="C6370" t="s">
        <v>11491</v>
      </c>
      <c r="D6370" t="s">
        <v>11492</v>
      </c>
      <c r="E6370" t="str">
        <f>HYPERLINK("https://patents.google.com/patent/US8705361B2/en")</f>
        <v>https://patents.google.com/patent/US8705361B2/en</v>
      </c>
    </row>
    <row r="6371" spans="3:5" x14ac:dyDescent="0.25">
      <c r="C6371" t="s">
        <v>11493</v>
      </c>
      <c r="D6371" t="s">
        <v>11494</v>
      </c>
      <c r="E6371" t="str">
        <f>HYPERLINK("https://patents.google.com/patent/US7877682B2/en")</f>
        <v>https://patents.google.com/patent/US7877682B2/en</v>
      </c>
    </row>
    <row r="6372" spans="3:5" x14ac:dyDescent="0.25">
      <c r="C6372" t="s">
        <v>11430</v>
      </c>
      <c r="D6372" t="s">
        <v>11495</v>
      </c>
      <c r="E6372" t="str">
        <f>HYPERLINK("https://patents.google.com/patent/US20110092195A1/en")</f>
        <v>https://patents.google.com/patent/US20110092195A1/en</v>
      </c>
    </row>
    <row r="6373" spans="3:5" x14ac:dyDescent="0.25">
      <c r="C6373" t="s">
        <v>11410</v>
      </c>
      <c r="D6373" t="s">
        <v>11496</v>
      </c>
      <c r="E6373" t="str">
        <f>HYPERLINK("https://patents.google.com/patent/US6185409B1/en")</f>
        <v>https://patents.google.com/patent/US6185409B1/en</v>
      </c>
    </row>
    <row r="6374" spans="3:5" x14ac:dyDescent="0.25">
      <c r="C6374" t="s">
        <v>11497</v>
      </c>
      <c r="D6374" t="s">
        <v>11498</v>
      </c>
      <c r="E6374" t="str">
        <f>HYPERLINK("https://patents.google.com/patent/US7110964B2/en")</f>
        <v>https://patents.google.com/patent/US7110964B2/en</v>
      </c>
    </row>
    <row r="6375" spans="3:5" x14ac:dyDescent="0.25">
      <c r="C6375" t="s">
        <v>11499</v>
      </c>
      <c r="D6375" t="s">
        <v>11500</v>
      </c>
      <c r="E6375" t="str">
        <f>HYPERLINK("https://patents.google.com/patent/US7279711B1/en")</f>
        <v>https://patents.google.com/patent/US7279711B1/en</v>
      </c>
    </row>
    <row r="6376" spans="3:5" x14ac:dyDescent="0.25">
      <c r="C6376" t="s">
        <v>11501</v>
      </c>
      <c r="D6376" t="s">
        <v>11502</v>
      </c>
      <c r="E6376" t="str">
        <f>HYPERLINK("https://patents.google.com/patent/US7453379B2/en")</f>
        <v>https://patents.google.com/patent/US7453379B2/en</v>
      </c>
    </row>
    <row r="6377" spans="3:5" x14ac:dyDescent="0.25">
      <c r="C6377" t="s">
        <v>11503</v>
      </c>
      <c r="D6377" t="s">
        <v>11504</v>
      </c>
      <c r="E6377" t="str">
        <f>HYPERLINK("https://patents.google.com/patent/KR101288770B1/en")</f>
        <v>https://patents.google.com/patent/KR101288770B1/en</v>
      </c>
    </row>
    <row r="6378" spans="3:5" x14ac:dyDescent="0.25">
      <c r="C6378" t="s">
        <v>11505</v>
      </c>
      <c r="D6378" t="s">
        <v>11506</v>
      </c>
      <c r="E6378" t="str">
        <f>HYPERLINK("https://patents.google.com/patent/US7778260B2/en")</f>
        <v>https://patents.google.com/patent/US7778260B2/en</v>
      </c>
    </row>
    <row r="6379" spans="3:5" x14ac:dyDescent="0.25">
      <c r="C6379" t="s">
        <v>11507</v>
      </c>
      <c r="D6379" t="s">
        <v>11508</v>
      </c>
      <c r="E6379" t="str">
        <f>HYPERLINK("https://patents.google.com/patent/US6263215B1/en")</f>
        <v>https://patents.google.com/patent/US6263215B1/en</v>
      </c>
    </row>
    <row r="6380" spans="3:5" x14ac:dyDescent="0.25">
      <c r="C6380" t="s">
        <v>11509</v>
      </c>
      <c r="D6380" t="s">
        <v>11510</v>
      </c>
      <c r="E6380" t="str">
        <f>HYPERLINK("https://patents.google.com/patent/US7644171B2/en")</f>
        <v>https://patents.google.com/patent/US7644171B2/en</v>
      </c>
    </row>
    <row r="6381" spans="3:5" x14ac:dyDescent="0.25">
      <c r="C6381" t="s">
        <v>11511</v>
      </c>
      <c r="D6381" t="s">
        <v>11512</v>
      </c>
      <c r="E6381" t="str">
        <f>HYPERLINK("https://patents.google.com/patent/US6996086B2/en")</f>
        <v>https://patents.google.com/patent/US6996086B2/en</v>
      </c>
    </row>
    <row r="6382" spans="3:5" x14ac:dyDescent="0.25">
      <c r="C6382" t="s">
        <v>11513</v>
      </c>
      <c r="D6382" t="s">
        <v>11514</v>
      </c>
      <c r="E6382" t="str">
        <f>HYPERLINK("https://patents.google.com/patent/US7644087B2/en")</f>
        <v>https://patents.google.com/patent/US7644087B2/en</v>
      </c>
    </row>
    <row r="6383" spans="3:5" x14ac:dyDescent="0.25">
      <c r="C6383" t="s">
        <v>11515</v>
      </c>
      <c r="D6383" t="s">
        <v>11516</v>
      </c>
      <c r="E6383" t="str">
        <f>HYPERLINK("https://patents.google.com/patent/US8737300B2/en")</f>
        <v>https://patents.google.com/patent/US8737300B2/en</v>
      </c>
    </row>
    <row r="6384" spans="3:5" x14ac:dyDescent="0.25">
      <c r="C6384" t="s">
        <v>11517</v>
      </c>
      <c r="D6384" t="s">
        <v>11518</v>
      </c>
      <c r="E6384" t="str">
        <f>HYPERLINK("https://patents.google.com/patent/US8364785B2/en")</f>
        <v>https://patents.google.com/patent/US8364785B2/en</v>
      </c>
    </row>
    <row r="6385" spans="3:5" x14ac:dyDescent="0.25">
      <c r="C6385" t="s">
        <v>11519</v>
      </c>
      <c r="D6385" t="s">
        <v>11520</v>
      </c>
      <c r="E6385" t="str">
        <f>HYPERLINK("https://patents.google.com/patent/US6666622B1/en")</f>
        <v>https://patents.google.com/patent/US6666622B1/en</v>
      </c>
    </row>
    <row r="6386" spans="3:5" x14ac:dyDescent="0.25">
      <c r="C6386" t="s">
        <v>11521</v>
      </c>
      <c r="D6386" t="s">
        <v>11522</v>
      </c>
      <c r="E6386" t="str">
        <f>HYPERLINK("https://patents.google.com/patent/US7706266B2/en")</f>
        <v>https://patents.google.com/patent/US7706266B2/en</v>
      </c>
    </row>
    <row r="6387" spans="3:5" x14ac:dyDescent="0.25">
      <c r="C6387" t="s">
        <v>11523</v>
      </c>
      <c r="D6387" t="s">
        <v>11524</v>
      </c>
      <c r="E6387" t="str">
        <f>HYPERLINK("https://patents.google.com/patent/US8504775B2/en")</f>
        <v>https://patents.google.com/patent/US8504775B2/en</v>
      </c>
    </row>
    <row r="6388" spans="3:5" x14ac:dyDescent="0.25">
      <c r="C6388" t="s">
        <v>11525</v>
      </c>
      <c r="D6388" t="s">
        <v>11526</v>
      </c>
      <c r="E6388" t="str">
        <f>HYPERLINK("https://patents.google.com/patent/US20120142356A1/en")</f>
        <v>https://patents.google.com/patent/US20120142356A1/en</v>
      </c>
    </row>
    <row r="6389" spans="3:5" x14ac:dyDescent="0.25">
      <c r="C6389" t="s">
        <v>11501</v>
      </c>
      <c r="D6389" t="s">
        <v>11527</v>
      </c>
      <c r="E6389" t="str">
        <f>HYPERLINK("https://patents.google.com/patent/US7827237B2/en")</f>
        <v>https://patents.google.com/patent/US7827237B2/en</v>
      </c>
    </row>
    <row r="6390" spans="3:5" x14ac:dyDescent="0.25">
      <c r="C6390" t="s">
        <v>11528</v>
      </c>
      <c r="D6390" t="s">
        <v>11529</v>
      </c>
      <c r="E6390" t="str">
        <f>HYPERLINK("https://patents.google.com/patent/US20110136478A1/en")</f>
        <v>https://patents.google.com/patent/US20110136478A1/en</v>
      </c>
    </row>
    <row r="6391" spans="3:5" x14ac:dyDescent="0.25">
      <c r="C6391" t="s">
        <v>11530</v>
      </c>
      <c r="D6391" t="s">
        <v>11531</v>
      </c>
      <c r="E6391" t="str">
        <f>HYPERLINK("https://patents.google.com/patent/US7865585B2/en")</f>
        <v>https://patents.google.com/patent/US7865585B2/en</v>
      </c>
    </row>
    <row r="6392" spans="3:5" x14ac:dyDescent="0.25">
      <c r="C6392" t="s">
        <v>11532</v>
      </c>
      <c r="D6392" t="s">
        <v>11533</v>
      </c>
      <c r="E6392" t="str">
        <f>HYPERLINK("https://patents.google.com/patent/US3811740A/en")</f>
        <v>https://patents.google.com/patent/US3811740A/en</v>
      </c>
    </row>
    <row r="6393" spans="3:5" x14ac:dyDescent="0.25">
      <c r="C6393" t="s">
        <v>11534</v>
      </c>
      <c r="D6393" t="s">
        <v>11535</v>
      </c>
      <c r="E6393" t="str">
        <f>HYPERLINK("https://patents.google.com/patent/US7810089B2/en")</f>
        <v>https://patents.google.com/patent/US7810089B2/en</v>
      </c>
    </row>
    <row r="6394" spans="3:5" x14ac:dyDescent="0.25">
      <c r="C6394" t="s">
        <v>11536</v>
      </c>
      <c r="D6394" t="s">
        <v>11537</v>
      </c>
      <c r="E6394" t="str">
        <f>HYPERLINK("https://patents.google.com/patent/US20070087756A1/en")</f>
        <v>https://patents.google.com/patent/US20070087756A1/en</v>
      </c>
    </row>
    <row r="6395" spans="3:5" x14ac:dyDescent="0.25">
      <c r="C6395" t="s">
        <v>11538</v>
      </c>
      <c r="D6395" t="s">
        <v>11539</v>
      </c>
      <c r="E6395" t="str">
        <f>HYPERLINK("https://patents.google.com/patent/US20080102896A1/en")</f>
        <v>https://patents.google.com/patent/US20080102896A1/en</v>
      </c>
    </row>
    <row r="6396" spans="3:5" x14ac:dyDescent="0.25">
      <c r="C6396" t="s">
        <v>11540</v>
      </c>
      <c r="D6396" t="s">
        <v>11541</v>
      </c>
      <c r="E6396" t="str">
        <f>HYPERLINK("https://patents.google.com/patent/US20100094981A1/en")</f>
        <v>https://patents.google.com/patent/US20100094981A1/en</v>
      </c>
    </row>
    <row r="6397" spans="3:5" x14ac:dyDescent="0.25">
      <c r="C6397" t="s">
        <v>11542</v>
      </c>
      <c r="D6397" t="s">
        <v>11543</v>
      </c>
      <c r="E6397" t="str">
        <f>HYPERLINK("https://patents.google.com/patent/US20060239224A1/en")</f>
        <v>https://patents.google.com/patent/US20060239224A1/en</v>
      </c>
    </row>
    <row r="6398" spans="3:5" x14ac:dyDescent="0.25">
      <c r="C6398" t="s">
        <v>11544</v>
      </c>
      <c r="D6398" t="s">
        <v>11545</v>
      </c>
      <c r="E6398" t="str">
        <f>HYPERLINK("https://patents.google.com/patent/US20140092765A1/en")</f>
        <v>https://patents.google.com/patent/US20140092765A1/en</v>
      </c>
    </row>
    <row r="6399" spans="3:5" x14ac:dyDescent="0.25">
      <c r="C6399" t="s">
        <v>11546</v>
      </c>
      <c r="D6399" t="s">
        <v>11547</v>
      </c>
      <c r="E6399" t="str">
        <f>HYPERLINK("https://patents.google.com/patent/US20080005285A1/en")</f>
        <v>https://patents.google.com/patent/US20080005285A1/en</v>
      </c>
    </row>
    <row r="6400" spans="3:5" x14ac:dyDescent="0.25">
      <c r="C6400" t="s">
        <v>11548</v>
      </c>
      <c r="D6400" t="s">
        <v>11549</v>
      </c>
      <c r="E6400" t="str">
        <f>HYPERLINK("https://patents.google.com/patent/US20140066077A1/en")</f>
        <v>https://patents.google.com/patent/US20140066077A1/en</v>
      </c>
    </row>
    <row r="6401" spans="3:5" x14ac:dyDescent="0.25">
      <c r="C6401" t="s">
        <v>11550</v>
      </c>
      <c r="D6401" t="s">
        <v>11551</v>
      </c>
      <c r="E6401" t="str">
        <f>HYPERLINK("https://patents.google.com/patent/US6442397B1/en")</f>
        <v>https://patents.google.com/patent/US6442397B1/en</v>
      </c>
    </row>
    <row r="6402" spans="3:5" x14ac:dyDescent="0.25">
      <c r="C6402" t="s">
        <v>11552</v>
      </c>
      <c r="D6402" t="s">
        <v>11553</v>
      </c>
      <c r="E6402" t="str">
        <f>HYPERLINK("https://patents.google.com/patent/US7742399B2/en")</f>
        <v>https://patents.google.com/patent/US7742399B2/en</v>
      </c>
    </row>
    <row r="6403" spans="3:5" x14ac:dyDescent="0.25">
      <c r="C6403" t="s">
        <v>11554</v>
      </c>
      <c r="D6403" t="s">
        <v>11555</v>
      </c>
      <c r="E6403" t="str">
        <f>HYPERLINK("https://patents.google.com/patent/US20130331079A1/en")</f>
        <v>https://patents.google.com/patent/US20130331079A1/en</v>
      </c>
    </row>
    <row r="6404" spans="3:5" x14ac:dyDescent="0.25">
      <c r="C6404" t="s">
        <v>11556</v>
      </c>
      <c r="D6404" t="s">
        <v>11557</v>
      </c>
      <c r="E6404" t="str">
        <f>HYPERLINK("https://patents.google.com/patent/US20130239192A1/en")</f>
        <v>https://patents.google.com/patent/US20130239192A1/en</v>
      </c>
    </row>
    <row r="6405" spans="3:5" x14ac:dyDescent="0.25">
      <c r="C6405" t="s">
        <v>11558</v>
      </c>
      <c r="D6405" t="s">
        <v>11559</v>
      </c>
      <c r="E6405" t="str">
        <f>HYPERLINK("https://patents.google.com/patent/US7174373B1/en")</f>
        <v>https://patents.google.com/patent/US7174373B1/en</v>
      </c>
    </row>
    <row r="6406" spans="3:5" x14ac:dyDescent="0.25">
      <c r="C6406" t="s">
        <v>11560</v>
      </c>
      <c r="D6406" t="s">
        <v>11561</v>
      </c>
      <c r="E6406" t="str">
        <f>HYPERLINK("https://patents.google.com/patent/US20060030343A1/en")</f>
        <v>https://patents.google.com/patent/US20060030343A1/en</v>
      </c>
    </row>
    <row r="6407" spans="3:5" x14ac:dyDescent="0.25">
      <c r="C6407" t="s">
        <v>11562</v>
      </c>
      <c r="D6407" t="s">
        <v>11563</v>
      </c>
      <c r="E6407" t="str">
        <f>HYPERLINK("https://patents.google.com/patent/FR2754527A1/en")</f>
        <v>https://patents.google.com/patent/FR2754527A1/en</v>
      </c>
    </row>
    <row r="6408" spans="3:5" x14ac:dyDescent="0.25">
      <c r="C6408" t="s">
        <v>11564</v>
      </c>
      <c r="D6408" t="s">
        <v>11565</v>
      </c>
      <c r="E6408" t="str">
        <f>HYPERLINK("https://patents.google.com/patent/US20100085009A1/en")</f>
        <v>https://patents.google.com/patent/US20100085009A1/en</v>
      </c>
    </row>
    <row r="6409" spans="3:5" x14ac:dyDescent="0.25">
      <c r="C6409" t="s">
        <v>11566</v>
      </c>
      <c r="D6409" t="s">
        <v>11567</v>
      </c>
      <c r="E6409" t="str">
        <f>HYPERLINK("https://patents.google.com/patent/US8719397B2/en")</f>
        <v>https://patents.google.com/patent/US8719397B2/en</v>
      </c>
    </row>
    <row r="6410" spans="3:5" x14ac:dyDescent="0.25">
      <c r="C6410" t="s">
        <v>11568</v>
      </c>
      <c r="D6410" t="s">
        <v>11569</v>
      </c>
      <c r="E6410" t="str">
        <f>HYPERLINK("https://patents.google.com/patent/US20110280157A1/en")</f>
        <v>https://patents.google.com/patent/US20110280157A1/en</v>
      </c>
    </row>
    <row r="6411" spans="3:5" x14ac:dyDescent="0.25">
      <c r="C6411" t="s">
        <v>11570</v>
      </c>
      <c r="D6411" t="s">
        <v>11571</v>
      </c>
      <c r="E6411" t="str">
        <f>HYPERLINK("https://patents.google.com/patent/US7460038B2/en")</f>
        <v>https://patents.google.com/patent/US7460038B2/en</v>
      </c>
    </row>
    <row r="6412" spans="3:5" x14ac:dyDescent="0.25">
      <c r="C6412" t="s">
        <v>11572</v>
      </c>
      <c r="D6412" t="s">
        <v>11573</v>
      </c>
      <c r="E6412" t="str">
        <f>HYPERLINK("https://patents.google.com/patent/US8244566B1/en")</f>
        <v>https://patents.google.com/patent/US8244566B1/en</v>
      </c>
    </row>
    <row r="6413" spans="3:5" x14ac:dyDescent="0.25">
      <c r="C6413" t="s">
        <v>11574</v>
      </c>
      <c r="D6413" t="s">
        <v>11575</v>
      </c>
      <c r="E6413" t="str">
        <f>HYPERLINK("https://patents.google.com/patent/US20100076615A1/en")</f>
        <v>https://patents.google.com/patent/US20100076615A1/en</v>
      </c>
    </row>
    <row r="6414" spans="3:5" x14ac:dyDescent="0.25">
      <c r="C6414" t="s">
        <v>11576</v>
      </c>
      <c r="D6414" t="s">
        <v>11577</v>
      </c>
      <c r="E6414" t="str">
        <f>HYPERLINK("https://patents.google.com/patent/CN101360339A/en")</f>
        <v>https://patents.google.com/patent/CN101360339A/en</v>
      </c>
    </row>
    <row r="6415" spans="3:5" x14ac:dyDescent="0.25">
      <c r="C6415" t="s">
        <v>11578</v>
      </c>
      <c r="D6415" t="s">
        <v>11579</v>
      </c>
      <c r="E6415" t="str">
        <f>HYPERLINK("https://patents.google.com/patent/US20150223113A1/en")</f>
        <v>https://patents.google.com/patent/US20150223113A1/en</v>
      </c>
    </row>
    <row r="6416" spans="3:5" x14ac:dyDescent="0.25">
      <c r="C6416" t="s">
        <v>11580</v>
      </c>
      <c r="D6416" t="s">
        <v>11581</v>
      </c>
      <c r="E6416" t="str">
        <f>HYPERLINK("https://patents.google.com/patent/US20070112574A1/en")</f>
        <v>https://patents.google.com/patent/US20070112574A1/en</v>
      </c>
    </row>
    <row r="6417" spans="3:5" x14ac:dyDescent="0.25">
      <c r="C6417" t="s">
        <v>11582</v>
      </c>
      <c r="D6417" t="s">
        <v>11583</v>
      </c>
      <c r="E6417" t="str">
        <f>HYPERLINK("https://patents.google.com/patent/US20060166677A1/en")</f>
        <v>https://patents.google.com/patent/US20060166677A1/en</v>
      </c>
    </row>
    <row r="6418" spans="3:5" x14ac:dyDescent="0.25">
      <c r="C6418" t="s">
        <v>11584</v>
      </c>
      <c r="D6418" t="s">
        <v>11585</v>
      </c>
      <c r="E6418" t="str">
        <f>HYPERLINK("https://patents.google.com/patent/US20110265174A1/en")</f>
        <v>https://patents.google.com/patent/US20110265174A1/en</v>
      </c>
    </row>
    <row r="6419" spans="3:5" x14ac:dyDescent="0.25">
      <c r="C6419" t="s">
        <v>11586</v>
      </c>
      <c r="D6419" t="s">
        <v>11587</v>
      </c>
      <c r="E6419" t="str">
        <f>HYPERLINK("https://patents.google.com/patent/US20070070959A1/en")</f>
        <v>https://patents.google.com/patent/US20070070959A1/en</v>
      </c>
    </row>
    <row r="6420" spans="3:5" x14ac:dyDescent="0.25">
      <c r="C6420" t="s">
        <v>11588</v>
      </c>
      <c r="D6420" t="s">
        <v>11589</v>
      </c>
      <c r="E6420" t="str">
        <f>HYPERLINK("https://patents.google.com/patent/US20080040261A1/en")</f>
        <v>https://patents.google.com/patent/US20080040261A1/en</v>
      </c>
    </row>
    <row r="6421" spans="3:5" x14ac:dyDescent="0.25">
      <c r="C6421" t="s">
        <v>11590</v>
      </c>
      <c r="D6421" t="s">
        <v>11591</v>
      </c>
      <c r="E6421" t="str">
        <f>HYPERLINK("https://patents.google.com/patent/US20070106564A1/en")</f>
        <v>https://patents.google.com/patent/US20070106564A1/en</v>
      </c>
    </row>
    <row r="6422" spans="3:5" x14ac:dyDescent="0.25">
      <c r="C6422" t="s">
        <v>11592</v>
      </c>
      <c r="D6422" t="s">
        <v>11593</v>
      </c>
      <c r="E6422" t="str">
        <f>HYPERLINK("https://patents.google.com/patent/US20110058479A1/en")</f>
        <v>https://patents.google.com/patent/US20110058479A1/en</v>
      </c>
    </row>
    <row r="6423" spans="3:5" x14ac:dyDescent="0.25">
      <c r="C6423" t="s">
        <v>11594</v>
      </c>
      <c r="D6423" t="s">
        <v>11595</v>
      </c>
      <c r="E6423" t="str">
        <f>HYPERLINK("https://patents.google.com/patent/US7738008B1/en")</f>
        <v>https://patents.google.com/patent/US7738008B1/en</v>
      </c>
    </row>
    <row r="6424" spans="3:5" x14ac:dyDescent="0.25">
      <c r="C6424" t="s">
        <v>11596</v>
      </c>
      <c r="D6424" t="s">
        <v>11597</v>
      </c>
      <c r="E6424" t="str">
        <f>HYPERLINK("https://patents.google.com/patent/US20140355484A1/en")</f>
        <v>https://patents.google.com/patent/US20140355484A1/en</v>
      </c>
    </row>
    <row r="6425" spans="3:5" x14ac:dyDescent="0.25">
      <c r="C6425" t="s">
        <v>11598</v>
      </c>
      <c r="D6425" t="s">
        <v>11599</v>
      </c>
      <c r="E6425" t="str">
        <f>HYPERLINK("https://patents.google.com/patent/US6558082B1/en")</f>
        <v>https://patents.google.com/patent/US6558082B1/en</v>
      </c>
    </row>
    <row r="6426" spans="3:5" x14ac:dyDescent="0.25">
      <c r="C6426" t="s">
        <v>11600</v>
      </c>
      <c r="D6426" t="s">
        <v>11601</v>
      </c>
      <c r="E6426" t="str">
        <f>HYPERLINK("https://patents.google.com/patent/US20140096215A1/en")</f>
        <v>https://patents.google.com/patent/US20140096215A1/en</v>
      </c>
    </row>
    <row r="6427" spans="3:5" x14ac:dyDescent="0.25">
      <c r="C6427" t="s">
        <v>11602</v>
      </c>
      <c r="D6427" t="s">
        <v>11603</v>
      </c>
      <c r="E6427" t="str">
        <f>HYPERLINK("https://patents.google.com/patent/US20040001476A1/en")</f>
        <v>https://patents.google.com/patent/US20040001476A1/en</v>
      </c>
    </row>
    <row r="6428" spans="3:5" x14ac:dyDescent="0.25">
      <c r="C6428" t="s">
        <v>11604</v>
      </c>
      <c r="D6428" t="s">
        <v>11605</v>
      </c>
      <c r="E6428" t="str">
        <f>HYPERLINK("https://patents.google.com/patent/US7605940B2/en")</f>
        <v>https://patents.google.com/patent/US7605940B2/en</v>
      </c>
    </row>
    <row r="6429" spans="3:5" x14ac:dyDescent="0.25">
      <c r="C6429" t="s">
        <v>11606</v>
      </c>
      <c r="D6429" t="s">
        <v>11607</v>
      </c>
      <c r="E6429" t="str">
        <f>HYPERLINK("https://patents.google.com/patent/US20050220035A1/en")</f>
        <v>https://patents.google.com/patent/US20050220035A1/en</v>
      </c>
    </row>
    <row r="6430" spans="3:5" x14ac:dyDescent="0.25">
      <c r="C6430" t="s">
        <v>11608</v>
      </c>
      <c r="D6430" t="s">
        <v>11609</v>
      </c>
      <c r="E6430" t="str">
        <f>HYPERLINK("https://patents.google.com/patent/US20070267479A1/en")</f>
        <v>https://patents.google.com/patent/US20070267479A1/en</v>
      </c>
    </row>
    <row r="6431" spans="3:5" x14ac:dyDescent="0.25">
      <c r="C6431" t="s">
        <v>11610</v>
      </c>
      <c r="D6431" t="s">
        <v>11611</v>
      </c>
      <c r="E6431" t="str">
        <f>HYPERLINK("https://patents.google.com/patent/US20030074418A1/en")</f>
        <v>https://patents.google.com/patent/US20030074418A1/en</v>
      </c>
    </row>
    <row r="6432" spans="3:5" x14ac:dyDescent="0.25">
      <c r="C6432" t="s">
        <v>11612</v>
      </c>
      <c r="D6432" t="s">
        <v>11613</v>
      </c>
      <c r="E6432" t="str">
        <f>HYPERLINK("https://patents.google.com/patent/CN101772081A/en")</f>
        <v>https://patents.google.com/patent/CN101772081A/en</v>
      </c>
    </row>
    <row r="6433" spans="3:5" x14ac:dyDescent="0.25">
      <c r="C6433" t="s">
        <v>11590</v>
      </c>
      <c r="D6433" t="s">
        <v>11614</v>
      </c>
      <c r="E6433" t="str">
        <f>HYPERLINK("https://patents.google.com/patent/US20100030651A1/en")</f>
        <v>https://patents.google.com/patent/US20100030651A1/en</v>
      </c>
    </row>
    <row r="6434" spans="3:5" x14ac:dyDescent="0.25">
      <c r="C6434" t="s">
        <v>11615</v>
      </c>
      <c r="D6434" t="s">
        <v>11616</v>
      </c>
      <c r="E6434" t="str">
        <f>HYPERLINK("https://patents.google.com/patent/US20100199188A1/en")</f>
        <v>https://patents.google.com/patent/US20100199188A1/en</v>
      </c>
    </row>
    <row r="6435" spans="3:5" x14ac:dyDescent="0.25">
      <c r="C6435" t="s">
        <v>11617</v>
      </c>
      <c r="D6435" t="s">
        <v>11618</v>
      </c>
      <c r="E6435" t="str">
        <f>HYPERLINK("https://patents.google.com/patent/US20080133697A1/en")</f>
        <v>https://patents.google.com/patent/US20080133697A1/en</v>
      </c>
    </row>
    <row r="6436" spans="3:5" x14ac:dyDescent="0.25">
      <c r="C6436" t="s">
        <v>11619</v>
      </c>
      <c r="D6436" t="s">
        <v>11620</v>
      </c>
      <c r="E6436" t="str">
        <f>HYPERLINK("https://patents.google.com/patent/US20120209749A1/en")</f>
        <v>https://patents.google.com/patent/US20120209749A1/en</v>
      </c>
    </row>
    <row r="6437" spans="3:5" x14ac:dyDescent="0.25">
      <c r="C6437" t="s">
        <v>11621</v>
      </c>
      <c r="D6437" t="s">
        <v>11622</v>
      </c>
      <c r="E6437" t="str">
        <f>HYPERLINK("https://patents.google.com/patent/US20090189867A1/en")</f>
        <v>https://patents.google.com/patent/US20090189867A1/en</v>
      </c>
    </row>
    <row r="6438" spans="3:5" x14ac:dyDescent="0.25">
      <c r="C6438" t="s">
        <v>11623</v>
      </c>
      <c r="D6438" t="s">
        <v>11624</v>
      </c>
      <c r="E6438" t="str">
        <f>HYPERLINK("https://patents.google.com/patent/US20120316992A1/en")</f>
        <v>https://patents.google.com/patent/US20120316992A1/en</v>
      </c>
    </row>
    <row r="6439" spans="3:5" x14ac:dyDescent="0.25">
      <c r="C6439" t="s">
        <v>11625</v>
      </c>
      <c r="D6439" t="s">
        <v>11626</v>
      </c>
      <c r="E6439" t="str">
        <f>HYPERLINK("https://patents.google.com/patent/US20080010243A1/en")</f>
        <v>https://patents.google.com/patent/US20080010243A1/en</v>
      </c>
    </row>
    <row r="6440" spans="3:5" x14ac:dyDescent="0.25">
      <c r="C6440" t="s">
        <v>11627</v>
      </c>
      <c r="D6440" t="s">
        <v>11628</v>
      </c>
      <c r="E6440" t="str">
        <f>HYPERLINK("https://patents.google.com/patent/US20130040683A1/en")</f>
        <v>https://patents.google.com/patent/US20130040683A1/en</v>
      </c>
    </row>
    <row r="6441" spans="3:5" x14ac:dyDescent="0.25">
      <c r="C6441" t="s">
        <v>11629</v>
      </c>
      <c r="D6441" t="s">
        <v>11630</v>
      </c>
      <c r="E6441" t="str">
        <f>HYPERLINK("https://patents.google.com/patent/US20070110017A1/en")</f>
        <v>https://patents.google.com/patent/US20070110017A1/en</v>
      </c>
    </row>
    <row r="6442" spans="3:5" x14ac:dyDescent="0.25">
      <c r="C6442" t="s">
        <v>11631</v>
      </c>
      <c r="D6442" t="s">
        <v>11632</v>
      </c>
      <c r="E6442" t="str">
        <f>HYPERLINK("https://patents.google.com/patent/US20130111038A1/en")</f>
        <v>https://patents.google.com/patent/US20130111038A1/en</v>
      </c>
    </row>
    <row r="6443" spans="3:5" x14ac:dyDescent="0.25">
      <c r="C6443" t="s">
        <v>11633</v>
      </c>
      <c r="D6443" t="s">
        <v>11634</v>
      </c>
      <c r="E6443" t="str">
        <f>HYPERLINK("https://patents.google.com/patent/US20130114464A1/en")</f>
        <v>https://patents.google.com/patent/US20130114464A1/en</v>
      </c>
    </row>
    <row r="6444" spans="3:5" x14ac:dyDescent="0.25">
      <c r="C6444" t="s">
        <v>11635</v>
      </c>
      <c r="D6444" t="s">
        <v>11636</v>
      </c>
      <c r="E6444" t="str">
        <f>HYPERLINK("https://patents.google.com/patent/US20120276867A1/en")</f>
        <v>https://patents.google.com/patent/US20120276867A1/en</v>
      </c>
    </row>
    <row r="6445" spans="3:5" x14ac:dyDescent="0.25">
      <c r="C6445" t="s">
        <v>11637</v>
      </c>
      <c r="D6445" t="s">
        <v>11638</v>
      </c>
      <c r="E6445" t="str">
        <f>HYPERLINK("https://patents.google.com/patent/US20150063166A1/en")</f>
        <v>https://patents.google.com/patent/US20150063166A1/en</v>
      </c>
    </row>
    <row r="6446" spans="3:5" x14ac:dyDescent="0.25">
      <c r="C6446" t="s">
        <v>11639</v>
      </c>
      <c r="D6446" t="s">
        <v>11640</v>
      </c>
      <c r="E6446" t="str">
        <f>HYPERLINK("https://patents.google.com/patent/US20110250891A1/en")</f>
        <v>https://patents.google.com/patent/US20110250891A1/en</v>
      </c>
    </row>
    <row r="6447" spans="3:5" x14ac:dyDescent="0.25">
      <c r="C6447" t="s">
        <v>11641</v>
      </c>
      <c r="D6447" t="s">
        <v>11642</v>
      </c>
      <c r="E6447" t="str">
        <f>HYPERLINK("https://patents.google.com/patent/US20130183971A1/en")</f>
        <v>https://patents.google.com/patent/US20130183971A1/en</v>
      </c>
    </row>
    <row r="6448" spans="3:5" x14ac:dyDescent="0.25">
      <c r="C6448" t="s">
        <v>11643</v>
      </c>
      <c r="D6448" t="s">
        <v>11644</v>
      </c>
      <c r="E6448" t="str">
        <f>HYPERLINK("https://patents.google.com/patent/US20110044284A1/en")</f>
        <v>https://patents.google.com/patent/US20110044284A1/en</v>
      </c>
    </row>
    <row r="6449" spans="3:5" x14ac:dyDescent="0.25">
      <c r="C6449" t="s">
        <v>11645</v>
      </c>
      <c r="D6449" t="s">
        <v>11646</v>
      </c>
      <c r="E6449" t="str">
        <f>HYPERLINK("https://patents.google.com/patent/US20120264470A1/en")</f>
        <v>https://patents.google.com/patent/US20120264470A1/en</v>
      </c>
    </row>
    <row r="6450" spans="3:5" x14ac:dyDescent="0.25">
      <c r="C6450" t="s">
        <v>11647</v>
      </c>
      <c r="D6450" t="s">
        <v>11648</v>
      </c>
      <c r="E6450" t="str">
        <f>HYPERLINK("https://patents.google.com/patent/EP2306761A1/en")</f>
        <v>https://patents.google.com/patent/EP2306761A1/en</v>
      </c>
    </row>
    <row r="6451" spans="3:5" x14ac:dyDescent="0.25">
      <c r="C6451" t="s">
        <v>11649</v>
      </c>
      <c r="D6451" t="s">
        <v>11650</v>
      </c>
      <c r="E6451" t="str">
        <f>HYPERLINK("https://patents.google.com/patent/US20090083861A1/en")</f>
        <v>https://patents.google.com/patent/US20090083861A1/en</v>
      </c>
    </row>
    <row r="6452" spans="3:5" x14ac:dyDescent="0.25">
      <c r="C6452" t="s">
        <v>11651</v>
      </c>
      <c r="D6452" t="s">
        <v>11652</v>
      </c>
      <c r="E6452" t="str">
        <f>HYPERLINK("https://patents.google.com/patent/US20100227603A1/en")</f>
        <v>https://patents.google.com/patent/US20100227603A1/en</v>
      </c>
    </row>
    <row r="6453" spans="3:5" x14ac:dyDescent="0.25">
      <c r="C6453" t="s">
        <v>11653</v>
      </c>
      <c r="D6453" t="s">
        <v>11654</v>
      </c>
      <c r="E6453" t="str">
        <f>HYPERLINK("https://patents.google.com/patent/US20130152047A1/en")</f>
        <v>https://patents.google.com/patent/US20130152047A1/en</v>
      </c>
    </row>
    <row r="6454" spans="3:5" x14ac:dyDescent="0.25">
      <c r="C6454" t="s">
        <v>11655</v>
      </c>
      <c r="D6454" t="s">
        <v>11656</v>
      </c>
      <c r="E6454" t="str">
        <f>HYPERLINK("https://patents.google.com/patent/US20040095237A1/en")</f>
        <v>https://patents.google.com/patent/US20040095237A1/en</v>
      </c>
    </row>
    <row r="6455" spans="3:5" x14ac:dyDescent="0.25">
      <c r="C6455" t="s">
        <v>11657</v>
      </c>
      <c r="D6455" t="s">
        <v>11658</v>
      </c>
      <c r="E6455" t="str">
        <f>HYPERLINK("https://patents.google.com/patent/US20080046616A1/en")</f>
        <v>https://patents.google.com/patent/US20080046616A1/en</v>
      </c>
    </row>
    <row r="6456" spans="3:5" x14ac:dyDescent="0.25">
      <c r="C6456" t="s">
        <v>11659</v>
      </c>
      <c r="D6456" t="s">
        <v>11660</v>
      </c>
      <c r="E6456" t="str">
        <f>HYPERLINK("https://patents.google.com/patent/US20080161733A1/en")</f>
        <v>https://patents.google.com/patent/US20080161733A1/en</v>
      </c>
    </row>
    <row r="6457" spans="3:5" x14ac:dyDescent="0.25">
      <c r="C6457" t="s">
        <v>11661</v>
      </c>
      <c r="D6457" t="s">
        <v>11662</v>
      </c>
      <c r="E6457" t="str">
        <f>HYPERLINK("https://patents.google.com/patent/JP2006507483A/en")</f>
        <v>https://patents.google.com/patent/JP2006507483A/en</v>
      </c>
    </row>
    <row r="6458" spans="3:5" x14ac:dyDescent="0.25">
      <c r="C6458" t="s">
        <v>11663</v>
      </c>
      <c r="D6458" t="s">
        <v>11664</v>
      </c>
      <c r="E6458" t="str">
        <f>HYPERLINK("https://patents.google.com/patent/CN102158554A/en")</f>
        <v>https://patents.google.com/patent/CN102158554A/en</v>
      </c>
    </row>
    <row r="6459" spans="3:5" x14ac:dyDescent="0.25">
      <c r="C6459" t="s">
        <v>11665</v>
      </c>
      <c r="D6459" t="s">
        <v>11666</v>
      </c>
      <c r="E6459" t="str">
        <f>HYPERLINK("https://patents.google.com/patent/US20020075844A1/en")</f>
        <v>https://patents.google.com/patent/US20020075844A1/en</v>
      </c>
    </row>
    <row r="6460" spans="3:5" x14ac:dyDescent="0.25">
      <c r="C6460" t="s">
        <v>11667</v>
      </c>
      <c r="D6460" t="s">
        <v>11668</v>
      </c>
      <c r="E6460" t="str">
        <f>HYPERLINK("https://patents.google.com/patent/US20130182574A1/en")</f>
        <v>https://patents.google.com/patent/US20130182574A1/en</v>
      </c>
    </row>
    <row r="6461" spans="3:5" x14ac:dyDescent="0.25">
      <c r="C6461" t="s">
        <v>11669</v>
      </c>
      <c r="D6461" t="s">
        <v>11670</v>
      </c>
      <c r="E6461" t="str">
        <f>HYPERLINK("https://patents.google.com/patent/US20110096687A1/en")</f>
        <v>https://patents.google.com/patent/US20110096687A1/en</v>
      </c>
    </row>
    <row r="6462" spans="3:5" x14ac:dyDescent="0.25">
      <c r="C6462" t="s">
        <v>11671</v>
      </c>
      <c r="D6462" t="s">
        <v>11672</v>
      </c>
      <c r="E6462" t="str">
        <f>HYPERLINK("https://patents.google.com/patent/US20030021252A1/en")</f>
        <v>https://patents.google.com/patent/US20030021252A1/en</v>
      </c>
    </row>
    <row r="6463" spans="3:5" x14ac:dyDescent="0.25">
      <c r="C6463" t="s">
        <v>11673</v>
      </c>
      <c r="D6463" t="s">
        <v>11674</v>
      </c>
      <c r="E6463" t="str">
        <f>HYPERLINK("https://patents.google.com/patent/US20030088511A1/en")</f>
        <v>https://patents.google.com/patent/US20030088511A1/en</v>
      </c>
    </row>
    <row r="6464" spans="3:5" x14ac:dyDescent="0.25">
      <c r="C6464" t="s">
        <v>11675</v>
      </c>
      <c r="D6464" t="s">
        <v>11676</v>
      </c>
      <c r="E6464" t="str">
        <f>HYPERLINK("https://patents.google.com/patent/US8743772B2/en")</f>
        <v>https://patents.google.com/patent/US8743772B2/en</v>
      </c>
    </row>
    <row r="6465" spans="3:5" x14ac:dyDescent="0.25">
      <c r="C6465" t="s">
        <v>11677</v>
      </c>
      <c r="D6465" t="s">
        <v>11678</v>
      </c>
      <c r="E6465" t="str">
        <f>HYPERLINK("https://patents.google.com/patent/US20090310568A1/en")</f>
        <v>https://patents.google.com/patent/US20090310568A1/en</v>
      </c>
    </row>
    <row r="6466" spans="3:5" x14ac:dyDescent="0.25">
      <c r="C6466" t="s">
        <v>11679</v>
      </c>
      <c r="D6466" t="s">
        <v>11680</v>
      </c>
      <c r="E6466" t="str">
        <f>HYPERLINK("https://patents.google.com/patent/US20090080382A1/en")</f>
        <v>https://patents.google.com/patent/US20090080382A1/en</v>
      </c>
    </row>
    <row r="6467" spans="3:5" x14ac:dyDescent="0.25">
      <c r="C6467" t="s">
        <v>11681</v>
      </c>
      <c r="D6467" t="s">
        <v>11682</v>
      </c>
      <c r="E6467" t="str">
        <f>HYPERLINK("https://patents.google.com/patent/US20110038332A1/en")</f>
        <v>https://patents.google.com/patent/US20110038332A1/en</v>
      </c>
    </row>
    <row r="6468" spans="3:5" x14ac:dyDescent="0.25">
      <c r="C6468" t="s">
        <v>11683</v>
      </c>
      <c r="D6468" t="s">
        <v>11684</v>
      </c>
      <c r="E6468" t="str">
        <f>HYPERLINK("https://patents.google.com/patent/WO2009128079A1/en")</f>
        <v>https://patents.google.com/patent/WO2009128079A1/en</v>
      </c>
    </row>
    <row r="6469" spans="3:5" x14ac:dyDescent="0.25">
      <c r="C6469" t="s">
        <v>11685</v>
      </c>
      <c r="D6469" t="s">
        <v>11686</v>
      </c>
      <c r="E6469" t="str">
        <f>HYPERLINK("https://patents.google.com/patent/US20090032446A1/en")</f>
        <v>https://patents.google.com/patent/US20090032446A1/en</v>
      </c>
    </row>
    <row r="6470" spans="3:5" x14ac:dyDescent="0.25">
      <c r="C6470" t="s">
        <v>11687</v>
      </c>
      <c r="D6470" t="s">
        <v>11688</v>
      </c>
      <c r="E6470" t="str">
        <f>HYPERLINK("https://patents.google.com/patent/US20070070908A1/en")</f>
        <v>https://patents.google.com/patent/US20070070908A1/en</v>
      </c>
    </row>
    <row r="6471" spans="3:5" x14ac:dyDescent="0.25">
      <c r="C6471" t="s">
        <v>11689</v>
      </c>
      <c r="D6471" t="s">
        <v>11690</v>
      </c>
      <c r="E6471" t="str">
        <f>HYPERLINK("https://patents.google.com/patent/US20030041167A1/en")</f>
        <v>https://patents.google.com/patent/US20030041167A1/en</v>
      </c>
    </row>
    <row r="6472" spans="3:5" x14ac:dyDescent="0.25">
      <c r="C6472" t="s">
        <v>11691</v>
      </c>
      <c r="D6472" t="s">
        <v>11692</v>
      </c>
      <c r="E6472" t="str">
        <f>HYPERLINK("https://patents.google.com/patent/US20060253605A1/en")</f>
        <v>https://patents.google.com/patent/US20060253605A1/en</v>
      </c>
    </row>
    <row r="6473" spans="3:5" x14ac:dyDescent="0.25">
      <c r="C6473" t="s">
        <v>11693</v>
      </c>
      <c r="D6473" t="s">
        <v>11694</v>
      </c>
      <c r="E6473" t="str">
        <f>HYPERLINK("https://patents.google.com/patent/US20110222428A1/en")</f>
        <v>https://patents.google.com/patent/US20110222428A1/en</v>
      </c>
    </row>
    <row r="6474" spans="3:5" x14ac:dyDescent="0.25">
      <c r="C6474" t="s">
        <v>11695</v>
      </c>
      <c r="D6474" t="s">
        <v>11696</v>
      </c>
      <c r="E6474" t="str">
        <f>HYPERLINK("https://patents.google.com/patent/US20030203717A1/en")</f>
        <v>https://patents.google.com/patent/US20030203717A1/en</v>
      </c>
    </row>
    <row r="6475" spans="3:5" x14ac:dyDescent="0.25">
      <c r="C6475" t="s">
        <v>11697</v>
      </c>
      <c r="D6475" t="s">
        <v>11698</v>
      </c>
      <c r="E6475" t="str">
        <f>HYPERLINK("https://patents.google.com/patent/US20050203892A1/en")</f>
        <v>https://patents.google.com/patent/US20050203892A1/en</v>
      </c>
    </row>
    <row r="6476" spans="3:5" x14ac:dyDescent="0.25">
      <c r="C6476" t="s">
        <v>11699</v>
      </c>
      <c r="D6476" t="s">
        <v>11700</v>
      </c>
      <c r="E6476" t="str">
        <f>HYPERLINK("https://patents.google.com/patent/US20110276699A1/en")</f>
        <v>https://patents.google.com/patent/US20110276699A1/en</v>
      </c>
    </row>
    <row r="6477" spans="3:5" x14ac:dyDescent="0.25">
      <c r="C6477" t="s">
        <v>11701</v>
      </c>
      <c r="D6477" t="s">
        <v>11702</v>
      </c>
      <c r="E6477" t="str">
        <f>HYPERLINK("https://patents.google.com/patent/US20030041238A1/en")</f>
        <v>https://patents.google.com/patent/US20030041238A1/en</v>
      </c>
    </row>
    <row r="6478" spans="3:5" x14ac:dyDescent="0.25">
      <c r="C6478" t="s">
        <v>11703</v>
      </c>
      <c r="D6478" t="s">
        <v>11704</v>
      </c>
      <c r="E6478" t="str">
        <f>HYPERLINK("https://patents.google.com/patent/US20030023435A1/en")</f>
        <v>https://patents.google.com/patent/US20030023435A1/en</v>
      </c>
    </row>
    <row r="6479" spans="3:5" x14ac:dyDescent="0.25">
      <c r="C6479" t="s">
        <v>11705</v>
      </c>
      <c r="D6479" t="s">
        <v>11706</v>
      </c>
      <c r="E6479" t="str">
        <f>HYPERLINK("https://patents.google.com/patent/US20020031230A1/en")</f>
        <v>https://patents.google.com/patent/US20020031230A1/en</v>
      </c>
    </row>
    <row r="6480" spans="3:5" x14ac:dyDescent="0.25">
      <c r="C6480" t="s">
        <v>11707</v>
      </c>
      <c r="D6480" t="s">
        <v>11708</v>
      </c>
      <c r="E6480" t="str">
        <f>HYPERLINK("https://patents.google.com/patent/US20090080333A1/en")</f>
        <v>https://patents.google.com/patent/US20090080333A1/en</v>
      </c>
    </row>
    <row r="6481" spans="3:5" x14ac:dyDescent="0.25">
      <c r="C6481" t="s">
        <v>11709</v>
      </c>
      <c r="D6481" t="s">
        <v>11710</v>
      </c>
      <c r="E6481" t="str">
        <f>HYPERLINK("https://patents.google.com/patent/US20150124622A1/en")</f>
        <v>https://patents.google.com/patent/US20150124622A1/en</v>
      </c>
    </row>
    <row r="6482" spans="3:5" x14ac:dyDescent="0.25">
      <c r="C6482" t="s">
        <v>11711</v>
      </c>
      <c r="D6482" t="s">
        <v>11712</v>
      </c>
      <c r="E6482" t="str">
        <f>HYPERLINK("https://patents.google.com/patent/US20060195547A1/en")</f>
        <v>https://patents.google.com/patent/US20060195547A1/en</v>
      </c>
    </row>
    <row r="6483" spans="3:5" x14ac:dyDescent="0.25">
      <c r="C6483" t="s">
        <v>11713</v>
      </c>
      <c r="D6483" t="s">
        <v>11714</v>
      </c>
      <c r="E6483" t="str">
        <f>HYPERLINK("https://patents.google.com/patent/US20070225044A1/en")</f>
        <v>https://patents.google.com/patent/US20070225044A1/en</v>
      </c>
    </row>
    <row r="6484" spans="3:5" x14ac:dyDescent="0.25">
      <c r="C6484" t="s">
        <v>11715</v>
      </c>
      <c r="D6484" t="s">
        <v>11716</v>
      </c>
      <c r="E6484" t="str">
        <f>HYPERLINK("https://patents.google.com/patent/US20110149810A1/en")</f>
        <v>https://patents.google.com/patent/US20110149810A1/en</v>
      </c>
    </row>
    <row r="6485" spans="3:5" x14ac:dyDescent="0.25">
      <c r="C6485" t="s">
        <v>11717</v>
      </c>
      <c r="D6485" t="s">
        <v>11718</v>
      </c>
      <c r="E6485" t="str">
        <f>HYPERLINK("https://patents.google.com/patent/US20110038431A1/en")</f>
        <v>https://patents.google.com/patent/US20110038431A1/en</v>
      </c>
    </row>
    <row r="6486" spans="3:5" x14ac:dyDescent="0.25">
      <c r="C6486" t="s">
        <v>11719</v>
      </c>
      <c r="D6486" t="s">
        <v>11720</v>
      </c>
      <c r="E6486" t="str">
        <f>HYPERLINK("https://patents.google.com/patent/US20060248317A1/en")</f>
        <v>https://patents.google.com/patent/US20060248317A1/en</v>
      </c>
    </row>
    <row r="6487" spans="3:5" x14ac:dyDescent="0.25">
      <c r="C6487" t="s">
        <v>11721</v>
      </c>
      <c r="D6487" t="s">
        <v>11722</v>
      </c>
      <c r="E6487" t="str">
        <f>HYPERLINK("https://patents.google.com/patent/US20050207376A1/en")</f>
        <v>https://patents.google.com/patent/US20050207376A1/en</v>
      </c>
    </row>
    <row r="6488" spans="3:5" x14ac:dyDescent="0.25">
      <c r="C6488" t="s">
        <v>11723</v>
      </c>
      <c r="D6488" t="s">
        <v>11724</v>
      </c>
      <c r="E6488" t="str">
        <f>HYPERLINK("https://patents.google.com/patent/US20110212783A1/en")</f>
        <v>https://patents.google.com/patent/US20110212783A1/en</v>
      </c>
    </row>
    <row r="6489" spans="3:5" x14ac:dyDescent="0.25">
      <c r="C6489" t="s">
        <v>11725</v>
      </c>
      <c r="D6489" t="s">
        <v>11726</v>
      </c>
      <c r="E6489" t="str">
        <f>HYPERLINK("https://patents.google.com/patent/CN102946378A/en")</f>
        <v>https://patents.google.com/patent/CN102946378A/en</v>
      </c>
    </row>
    <row r="6490" spans="3:5" x14ac:dyDescent="0.25">
      <c r="C6490" t="s">
        <v>11727</v>
      </c>
      <c r="D6490" t="s">
        <v>11728</v>
      </c>
      <c r="E6490" t="str">
        <f>HYPERLINK("https://patents.google.com/patent/US20110126192A1/en")</f>
        <v>https://patents.google.com/patent/US20110126192A1/en</v>
      </c>
    </row>
    <row r="6491" spans="3:5" x14ac:dyDescent="0.25">
      <c r="C6491" t="s">
        <v>11729</v>
      </c>
      <c r="D6491" t="s">
        <v>11730</v>
      </c>
      <c r="E6491" t="str">
        <f>HYPERLINK("https://patents.google.com/patent/US20130130695A1/en")</f>
        <v>https://patents.google.com/patent/US20130130695A1/en</v>
      </c>
    </row>
    <row r="6492" spans="3:5" x14ac:dyDescent="0.25">
      <c r="C6492" t="s">
        <v>11731</v>
      </c>
      <c r="D6492" t="s">
        <v>11732</v>
      </c>
      <c r="E6492" t="str">
        <f>HYPERLINK("https://patents.google.com/patent/US3518789A/en")</f>
        <v>https://patents.google.com/patent/US3518789A/en</v>
      </c>
    </row>
    <row r="6493" spans="3:5" x14ac:dyDescent="0.25">
      <c r="C6493" t="s">
        <v>11733</v>
      </c>
      <c r="D6493" t="s">
        <v>11734</v>
      </c>
      <c r="E6493" t="str">
        <f>HYPERLINK("https://patents.google.com/patent/US4903780A/en")</f>
        <v>https://patents.google.com/patent/US4903780A/en</v>
      </c>
    </row>
    <row r="6494" spans="3:5" x14ac:dyDescent="0.25">
      <c r="C6494" t="s">
        <v>11735</v>
      </c>
      <c r="D6494" t="s">
        <v>11736</v>
      </c>
      <c r="E6494" t="str">
        <f>HYPERLINK("https://patents.google.com/patent/US20120043923A1/en")</f>
        <v>https://patents.google.com/patent/US20120043923A1/en</v>
      </c>
    </row>
    <row r="6495" spans="3:5" x14ac:dyDescent="0.25">
      <c r="C6495" t="s">
        <v>11737</v>
      </c>
      <c r="D6495" t="s">
        <v>11738</v>
      </c>
      <c r="E6495" t="str">
        <f>HYPERLINK("https://patents.google.com/patent/US20090067440A1/en")</f>
        <v>https://patents.google.com/patent/US20090067440A1/en</v>
      </c>
    </row>
    <row r="6496" spans="3:5" x14ac:dyDescent="0.25">
      <c r="C6496" t="s">
        <v>11739</v>
      </c>
      <c r="D6496" t="s">
        <v>11740</v>
      </c>
      <c r="E6496" t="str">
        <f>HYPERLINK("https://patents.google.com/patent/KR20120066168A/en")</f>
        <v>https://patents.google.com/patent/KR20120066168A/en</v>
      </c>
    </row>
    <row r="6497" spans="3:5" x14ac:dyDescent="0.25">
      <c r="C6497" t="s">
        <v>11741</v>
      </c>
      <c r="D6497" t="s">
        <v>11742</v>
      </c>
      <c r="E6497" t="str">
        <f>HYPERLINK("https://patents.google.com/patent/US20120078994A1/en")</f>
        <v>https://patents.google.com/patent/US20120078994A1/en</v>
      </c>
    </row>
    <row r="6498" spans="3:5" x14ac:dyDescent="0.25">
      <c r="C6498" t="s">
        <v>11743</v>
      </c>
      <c r="D6498" t="s">
        <v>11744</v>
      </c>
      <c r="E6498" t="str">
        <f>HYPERLINK("https://patents.google.com/patent/US20120042060A1/en")</f>
        <v>https://patents.google.com/patent/US20120042060A1/en</v>
      </c>
    </row>
    <row r="6499" spans="3:5" x14ac:dyDescent="0.25">
      <c r="C6499" t="s">
        <v>11745</v>
      </c>
      <c r="D6499" t="s">
        <v>11746</v>
      </c>
      <c r="E6499" t="str">
        <f>HYPERLINK("https://patents.google.com/patent/US7679576B2/en")</f>
        <v>https://patents.google.com/patent/US7679576B2/en</v>
      </c>
    </row>
    <row r="6500" spans="3:5" x14ac:dyDescent="0.25">
      <c r="C6500" t="s">
        <v>11747</v>
      </c>
      <c r="D6500" t="s">
        <v>11748</v>
      </c>
      <c r="E6500" t="str">
        <f>HYPERLINK("https://patents.google.com/patent/CN103889001A/en")</f>
        <v>https://patents.google.com/patent/CN103889001A/en</v>
      </c>
    </row>
    <row r="6501" spans="3:5" x14ac:dyDescent="0.25">
      <c r="C6501" t="s">
        <v>11749</v>
      </c>
      <c r="D6501" t="s">
        <v>11750</v>
      </c>
      <c r="E6501" t="str">
        <f>HYPERLINK("https://patents.google.com/patent/US20120109798A1/en")</f>
        <v>https://patents.google.com/patent/US20120109798A1/en</v>
      </c>
    </row>
    <row r="6502" spans="3:5" x14ac:dyDescent="0.25">
      <c r="C6502" t="s">
        <v>11751</v>
      </c>
      <c r="D6502" t="s">
        <v>11752</v>
      </c>
      <c r="E6502" t="str">
        <f>HYPERLINK("https://patents.google.com/patent/US20060203724A1/en")</f>
        <v>https://patents.google.com/patent/US20060203724A1/en</v>
      </c>
    </row>
    <row r="6503" spans="3:5" x14ac:dyDescent="0.25">
      <c r="C6503" t="s">
        <v>11753</v>
      </c>
      <c r="D6503" t="s">
        <v>11754</v>
      </c>
      <c r="E6503" t="str">
        <f>HYPERLINK("https://patents.google.com/patent/CN1738291A/en")</f>
        <v>https://patents.google.com/patent/CN1738291A/en</v>
      </c>
    </row>
    <row r="6504" spans="3:5" x14ac:dyDescent="0.25">
      <c r="C6504" t="s">
        <v>11755</v>
      </c>
      <c r="D6504" t="s">
        <v>11756</v>
      </c>
      <c r="E6504" t="str">
        <f>HYPERLINK("https://patents.google.com/patent/US20080207195A1/en")</f>
        <v>https://patents.google.com/patent/US20080207195A1/en</v>
      </c>
    </row>
    <row r="6505" spans="3:5" x14ac:dyDescent="0.25">
      <c r="C6505" t="s">
        <v>11757</v>
      </c>
      <c r="D6505" t="s">
        <v>11758</v>
      </c>
      <c r="E6505" t="str">
        <f>HYPERLINK("https://patents.google.com/patent/US20080046371A1/en")</f>
        <v>https://patents.google.com/patent/US20080046371A1/en</v>
      </c>
    </row>
    <row r="6506" spans="3:5" x14ac:dyDescent="0.25">
      <c r="C6506" t="s">
        <v>11759</v>
      </c>
      <c r="D6506" t="s">
        <v>11760</v>
      </c>
      <c r="E6506" t="str">
        <f>HYPERLINK("https://patents.google.com/patent/US20130331067A1/en")</f>
        <v>https://patents.google.com/patent/US20130331067A1/en</v>
      </c>
    </row>
    <row r="6507" spans="3:5" x14ac:dyDescent="0.25">
      <c r="C6507" t="s">
        <v>11761</v>
      </c>
      <c r="D6507" t="s">
        <v>11762</v>
      </c>
      <c r="E6507" t="str">
        <f>HYPERLINK("https://patents.google.com/patent/US20130163463A1/en")</f>
        <v>https://patents.google.com/patent/US20130163463A1/en</v>
      </c>
    </row>
    <row r="6508" spans="3:5" x14ac:dyDescent="0.25">
      <c r="C6508" t="s">
        <v>11763</v>
      </c>
      <c r="D6508" t="s">
        <v>11764</v>
      </c>
      <c r="E6508" t="str">
        <f>HYPERLINK("https://patents.google.com/patent/US20110255514A1/en")</f>
        <v>https://patents.google.com/patent/US20110255514A1/en</v>
      </c>
    </row>
    <row r="6509" spans="3:5" x14ac:dyDescent="0.25">
      <c r="C6509" t="s">
        <v>11765</v>
      </c>
      <c r="D6509" t="s">
        <v>11766</v>
      </c>
      <c r="E6509" t="str">
        <f>HYPERLINK("https://patents.google.com/patent/US20110028181A1/en")</f>
        <v>https://patents.google.com/patent/US20110028181A1/en</v>
      </c>
    </row>
    <row r="6510" spans="3:5" x14ac:dyDescent="0.25">
      <c r="C6510" t="s">
        <v>11767</v>
      </c>
      <c r="D6510" t="s">
        <v>11768</v>
      </c>
      <c r="E6510" t="str">
        <f>HYPERLINK("https://patents.google.com/patent/US20150181165A1/en")</f>
        <v>https://patents.google.com/patent/US20150181165A1/en</v>
      </c>
    </row>
    <row r="6511" spans="3:5" x14ac:dyDescent="0.25">
      <c r="C6511" t="s">
        <v>11769</v>
      </c>
      <c r="D6511" t="s">
        <v>11770</v>
      </c>
      <c r="E6511" t="str">
        <f>HYPERLINK("https://patents.google.com/patent/US20110257788A1/en")</f>
        <v>https://patents.google.com/patent/US20110257788A1/en</v>
      </c>
    </row>
    <row r="6512" spans="3:5" x14ac:dyDescent="0.25">
      <c r="C6512" t="s">
        <v>11197</v>
      </c>
      <c r="D6512" t="s">
        <v>11771</v>
      </c>
      <c r="E6512" t="str">
        <f>HYPERLINK("https://patents.google.com/patent/US20110163517A1/en")</f>
        <v>https://patents.google.com/patent/US20110163517A1/en</v>
      </c>
    </row>
    <row r="6513" spans="3:5" x14ac:dyDescent="0.25">
      <c r="C6513" t="s">
        <v>11772</v>
      </c>
      <c r="D6513" t="s">
        <v>11773</v>
      </c>
      <c r="E6513" t="str">
        <f>HYPERLINK("https://patents.google.com/patent/DE4314739A1/en")</f>
        <v>https://patents.google.com/patent/DE4314739A1/en</v>
      </c>
    </row>
    <row r="6514" spans="3:5" x14ac:dyDescent="0.25">
      <c r="C6514" t="s">
        <v>11774</v>
      </c>
      <c r="D6514" t="s">
        <v>11775</v>
      </c>
      <c r="E6514" t="str">
        <f>HYPERLINK("https://patents.google.com/patent/US20070208575A1/en")</f>
        <v>https://patents.google.com/patent/US20070208575A1/en</v>
      </c>
    </row>
    <row r="6515" spans="3:5" x14ac:dyDescent="0.25">
      <c r="C6515" t="s">
        <v>11776</v>
      </c>
      <c r="D6515" t="s">
        <v>11777</v>
      </c>
      <c r="E6515" t="str">
        <f>HYPERLINK("https://patents.google.com/patent/US20070111713A1/en")</f>
        <v>https://patents.google.com/patent/US20070111713A1/en</v>
      </c>
    </row>
    <row r="6516" spans="3:5" x14ac:dyDescent="0.25">
      <c r="C6516" t="s">
        <v>11778</v>
      </c>
      <c r="D6516" t="s">
        <v>11779</v>
      </c>
      <c r="E6516" t="str">
        <f>HYPERLINK("https://patents.google.com/patent/US20120314569A1/en")</f>
        <v>https://patents.google.com/patent/US20120314569A1/en</v>
      </c>
    </row>
    <row r="6517" spans="3:5" x14ac:dyDescent="0.25">
      <c r="C6517" t="s">
        <v>11780</v>
      </c>
      <c r="D6517" t="s">
        <v>11781</v>
      </c>
      <c r="E6517" t="str">
        <f>HYPERLINK("https://patents.google.com/patent/EP2296394A1/en")</f>
        <v>https://patents.google.com/patent/EP2296394A1/en</v>
      </c>
    </row>
    <row r="6518" spans="3:5" x14ac:dyDescent="0.25">
      <c r="C6518" t="s">
        <v>11782</v>
      </c>
      <c r="D6518" t="s">
        <v>11783</v>
      </c>
      <c r="E6518" t="str">
        <f>HYPERLINK("https://patents.google.com/patent/US20110124332A1/en")</f>
        <v>https://patents.google.com/patent/US20110124332A1/en</v>
      </c>
    </row>
    <row r="6519" spans="3:5" x14ac:dyDescent="0.25">
      <c r="C6519" t="s">
        <v>11784</v>
      </c>
      <c r="D6519" t="s">
        <v>11785</v>
      </c>
      <c r="E6519" t="str">
        <f>HYPERLINK("https://patents.google.com/patent/US20050153702A1/en")</f>
        <v>https://patents.google.com/patent/US20050153702A1/en</v>
      </c>
    </row>
    <row r="6520" spans="3:5" x14ac:dyDescent="0.25">
      <c r="C6520" t="s">
        <v>11786</v>
      </c>
      <c r="D6520" t="s">
        <v>11787</v>
      </c>
      <c r="E6520" t="str">
        <f>HYPERLINK("https://patents.google.com/patent/US6205340B1/en")</f>
        <v>https://patents.google.com/patent/US6205340B1/en</v>
      </c>
    </row>
    <row r="6521" spans="3:5" x14ac:dyDescent="0.25">
      <c r="C6521" t="s">
        <v>11788</v>
      </c>
      <c r="D6521" t="s">
        <v>11789</v>
      </c>
      <c r="E6521" t="str">
        <f>HYPERLINK("https://patents.google.com/patent/US20090234917A1/en")</f>
        <v>https://patents.google.com/patent/US20090234917A1/en</v>
      </c>
    </row>
    <row r="6522" spans="3:5" x14ac:dyDescent="0.25">
      <c r="C6522" t="s">
        <v>11544</v>
      </c>
      <c r="D6522" t="s">
        <v>11790</v>
      </c>
      <c r="E6522" t="str">
        <f>HYPERLINK("https://patents.google.com/patent/US20140126410A1/en")</f>
        <v>https://patents.google.com/patent/US20140126410A1/en</v>
      </c>
    </row>
    <row r="6523" spans="3:5" x14ac:dyDescent="0.25">
      <c r="C6523" t="s">
        <v>11791</v>
      </c>
      <c r="D6523" t="s">
        <v>11792</v>
      </c>
      <c r="E6523" t="str">
        <f>HYPERLINK("https://patents.google.com/patent/US20120254111A1/en")</f>
        <v>https://patents.google.com/patent/US20120254111A1/en</v>
      </c>
    </row>
    <row r="6524" spans="3:5" x14ac:dyDescent="0.25">
      <c r="C6524" t="s">
        <v>11793</v>
      </c>
      <c r="D6524" t="s">
        <v>11794</v>
      </c>
      <c r="E6524" t="str">
        <f>HYPERLINK("https://patents.google.com/patent/US7592773B2/en")</f>
        <v>https://patents.google.com/patent/US7592773B2/en</v>
      </c>
    </row>
    <row r="6525" spans="3:5" x14ac:dyDescent="0.25">
      <c r="C6525" t="s">
        <v>11795</v>
      </c>
      <c r="D6525" t="s">
        <v>11796</v>
      </c>
      <c r="E6525" t="str">
        <f>HYPERLINK("https://patents.google.com/patent/WO2006111809A1/en")</f>
        <v>https://patents.google.com/patent/WO2006111809A1/en</v>
      </c>
    </row>
    <row r="6526" spans="3:5" x14ac:dyDescent="0.25">
      <c r="C6526" t="s">
        <v>11797</v>
      </c>
      <c r="D6526" t="s">
        <v>11798</v>
      </c>
      <c r="E6526" t="str">
        <f>HYPERLINK("https://patents.google.com/patent/US20110143731A1/en")</f>
        <v>https://patents.google.com/patent/US20110143731A1/en</v>
      </c>
    </row>
    <row r="6527" spans="3:5" x14ac:dyDescent="0.25">
      <c r="C6527" t="s">
        <v>11799</v>
      </c>
      <c r="D6527" t="s">
        <v>11800</v>
      </c>
      <c r="E6527" t="str">
        <f>HYPERLINK("https://patents.google.com/patent/US20060239207A1/en")</f>
        <v>https://patents.google.com/patent/US20060239207A1/en</v>
      </c>
    </row>
    <row r="6528" spans="3:5" x14ac:dyDescent="0.25">
      <c r="C6528" t="s">
        <v>10198</v>
      </c>
      <c r="D6528" t="s">
        <v>11801</v>
      </c>
      <c r="E6528" t="str">
        <f>HYPERLINK("https://patents.google.com/patent/US20120173373A1/en")</f>
        <v>https://patents.google.com/patent/US20120173373A1/en</v>
      </c>
    </row>
    <row r="6529" spans="3:5" x14ac:dyDescent="0.25">
      <c r="C6529" t="s">
        <v>11802</v>
      </c>
      <c r="D6529" t="s">
        <v>11803</v>
      </c>
      <c r="E6529" t="str">
        <f>HYPERLINK("https://patents.google.com/patent/US7155979B2/en")</f>
        <v>https://patents.google.com/patent/US7155979B2/en</v>
      </c>
    </row>
    <row r="6530" spans="3:5" x14ac:dyDescent="0.25">
      <c r="C6530" t="s">
        <v>11804</v>
      </c>
      <c r="D6530" t="s">
        <v>11805</v>
      </c>
      <c r="E6530" t="str">
        <f>HYPERLINK("https://patents.google.com/patent/US20100268378A1/en")</f>
        <v>https://patents.google.com/patent/US20100268378A1/en</v>
      </c>
    </row>
    <row r="6531" spans="3:5" x14ac:dyDescent="0.25">
      <c r="C6531" t="s">
        <v>11806</v>
      </c>
      <c r="D6531" t="s">
        <v>11807</v>
      </c>
      <c r="E6531" t="str">
        <f>HYPERLINK("https://patents.google.com/patent/US20050060202A1/en")</f>
        <v>https://patents.google.com/patent/US20050060202A1/en</v>
      </c>
    </row>
    <row r="6532" spans="3:5" x14ac:dyDescent="0.25">
      <c r="C6532" t="s">
        <v>11808</v>
      </c>
      <c r="D6532" t="s">
        <v>11809</v>
      </c>
      <c r="E6532" t="str">
        <f>HYPERLINK("https://patents.google.com/patent/US20130132604A1/en")</f>
        <v>https://patents.google.com/patent/US20130132604A1/en</v>
      </c>
    </row>
    <row r="6533" spans="3:5" x14ac:dyDescent="0.25">
      <c r="C6533" t="s">
        <v>11810</v>
      </c>
      <c r="D6533" t="s">
        <v>11811</v>
      </c>
      <c r="E6533" t="str">
        <f>HYPERLINK("https://patents.google.com/patent/US4880250A/en")</f>
        <v>https://patents.google.com/patent/US4880250A/en</v>
      </c>
    </row>
    <row r="6534" spans="3:5" x14ac:dyDescent="0.25">
      <c r="C6534" t="s">
        <v>11812</v>
      </c>
      <c r="D6534" t="s">
        <v>11813</v>
      </c>
      <c r="E6534" t="str">
        <f>HYPERLINK("https://patents.google.com/patent/US9148838B2/en")</f>
        <v>https://patents.google.com/patent/US9148838B2/en</v>
      </c>
    </row>
    <row r="6535" spans="3:5" x14ac:dyDescent="0.25">
      <c r="C6535" t="s">
        <v>11814</v>
      </c>
      <c r="D6535" t="s">
        <v>11815</v>
      </c>
      <c r="E6535" t="str">
        <f>HYPERLINK("https://patents.google.com/patent/US20130077486A1/en")</f>
        <v>https://patents.google.com/patent/US20130077486A1/en</v>
      </c>
    </row>
    <row r="6536" spans="3:5" x14ac:dyDescent="0.25">
      <c r="C6536" t="s">
        <v>11816</v>
      </c>
      <c r="D6536" t="s">
        <v>11817</v>
      </c>
      <c r="E6536" t="str">
        <f>HYPERLINK("https://patents.google.com/patent/US20120039332A1/en")</f>
        <v>https://patents.google.com/patent/US20120039332A1/en</v>
      </c>
    </row>
    <row r="6537" spans="3:5" x14ac:dyDescent="0.25">
      <c r="C6537" t="s">
        <v>11818</v>
      </c>
      <c r="D6537" t="s">
        <v>11819</v>
      </c>
      <c r="E6537" t="str">
        <f>HYPERLINK("https://patents.google.com/patent/US20110090853A1/en")</f>
        <v>https://patents.google.com/patent/US20110090853A1/en</v>
      </c>
    </row>
    <row r="6538" spans="3:5" x14ac:dyDescent="0.25">
      <c r="C6538" t="s">
        <v>11820</v>
      </c>
      <c r="D6538" t="s">
        <v>11821</v>
      </c>
      <c r="E6538" t="str">
        <f>HYPERLINK("https://patents.google.com/patent/US6021719A/en")</f>
        <v>https://patents.google.com/patent/US6021719A/en</v>
      </c>
    </row>
    <row r="6539" spans="3:5" x14ac:dyDescent="0.25">
      <c r="C6539" t="s">
        <v>11822</v>
      </c>
      <c r="D6539" t="s">
        <v>11823</v>
      </c>
      <c r="E6539" t="str">
        <f>HYPERLINK("https://patents.google.com/patent/US20080102813A1/en")</f>
        <v>https://patents.google.com/patent/US20080102813A1/en</v>
      </c>
    </row>
    <row r="6540" spans="3:5" x14ac:dyDescent="0.25">
      <c r="C6540" t="s">
        <v>11824</v>
      </c>
      <c r="D6540" t="s">
        <v>11825</v>
      </c>
      <c r="E6540" t="str">
        <f>HYPERLINK("https://patents.google.com/patent/US5240129A/en")</f>
        <v>https://patents.google.com/patent/US5240129A/en</v>
      </c>
    </row>
    <row r="6541" spans="3:5" x14ac:dyDescent="0.25">
      <c r="C6541" t="s">
        <v>11826</v>
      </c>
      <c r="D6541" t="s">
        <v>11827</v>
      </c>
      <c r="E6541" t="str">
        <f>HYPERLINK("https://patents.google.com/patent/US20160358477A1/en")</f>
        <v>https://patents.google.com/patent/US20160358477A1/en</v>
      </c>
    </row>
    <row r="6542" spans="3:5" x14ac:dyDescent="0.25">
      <c r="C6542" t="s">
        <v>11828</v>
      </c>
      <c r="D6542" t="s">
        <v>11829</v>
      </c>
      <c r="E6542" t="str">
        <f>HYPERLINK("https://patents.google.com/patent/US20150074536A1/en")</f>
        <v>https://patents.google.com/patent/US20150074536A1/en</v>
      </c>
    </row>
    <row r="6543" spans="3:5" x14ac:dyDescent="0.25">
      <c r="C6543" t="s">
        <v>11830</v>
      </c>
      <c r="D6543" t="s">
        <v>11831</v>
      </c>
      <c r="E6543" t="str">
        <f>HYPERLINK("https://patents.google.com/patent/US20060248581A1/en")</f>
        <v>https://patents.google.com/patent/US20060248581A1/en</v>
      </c>
    </row>
    <row r="6544" spans="3:5" x14ac:dyDescent="0.25">
      <c r="C6544" t="s">
        <v>11832</v>
      </c>
      <c r="D6544" t="s">
        <v>11833</v>
      </c>
      <c r="E6544" t="str">
        <f>HYPERLINK("https://patents.google.com/patent/US20130325147A1/en")</f>
        <v>https://patents.google.com/patent/US20130325147A1/en</v>
      </c>
    </row>
    <row r="6545" spans="3:5" x14ac:dyDescent="0.25">
      <c r="C6545" t="s">
        <v>11834</v>
      </c>
      <c r="D6545" t="s">
        <v>11835</v>
      </c>
      <c r="E6545" t="str">
        <f>HYPERLINK("https://patents.google.com/patent/US20090100165A1/en")</f>
        <v>https://patents.google.com/patent/US20090100165A1/en</v>
      </c>
    </row>
    <row r="6546" spans="3:5" x14ac:dyDescent="0.25">
      <c r="C6546" t="s">
        <v>11836</v>
      </c>
      <c r="D6546" t="s">
        <v>11837</v>
      </c>
      <c r="E6546" t="str">
        <f>HYPERLINK("https://patents.google.com/patent/US20090283591A1/en")</f>
        <v>https://patents.google.com/patent/US20090283591A1/en</v>
      </c>
    </row>
    <row r="6547" spans="3:5" x14ac:dyDescent="0.25">
      <c r="C6547" t="s">
        <v>11838</v>
      </c>
      <c r="D6547" t="s">
        <v>11839</v>
      </c>
      <c r="E6547" t="str">
        <f>HYPERLINK("https://patents.google.com/patent/US20140321282A1/en")</f>
        <v>https://patents.google.com/patent/US20140321282A1/en</v>
      </c>
    </row>
    <row r="6548" spans="3:5" x14ac:dyDescent="0.25">
      <c r="C6548" t="s">
        <v>11840</v>
      </c>
      <c r="D6548" t="s">
        <v>11841</v>
      </c>
      <c r="E6548" t="str">
        <f>HYPERLINK("https://patents.google.com/patent/US20080102814A1/en")</f>
        <v>https://patents.google.com/patent/US20080102814A1/en</v>
      </c>
    </row>
    <row r="6549" spans="3:5" x14ac:dyDescent="0.25">
      <c r="C6549" t="s">
        <v>11842</v>
      </c>
      <c r="D6549" t="s">
        <v>11843</v>
      </c>
      <c r="E6549" t="str">
        <f>HYPERLINK("https://patents.google.com/patent/US20120214552A1/en")</f>
        <v>https://patents.google.com/patent/US20120214552A1/en</v>
      </c>
    </row>
    <row r="6550" spans="3:5" x14ac:dyDescent="0.25">
      <c r="C6550" t="s">
        <v>11844</v>
      </c>
      <c r="D6550" t="s">
        <v>11845</v>
      </c>
      <c r="E6550" t="str">
        <f>HYPERLINK("https://patents.google.com/patent/US20100296443A1/en")</f>
        <v>https://patents.google.com/patent/US20100296443A1/en</v>
      </c>
    </row>
    <row r="6551" spans="3:5" x14ac:dyDescent="0.25">
      <c r="C6551" t="s">
        <v>11846</v>
      </c>
      <c r="D6551" t="s">
        <v>11847</v>
      </c>
      <c r="E6551" t="str">
        <f>HYPERLINK("https://patents.google.com/patent/WO2011078646A1/en")</f>
        <v>https://patents.google.com/patent/WO2011078646A1/en</v>
      </c>
    </row>
    <row r="6552" spans="3:5" x14ac:dyDescent="0.25">
      <c r="C6552" t="s">
        <v>11848</v>
      </c>
      <c r="D6552" t="s">
        <v>11849</v>
      </c>
      <c r="E6552" t="str">
        <f>HYPERLINK("https://patents.google.com/patent/US20070136445A1/en")</f>
        <v>https://patents.google.com/patent/US20070136445A1/en</v>
      </c>
    </row>
    <row r="6553" spans="3:5" x14ac:dyDescent="0.25">
      <c r="C6553" t="s">
        <v>11850</v>
      </c>
      <c r="D6553" t="s">
        <v>11851</v>
      </c>
      <c r="E6553" t="str">
        <f>HYPERLINK("https://patents.google.com/patent/JP2007514367A/en")</f>
        <v>https://patents.google.com/patent/JP2007514367A/en</v>
      </c>
    </row>
    <row r="6554" spans="3:5" x14ac:dyDescent="0.25">
      <c r="C6554" t="s">
        <v>11852</v>
      </c>
      <c r="D6554" t="s">
        <v>11853</v>
      </c>
      <c r="E6554" t="str">
        <f>HYPERLINK("https://patents.google.com/patent/JP2006507790A/en")</f>
        <v>https://patents.google.com/patent/JP2006507790A/en</v>
      </c>
    </row>
    <row r="6555" spans="3:5" x14ac:dyDescent="0.25">
      <c r="C6555" t="s">
        <v>11854</v>
      </c>
      <c r="D6555" t="s">
        <v>11855</v>
      </c>
      <c r="E6555" t="str">
        <f>HYPERLINK("https://patents.google.com/patent/US20140215446A1/en")</f>
        <v>https://patents.google.com/patent/US20140215446A1/en</v>
      </c>
    </row>
    <row r="6556" spans="3:5" x14ac:dyDescent="0.25">
      <c r="C6556" t="s">
        <v>11856</v>
      </c>
      <c r="D6556" t="s">
        <v>11857</v>
      </c>
      <c r="E6556" t="str">
        <f>HYPERLINK("https://patents.google.com/patent/US20130204785A1/en")</f>
        <v>https://patents.google.com/patent/US20130204785A1/en</v>
      </c>
    </row>
    <row r="6557" spans="3:5" x14ac:dyDescent="0.25">
      <c r="C6557" t="s">
        <v>11858</v>
      </c>
      <c r="D6557" t="s">
        <v>11859</v>
      </c>
      <c r="E6557" t="str">
        <f>HYPERLINK("https://patents.google.com/patent/US20110151881A1/en")</f>
        <v>https://patents.google.com/patent/US20110151881A1/en</v>
      </c>
    </row>
    <row r="6558" spans="3:5" x14ac:dyDescent="0.25">
      <c r="C6558" t="s">
        <v>11860</v>
      </c>
      <c r="D6558" t="s">
        <v>11861</v>
      </c>
      <c r="E6558" t="str">
        <f>HYPERLINK("https://patents.google.com/patent/US20140180825A1/en")</f>
        <v>https://patents.google.com/patent/US20140180825A1/en</v>
      </c>
    </row>
    <row r="6559" spans="3:5" x14ac:dyDescent="0.25">
      <c r="C6559" t="s">
        <v>11862</v>
      </c>
      <c r="D6559" t="s">
        <v>11863</v>
      </c>
      <c r="E6559" t="str">
        <f>HYPERLINK("https://patents.google.com/patent/CN102056206A/en")</f>
        <v>https://patents.google.com/patent/CN102056206A/en</v>
      </c>
    </row>
    <row r="6560" spans="3:5" x14ac:dyDescent="0.25">
      <c r="C6560" t="s">
        <v>11864</v>
      </c>
      <c r="D6560" t="s">
        <v>11865</v>
      </c>
      <c r="E6560" t="str">
        <f>HYPERLINK("https://patents.google.com/patent/US20050044268A1/en")</f>
        <v>https://patents.google.com/patent/US20050044268A1/en</v>
      </c>
    </row>
    <row r="6561" spans="3:5" x14ac:dyDescent="0.25">
      <c r="C6561" t="s">
        <v>11866</v>
      </c>
      <c r="D6561" t="s">
        <v>11867</v>
      </c>
      <c r="E6561" t="str">
        <f>HYPERLINK("https://patents.google.com/patent/US3400771A/en")</f>
        <v>https://patents.google.com/patent/US3400771A/en</v>
      </c>
    </row>
    <row r="6562" spans="3:5" x14ac:dyDescent="0.25">
      <c r="C6562" t="s">
        <v>11868</v>
      </c>
      <c r="D6562" t="s">
        <v>11869</v>
      </c>
      <c r="E6562" t="str">
        <f>HYPERLINK("https://patents.google.com/patent/US20100302393A1/en")</f>
        <v>https://patents.google.com/patent/US20100302393A1/en</v>
      </c>
    </row>
    <row r="6563" spans="3:5" x14ac:dyDescent="0.25">
      <c r="C6563" t="s">
        <v>11870</v>
      </c>
      <c r="D6563" t="s">
        <v>11871</v>
      </c>
      <c r="E6563" t="str">
        <f>HYPERLINK("https://patents.google.com/patent/US20170199770A1/en")</f>
        <v>https://patents.google.com/patent/US20170199770A1/en</v>
      </c>
    </row>
    <row r="6564" spans="3:5" x14ac:dyDescent="0.25">
      <c r="C6564" t="s">
        <v>11872</v>
      </c>
      <c r="D6564" t="s">
        <v>11873</v>
      </c>
      <c r="E6564" t="str">
        <f>HYPERLINK("https://patents.google.com/patent/US3500961A/en")</f>
        <v>https://patents.google.com/patent/US3500961A/en</v>
      </c>
    </row>
    <row r="6565" spans="3:5" x14ac:dyDescent="0.25">
      <c r="C6565" t="s">
        <v>11874</v>
      </c>
      <c r="D6565" t="s">
        <v>11875</v>
      </c>
      <c r="E6565" t="str">
        <f>HYPERLINK("https://patents.google.com/patent/US20070072588A1/en")</f>
        <v>https://patents.google.com/patent/US20070072588A1/en</v>
      </c>
    </row>
    <row r="6566" spans="3:5" x14ac:dyDescent="0.25">
      <c r="C6566" t="s">
        <v>11876</v>
      </c>
      <c r="D6566" t="s">
        <v>11877</v>
      </c>
      <c r="E6566" t="str">
        <f>HYPERLINK("https://patents.google.com/patent/US20100097957A1/en")</f>
        <v>https://patents.google.com/patent/US20100097957A1/en</v>
      </c>
    </row>
    <row r="6567" spans="3:5" x14ac:dyDescent="0.25">
      <c r="C6567" t="s">
        <v>11878</v>
      </c>
      <c r="D6567" t="s">
        <v>11879</v>
      </c>
      <c r="E6567" t="str">
        <f>HYPERLINK("https://patents.google.com/patent/EP2166796A1/en")</f>
        <v>https://patents.google.com/patent/EP2166796A1/en</v>
      </c>
    </row>
    <row r="6568" spans="3:5" x14ac:dyDescent="0.25">
      <c r="C6568" t="s">
        <v>9948</v>
      </c>
      <c r="D6568" t="s">
        <v>11880</v>
      </c>
      <c r="E6568" t="str">
        <f>HYPERLINK("https://patents.google.com/patent/US20120330750A1/en")</f>
        <v>https://patents.google.com/patent/US20120330750A1/en</v>
      </c>
    </row>
    <row r="6569" spans="3:5" x14ac:dyDescent="0.25">
      <c r="C6569" t="s">
        <v>10198</v>
      </c>
      <c r="D6569" t="s">
        <v>11881</v>
      </c>
      <c r="E6569" t="str">
        <f>HYPERLINK("https://patents.google.com/patent/US20120179563A1/en")</f>
        <v>https://patents.google.com/patent/US20120179563A1/en</v>
      </c>
    </row>
    <row r="6570" spans="3:5" x14ac:dyDescent="0.25">
      <c r="C6570" t="s">
        <v>11882</v>
      </c>
      <c r="D6570" t="s">
        <v>11883</v>
      </c>
      <c r="E6570" t="str">
        <f>HYPERLINK("https://patents.google.com/patent/US20130332996A1/en")</f>
        <v>https://patents.google.com/patent/US20130332996A1/en</v>
      </c>
    </row>
    <row r="6571" spans="3:5" x14ac:dyDescent="0.25">
      <c r="C6571" t="s">
        <v>11884</v>
      </c>
      <c r="D6571" t="s">
        <v>11885</v>
      </c>
      <c r="E6571" t="str">
        <f>HYPERLINK("https://patents.google.com/patent/CN102149138A/en")</f>
        <v>https://patents.google.com/patent/CN102149138A/en</v>
      </c>
    </row>
    <row r="6572" spans="3:5" x14ac:dyDescent="0.25">
      <c r="C6572" t="s">
        <v>11886</v>
      </c>
      <c r="D6572" t="s">
        <v>11887</v>
      </c>
      <c r="E6572" t="str">
        <f>HYPERLINK("https://patents.google.com/patent/US20150043386A1/en")</f>
        <v>https://patents.google.com/patent/US20150043386A1/en</v>
      </c>
    </row>
    <row r="6573" spans="3:5" x14ac:dyDescent="0.25">
      <c r="C6573" t="s">
        <v>11888</v>
      </c>
      <c r="D6573" t="s">
        <v>11889</v>
      </c>
      <c r="E6573" t="str">
        <f>HYPERLINK("https://patents.google.com/patent/US20130332524A1/en")</f>
        <v>https://patents.google.com/patent/US20130332524A1/en</v>
      </c>
    </row>
    <row r="6574" spans="3:5" x14ac:dyDescent="0.25">
      <c r="C6574" t="s">
        <v>11890</v>
      </c>
      <c r="D6574" t="s">
        <v>11891</v>
      </c>
      <c r="E6574" t="str">
        <f>HYPERLINK("https://patents.google.com/patent/US20150095174A1/en")</f>
        <v>https://patents.google.com/patent/US20150095174A1/en</v>
      </c>
    </row>
    <row r="6575" spans="3:5" x14ac:dyDescent="0.25">
      <c r="C6575" t="s">
        <v>11892</v>
      </c>
      <c r="D6575" t="s">
        <v>11893</v>
      </c>
      <c r="E6575" t="str">
        <f>HYPERLINK("https://patents.google.com/patent/US20120252458A1/en")</f>
        <v>https://patents.google.com/patent/US20120252458A1/en</v>
      </c>
    </row>
    <row r="6576" spans="3:5" x14ac:dyDescent="0.25">
      <c r="C6576" t="s">
        <v>11894</v>
      </c>
      <c r="D6576" t="s">
        <v>11895</v>
      </c>
      <c r="E6576" t="str">
        <f>HYPERLINK("https://patents.google.com/patent/US20140277788A1/en")</f>
        <v>https://patents.google.com/patent/US20140277788A1/en</v>
      </c>
    </row>
    <row r="6577" spans="3:5" x14ac:dyDescent="0.25">
      <c r="C6577" t="s">
        <v>9832</v>
      </c>
      <c r="D6577" t="s">
        <v>11896</v>
      </c>
      <c r="E6577" t="str">
        <f>HYPERLINK("https://patents.google.com/patent/US20130046582A1/en")</f>
        <v>https://patents.google.com/patent/US20130046582A1/en</v>
      </c>
    </row>
    <row r="6578" spans="3:5" x14ac:dyDescent="0.25">
      <c r="C6578" t="s">
        <v>11897</v>
      </c>
      <c r="D6578" t="s">
        <v>11898</v>
      </c>
      <c r="E6578" t="str">
        <f>HYPERLINK("https://patents.google.com/patent/US20120271964A1/en")</f>
        <v>https://patents.google.com/patent/US20120271964A1/en</v>
      </c>
    </row>
    <row r="6579" spans="3:5" x14ac:dyDescent="0.25">
      <c r="C6579" t="s">
        <v>11899</v>
      </c>
      <c r="D6579" t="s">
        <v>11900</v>
      </c>
      <c r="E6579" t="str">
        <f>HYPERLINK("https://patents.google.com/patent/US20130334824A1/en")</f>
        <v>https://patents.google.com/patent/US20130334824A1/en</v>
      </c>
    </row>
    <row r="6580" spans="3:5" x14ac:dyDescent="0.25">
      <c r="C6580" t="s">
        <v>11901</v>
      </c>
      <c r="D6580" t="s">
        <v>11902</v>
      </c>
      <c r="E6580" t="str">
        <f>HYPERLINK("https://patents.google.com/patent/US20140204745A1/en")</f>
        <v>https://patents.google.com/patent/US20140204745A1/en</v>
      </c>
    </row>
    <row r="6581" spans="3:5" x14ac:dyDescent="0.25">
      <c r="C6581" t="s">
        <v>11903</v>
      </c>
      <c r="D6581" t="s">
        <v>11904</v>
      </c>
      <c r="E6581" t="str">
        <f>HYPERLINK("https://patents.google.com/patent/US20130272285A1/en")</f>
        <v>https://patents.google.com/patent/US20130272285A1/en</v>
      </c>
    </row>
    <row r="6582" spans="3:5" x14ac:dyDescent="0.25">
      <c r="C6582" t="s">
        <v>11905</v>
      </c>
      <c r="D6582" t="s">
        <v>11906</v>
      </c>
      <c r="E6582" t="str">
        <f>HYPERLINK("https://patents.google.com/patent/EP1727312A1/en")</f>
        <v>https://patents.google.com/patent/EP1727312A1/en</v>
      </c>
    </row>
    <row r="6583" spans="3:5" x14ac:dyDescent="0.25">
      <c r="C6583" t="s">
        <v>11907</v>
      </c>
      <c r="D6583" t="s">
        <v>11908</v>
      </c>
      <c r="E6583" t="str">
        <f>HYPERLINK("https://patents.google.com/patent/US20130076597A1/en")</f>
        <v>https://patents.google.com/patent/US20130076597A1/en</v>
      </c>
    </row>
    <row r="6584" spans="3:5" x14ac:dyDescent="0.25">
      <c r="C6584" t="s">
        <v>11909</v>
      </c>
      <c r="D6584" t="s">
        <v>11910</v>
      </c>
      <c r="E6584" t="str">
        <f>HYPERLINK("https://patents.google.com/patent/US20050209614A1/en")</f>
        <v>https://patents.google.com/patent/US20050209614A1/en</v>
      </c>
    </row>
    <row r="6585" spans="3:5" x14ac:dyDescent="0.25">
      <c r="C6585" t="s">
        <v>11911</v>
      </c>
      <c r="D6585" t="s">
        <v>11912</v>
      </c>
      <c r="E6585" t="str">
        <f>HYPERLINK("https://patents.google.com/patent/CN101039321A/en")</f>
        <v>https://patents.google.com/patent/CN101039321A/en</v>
      </c>
    </row>
    <row r="6586" spans="3:5" x14ac:dyDescent="0.25">
      <c r="C6586" t="s">
        <v>11913</v>
      </c>
      <c r="D6586" t="s">
        <v>11914</v>
      </c>
      <c r="E6586" t="str">
        <f>HYPERLINK("https://patents.google.com/patent/US20080102812A1/en")</f>
        <v>https://patents.google.com/patent/US20080102812A1/en</v>
      </c>
    </row>
    <row r="6587" spans="3:5" x14ac:dyDescent="0.25">
      <c r="C6587" t="s">
        <v>11915</v>
      </c>
      <c r="D6587" t="s">
        <v>11916</v>
      </c>
      <c r="E6587" t="str">
        <f>HYPERLINK("https://patents.google.com/patent/US6684614B2/en")</f>
        <v>https://patents.google.com/patent/US6684614B2/en</v>
      </c>
    </row>
    <row r="6588" spans="3:5" x14ac:dyDescent="0.25">
      <c r="C6588" t="s">
        <v>11917</v>
      </c>
      <c r="D6588" t="s">
        <v>11918</v>
      </c>
      <c r="E6588" t="str">
        <f>HYPERLINK("https://patents.google.com/patent/CN1491055A/en")</f>
        <v>https://patents.google.com/patent/CN1491055A/en</v>
      </c>
    </row>
    <row r="6589" spans="3:5" x14ac:dyDescent="0.25">
      <c r="C6589" t="s">
        <v>11919</v>
      </c>
      <c r="D6589" t="s">
        <v>11920</v>
      </c>
      <c r="E6589" t="str">
        <f>HYPERLINK("https://patents.google.com/patent/US20090314652A1/en")</f>
        <v>https://patents.google.com/patent/US20090314652A1/en</v>
      </c>
    </row>
    <row r="6590" spans="3:5" x14ac:dyDescent="0.25">
      <c r="C6590" t="s">
        <v>11921</v>
      </c>
      <c r="D6590" t="s">
        <v>11922</v>
      </c>
      <c r="E6590" t="str">
        <f>HYPERLINK("https://patents.google.com/patent/JP2008295045A/en")</f>
        <v>https://patents.google.com/patent/JP2008295045A/en</v>
      </c>
    </row>
    <row r="6591" spans="3:5" x14ac:dyDescent="0.25">
      <c r="C6591" t="s">
        <v>10198</v>
      </c>
      <c r="D6591" t="s">
        <v>11923</v>
      </c>
      <c r="E6591" t="str">
        <f>HYPERLINK("https://patents.google.com/patent/US20120179567A1/en")</f>
        <v>https://patents.google.com/patent/US20120179567A1/en</v>
      </c>
    </row>
    <row r="6592" spans="3:5" x14ac:dyDescent="0.25">
      <c r="C6592" t="s">
        <v>10198</v>
      </c>
      <c r="D6592" t="s">
        <v>11924</v>
      </c>
      <c r="E6592" t="str">
        <f>HYPERLINK("https://patents.google.com/patent/US20120173367A1/en")</f>
        <v>https://patents.google.com/patent/US20120173367A1/en</v>
      </c>
    </row>
    <row r="6593" spans="3:5" x14ac:dyDescent="0.25">
      <c r="C6593" t="s">
        <v>11925</v>
      </c>
      <c r="D6593" t="s">
        <v>11926</v>
      </c>
      <c r="E6593" t="str">
        <f>HYPERLINK("https://patents.google.com/patent/US20150312805A1/en")</f>
        <v>https://patents.google.com/patent/US20150312805A1/en</v>
      </c>
    </row>
    <row r="6594" spans="3:5" x14ac:dyDescent="0.25">
      <c r="C6594" t="s">
        <v>11927</v>
      </c>
      <c r="D6594" t="s">
        <v>11928</v>
      </c>
      <c r="E6594" t="str">
        <f>HYPERLINK("https://patents.google.com/patent/US20120236712A1/en")</f>
        <v>https://patents.google.com/patent/US20120236712A1/en</v>
      </c>
    </row>
    <row r="6595" spans="3:5" x14ac:dyDescent="0.25">
      <c r="C6595" t="s">
        <v>11929</v>
      </c>
      <c r="D6595" t="s">
        <v>11930</v>
      </c>
      <c r="E6595" t="str">
        <f>HYPERLINK("https://patents.google.com/patent/US20140181100A1/en")</f>
        <v>https://patents.google.com/patent/US20140181100A1/en</v>
      </c>
    </row>
    <row r="6596" spans="3:5" x14ac:dyDescent="0.25">
      <c r="C6596" t="s">
        <v>11931</v>
      </c>
      <c r="D6596" t="s">
        <v>11932</v>
      </c>
      <c r="E6596" t="str">
        <f>HYPERLINK("https://patents.google.com/patent/CN204090613U/en")</f>
        <v>https://patents.google.com/patent/CN204090613U/en</v>
      </c>
    </row>
    <row r="6597" spans="3:5" x14ac:dyDescent="0.25">
      <c r="C6597" t="s">
        <v>10198</v>
      </c>
      <c r="D6597" t="s">
        <v>11933</v>
      </c>
      <c r="E6597" t="str">
        <f>HYPERLINK("https://patents.google.com/patent/US20120179564A1/en")</f>
        <v>https://patents.google.com/patent/US20120179564A1/en</v>
      </c>
    </row>
    <row r="6598" spans="3:5" x14ac:dyDescent="0.25">
      <c r="C6598" t="s">
        <v>11934</v>
      </c>
      <c r="D6598" t="s">
        <v>11935</v>
      </c>
      <c r="E6598" t="str">
        <f>HYPERLINK("https://patents.google.com/patent/US20150089435A1/en")</f>
        <v>https://patents.google.com/patent/US20150089435A1/en</v>
      </c>
    </row>
    <row r="6599" spans="3:5" x14ac:dyDescent="0.25">
      <c r="C6599" t="s">
        <v>11936</v>
      </c>
      <c r="D6599" t="s">
        <v>11937</v>
      </c>
      <c r="E6599" t="str">
        <f>HYPERLINK("https://patents.google.com/patent/CN1805592A/en")</f>
        <v>https://patents.google.com/patent/CN1805592A/en</v>
      </c>
    </row>
    <row r="6600" spans="3:5" x14ac:dyDescent="0.25">
      <c r="C6600" t="s">
        <v>11938</v>
      </c>
      <c r="D6600" t="s">
        <v>11939</v>
      </c>
      <c r="E6600" t="str">
        <f>HYPERLINK("https://patents.google.com/patent/US20100151831A1/en")</f>
        <v>https://patents.google.com/patent/US20100151831A1/en</v>
      </c>
    </row>
    <row r="6601" spans="3:5" x14ac:dyDescent="0.25">
      <c r="C6601" t="s">
        <v>11940</v>
      </c>
      <c r="D6601" t="s">
        <v>11941</v>
      </c>
      <c r="E6601" t="str">
        <f>HYPERLINK("https://patents.google.com/patent/US20140169269A1/en")</f>
        <v>https://patents.google.com/patent/US20140169269A1/en</v>
      </c>
    </row>
    <row r="6602" spans="3:5" x14ac:dyDescent="0.25">
      <c r="C6602" t="s">
        <v>11942</v>
      </c>
      <c r="D6602" t="s">
        <v>11943</v>
      </c>
      <c r="E6602" t="str">
        <f>HYPERLINK("https://patents.google.com/patent/US20090160833A1/en")</f>
        <v>https://patents.google.com/patent/US20090160833A1/en</v>
      </c>
    </row>
    <row r="6603" spans="3:5" x14ac:dyDescent="0.25">
      <c r="C6603" t="s">
        <v>10198</v>
      </c>
      <c r="D6603" t="s">
        <v>11944</v>
      </c>
      <c r="E6603" t="str">
        <f>HYPERLINK("https://patents.google.com/patent/US20120173370A1/en")</f>
        <v>https://patents.google.com/patent/US20120173370A1/en</v>
      </c>
    </row>
    <row r="6604" spans="3:5" x14ac:dyDescent="0.25">
      <c r="C6604" t="s">
        <v>11945</v>
      </c>
      <c r="D6604" t="s">
        <v>11946</v>
      </c>
      <c r="E6604" t="str">
        <f>HYPERLINK("https://patents.google.com/patent/JP2005525674A/en")</f>
        <v>https://patents.google.com/patent/JP2005525674A/en</v>
      </c>
    </row>
    <row r="6605" spans="3:5" x14ac:dyDescent="0.25">
      <c r="C6605" t="s">
        <v>4973</v>
      </c>
      <c r="D6605" t="s">
        <v>11947</v>
      </c>
      <c r="E6605" t="str">
        <f>HYPERLINK("https://patents.google.com/patent/US20130076153A1/en")</f>
        <v>https://patents.google.com/patent/US20130076153A1/en</v>
      </c>
    </row>
    <row r="6606" spans="3:5" x14ac:dyDescent="0.25">
      <c r="C6606" t="s">
        <v>11948</v>
      </c>
      <c r="D6606" t="s">
        <v>11949</v>
      </c>
      <c r="E6606" t="str">
        <f>HYPERLINK("https://patents.google.com/patent/EP0585994A2/en")</f>
        <v>https://patents.google.com/patent/EP0585994A2/en</v>
      </c>
    </row>
    <row r="6607" spans="3:5" x14ac:dyDescent="0.25">
      <c r="C6607" t="s">
        <v>11950</v>
      </c>
      <c r="D6607" t="s">
        <v>11951</v>
      </c>
      <c r="E6607" t="str">
        <f>HYPERLINK("https://patents.google.com/patent/CN101047937A/en")</f>
        <v>https://patents.google.com/patent/CN101047937A/en</v>
      </c>
    </row>
    <row r="6608" spans="3:5" x14ac:dyDescent="0.25">
      <c r="C6608" t="s">
        <v>11952</v>
      </c>
      <c r="D6608" t="s">
        <v>11953</v>
      </c>
      <c r="E6608" t="str">
        <f>HYPERLINK("https://patents.google.com/patent/US20110158088A1/en")</f>
        <v>https://patents.google.com/patent/US20110158088A1/en</v>
      </c>
    </row>
    <row r="6609" spans="3:5" x14ac:dyDescent="0.25">
      <c r="C6609" t="s">
        <v>11954</v>
      </c>
      <c r="D6609" t="s">
        <v>11955</v>
      </c>
      <c r="E6609" t="str">
        <f>HYPERLINK("https://patents.google.com/patent/US20130079671A1/en")</f>
        <v>https://patents.google.com/patent/US20130079671A1/en</v>
      </c>
    </row>
    <row r="6610" spans="3:5" x14ac:dyDescent="0.25">
      <c r="C6610" t="s">
        <v>11956</v>
      </c>
      <c r="D6610" t="s">
        <v>11957</v>
      </c>
      <c r="E6610" t="str">
        <f>HYPERLINK("https://patents.google.com/patent/US20130100942A1/en")</f>
        <v>https://patents.google.com/patent/US20130100942A1/en</v>
      </c>
    </row>
    <row r="6611" spans="3:5" x14ac:dyDescent="0.25">
      <c r="C6611" t="s">
        <v>10269</v>
      </c>
      <c r="D6611" t="s">
        <v>11958</v>
      </c>
      <c r="E6611" t="str">
        <f>HYPERLINK("https://patents.google.com/patent/US8691413B2/en")</f>
        <v>https://patents.google.com/patent/US8691413B2/en</v>
      </c>
    </row>
    <row r="6612" spans="3:5" x14ac:dyDescent="0.25">
      <c r="C6612" t="s">
        <v>11959</v>
      </c>
      <c r="D6612" t="s">
        <v>11960</v>
      </c>
      <c r="E6612" t="str">
        <f>HYPERLINK("https://patents.google.com/patent/US20130310048A1/en")</f>
        <v>https://patents.google.com/patent/US20130310048A1/en</v>
      </c>
    </row>
    <row r="6613" spans="3:5" x14ac:dyDescent="0.25">
      <c r="C6613" t="s">
        <v>11961</v>
      </c>
      <c r="D6613" t="s">
        <v>11962</v>
      </c>
      <c r="E6613" t="str">
        <f>HYPERLINK("https://patents.google.com/patent/US6378652B1/en")</f>
        <v>https://patents.google.com/patent/US6378652B1/en</v>
      </c>
    </row>
    <row r="6614" spans="3:5" x14ac:dyDescent="0.25">
      <c r="C6614" t="s">
        <v>11963</v>
      </c>
      <c r="D6614" t="s">
        <v>11964</v>
      </c>
      <c r="E6614" t="str">
        <f>HYPERLINK("https://patents.google.com/patent/US20120134257A1/en")</f>
        <v>https://patents.google.com/patent/US20120134257A1/en</v>
      </c>
    </row>
    <row r="6615" spans="3:5" x14ac:dyDescent="0.25">
      <c r="C6615" t="s">
        <v>11965</v>
      </c>
      <c r="D6615" t="s">
        <v>11966</v>
      </c>
      <c r="E6615" t="str">
        <f>HYPERLINK("https://patents.google.com/patent/US20130307480A1/en")</f>
        <v>https://patents.google.com/patent/US20130307480A1/en</v>
      </c>
    </row>
    <row r="6616" spans="3:5" x14ac:dyDescent="0.25">
      <c r="C6616" t="s">
        <v>11967</v>
      </c>
      <c r="D6616" t="s">
        <v>11968</v>
      </c>
      <c r="E6616" t="str">
        <f>HYPERLINK("https://patents.google.com/patent/CN2641944Y/en")</f>
        <v>https://patents.google.com/patent/CN2641944Y/en</v>
      </c>
    </row>
    <row r="6617" spans="3:5" x14ac:dyDescent="0.25">
      <c r="C6617" t="s">
        <v>11525</v>
      </c>
      <c r="D6617" t="s">
        <v>11969</v>
      </c>
      <c r="E6617" t="str">
        <f>HYPERLINK("https://patents.google.com/patent/US20120135739A1/en")</f>
        <v>https://patents.google.com/patent/US20120135739A1/en</v>
      </c>
    </row>
    <row r="6618" spans="3:5" x14ac:dyDescent="0.25">
      <c r="C6618" t="s">
        <v>11826</v>
      </c>
      <c r="D6618" t="s">
        <v>11970</v>
      </c>
      <c r="E6618" t="str">
        <f>HYPERLINK("https://patents.google.com/patent/US20160357262A1/en")</f>
        <v>https://patents.google.com/patent/US20160357262A1/en</v>
      </c>
    </row>
    <row r="6619" spans="3:5" x14ac:dyDescent="0.25">
      <c r="C6619" t="s">
        <v>11971</v>
      </c>
      <c r="D6619" t="s">
        <v>11972</v>
      </c>
      <c r="E6619" t="str">
        <f>HYPERLINK("https://patents.google.com/patent/US6544690B1/en")</f>
        <v>https://patents.google.com/patent/US6544690B1/en</v>
      </c>
    </row>
    <row r="6620" spans="3:5" x14ac:dyDescent="0.25">
      <c r="C6620" t="s">
        <v>11973</v>
      </c>
      <c r="D6620" t="s">
        <v>11974</v>
      </c>
      <c r="E6620" t="str">
        <f>HYPERLINK("https://patents.google.com/patent/CN102056336A/en")</f>
        <v>https://patents.google.com/patent/CN102056336A/en</v>
      </c>
    </row>
    <row r="6621" spans="3:5" x14ac:dyDescent="0.25">
      <c r="C6621" t="s">
        <v>11975</v>
      </c>
      <c r="D6621" t="s">
        <v>11976</v>
      </c>
      <c r="E6621" t="str">
        <f>HYPERLINK("https://patents.google.com/patent/US20140288460A1/en")</f>
        <v>https://patents.google.com/patent/US20140288460A1/en</v>
      </c>
    </row>
    <row r="6622" spans="3:5" x14ac:dyDescent="0.25">
      <c r="C6622" t="s">
        <v>11037</v>
      </c>
      <c r="D6622" t="s">
        <v>11977</v>
      </c>
      <c r="E6622" t="str">
        <f>HYPERLINK("https://patents.google.com/patent/US20150347683A1/en")</f>
        <v>https://patents.google.com/patent/US20150347683A1/en</v>
      </c>
    </row>
    <row r="6623" spans="3:5" x14ac:dyDescent="0.25">
      <c r="C6623" t="s">
        <v>11978</v>
      </c>
      <c r="D6623" t="s">
        <v>11979</v>
      </c>
      <c r="E6623" t="str">
        <f>HYPERLINK("https://patents.google.com/patent/US20120314573A1/en")</f>
        <v>https://patents.google.com/patent/US20120314573A1/en</v>
      </c>
    </row>
    <row r="6624" spans="3:5" x14ac:dyDescent="0.25">
      <c r="C6624" t="s">
        <v>11980</v>
      </c>
      <c r="D6624" t="s">
        <v>11981</v>
      </c>
      <c r="E6624" t="str">
        <f>HYPERLINK("https://patents.google.com/patent/KR20010086595A/en")</f>
        <v>https://patents.google.com/patent/KR20010086595A/en</v>
      </c>
    </row>
    <row r="6625" spans="1:5" x14ac:dyDescent="0.25">
      <c r="C6625" t="s">
        <v>6660</v>
      </c>
      <c r="D6625" t="s">
        <v>11982</v>
      </c>
      <c r="E6625" t="str">
        <f>HYPERLINK("https://patents.google.com/patent/US8672062B2/en")</f>
        <v>https://patents.google.com/patent/US8672062B2/en</v>
      </c>
    </row>
    <row r="6626" spans="1:5" x14ac:dyDescent="0.25">
      <c r="C6626" t="s">
        <v>11983</v>
      </c>
      <c r="D6626" t="s">
        <v>11984</v>
      </c>
      <c r="E6626" t="str">
        <f>HYPERLINK("https://patents.google.com/patent/US20030106767A1/en")</f>
        <v>https://patents.google.com/patent/US20030106767A1/en</v>
      </c>
    </row>
    <row r="6627" spans="1:5" x14ac:dyDescent="0.25">
      <c r="C6627" t="s">
        <v>11985</v>
      </c>
      <c r="D6627" t="s">
        <v>11986</v>
      </c>
      <c r="E6627" t="str">
        <f>HYPERLINK("https://patents.google.com/patent/US20110047084A1/en")</f>
        <v>https://patents.google.com/patent/US20110047084A1/en</v>
      </c>
    </row>
    <row r="6628" spans="1:5" x14ac:dyDescent="0.25">
      <c r="C6628" t="s">
        <v>11987</v>
      </c>
      <c r="D6628" t="s">
        <v>11988</v>
      </c>
      <c r="E6628" t="str">
        <f>HYPERLINK("https://patents.google.com/patent/JP2008211645A/en")</f>
        <v>https://patents.google.com/patent/JP2008211645A/en</v>
      </c>
    </row>
    <row r="6629" spans="1:5" x14ac:dyDescent="0.25">
      <c r="C6629" t="s">
        <v>11989</v>
      </c>
      <c r="D6629" t="s">
        <v>11990</v>
      </c>
      <c r="E6629" t="str">
        <f>HYPERLINK("https://patents.google.com/patent/WO2014122588A1/en")</f>
        <v>https://patents.google.com/patent/WO2014122588A1/en</v>
      </c>
    </row>
    <row r="6630" spans="1:5" x14ac:dyDescent="0.25">
      <c r="C6630" t="s">
        <v>11991</v>
      </c>
      <c r="D6630" t="s">
        <v>11992</v>
      </c>
      <c r="E6630" t="str">
        <f>HYPERLINK("https://patents.google.com/patent/CN103765728A/en")</f>
        <v>https://patents.google.com/patent/CN103765728A/en</v>
      </c>
    </row>
    <row r="6631" spans="1:5" x14ac:dyDescent="0.25">
      <c r="C6631" t="s">
        <v>11993</v>
      </c>
      <c r="D6631" t="s">
        <v>11994</v>
      </c>
      <c r="E6631" t="str">
        <f>HYPERLINK("https://patents.google.com/patent/JP2012244732A/en")</f>
        <v>https://patents.google.com/patent/JP2012244732A/en</v>
      </c>
    </row>
    <row r="6632" spans="1:5" x14ac:dyDescent="0.25">
      <c r="A6632" t="s">
        <v>1335</v>
      </c>
      <c r="B6632">
        <v>696</v>
      </c>
    </row>
    <row r="6633" spans="1:5" x14ac:dyDescent="0.25">
      <c r="C6633" t="s">
        <v>11995</v>
      </c>
      <c r="D6633" t="s">
        <v>11996</v>
      </c>
      <c r="E6633" t="str">
        <f>HYPERLINK("https://patents.google.com/patent/US20150057994A1/en")</f>
        <v>https://patents.google.com/patent/US20150057994A1/en</v>
      </c>
    </row>
    <row r="6634" spans="1:5" x14ac:dyDescent="0.25">
      <c r="C6634" t="s">
        <v>11997</v>
      </c>
      <c r="D6634" t="s">
        <v>11998</v>
      </c>
      <c r="E6634" t="str">
        <f>HYPERLINK("https://patents.google.com/patent/CN103738438B/en")</f>
        <v>https://patents.google.com/patent/CN103738438B/en</v>
      </c>
    </row>
    <row r="6635" spans="1:5" x14ac:dyDescent="0.25">
      <c r="C6635" t="s">
        <v>11999</v>
      </c>
      <c r="D6635" t="s">
        <v>12000</v>
      </c>
      <c r="E6635" t="str">
        <f>HYPERLINK("https://patents.google.com/patent/CN101291847B/en")</f>
        <v>https://patents.google.com/patent/CN101291847B/en</v>
      </c>
    </row>
    <row r="6636" spans="1:5" x14ac:dyDescent="0.25">
      <c r="C6636" t="s">
        <v>12001</v>
      </c>
      <c r="D6636" t="s">
        <v>12002</v>
      </c>
      <c r="E6636" t="str">
        <f>HYPERLINK("https://patents.google.com/patent/US20080283661A1/en")</f>
        <v>https://patents.google.com/patent/US20080283661A1/en</v>
      </c>
    </row>
    <row r="6637" spans="1:5" x14ac:dyDescent="0.25">
      <c r="C6637" t="s">
        <v>12003</v>
      </c>
      <c r="D6637" t="s">
        <v>12004</v>
      </c>
      <c r="E6637" t="str">
        <f>HYPERLINK("https://patents.google.com/patent/US20140280476A1/en")</f>
        <v>https://patents.google.com/patent/US20140280476A1/en</v>
      </c>
    </row>
    <row r="6638" spans="1:5" x14ac:dyDescent="0.25">
      <c r="C6638" t="s">
        <v>12005</v>
      </c>
      <c r="D6638" t="s">
        <v>12006</v>
      </c>
      <c r="E6638" t="str">
        <f>HYPERLINK("https://patents.google.com/patent/US20070084511A1/en")</f>
        <v>https://patents.google.com/patent/US20070084511A1/en</v>
      </c>
    </row>
    <row r="6639" spans="1:5" x14ac:dyDescent="0.25">
      <c r="C6639" t="s">
        <v>12007</v>
      </c>
      <c r="D6639" t="s">
        <v>12008</v>
      </c>
      <c r="E6639" t="str">
        <f>HYPERLINK("https://patents.google.com/patent/US3111146A/en")</f>
        <v>https://patents.google.com/patent/US3111146A/en</v>
      </c>
    </row>
    <row r="6640" spans="1:5" x14ac:dyDescent="0.25">
      <c r="C6640" t="s">
        <v>10770</v>
      </c>
      <c r="D6640" t="s">
        <v>12009</v>
      </c>
      <c r="E6640" t="str">
        <f>HYPERLINK("https://patents.google.com/patent/US8315198B2/en")</f>
        <v>https://patents.google.com/patent/US8315198B2/en</v>
      </c>
    </row>
    <row r="6641" spans="3:5" x14ac:dyDescent="0.25">
      <c r="C6641" t="s">
        <v>12010</v>
      </c>
      <c r="D6641" t="s">
        <v>12011</v>
      </c>
      <c r="E6641" t="str">
        <f>HYPERLINK("https://patents.google.com/patent/US8312545B2/en")</f>
        <v>https://patents.google.com/patent/US8312545B2/en</v>
      </c>
    </row>
    <row r="6642" spans="3:5" x14ac:dyDescent="0.25">
      <c r="C6642" t="s">
        <v>12012</v>
      </c>
      <c r="D6642" t="s">
        <v>12013</v>
      </c>
      <c r="E6642" t="str">
        <f>HYPERLINK("https://patents.google.com/patent/US20070226304A1/en")</f>
        <v>https://patents.google.com/patent/US20070226304A1/en</v>
      </c>
    </row>
    <row r="6643" spans="3:5" x14ac:dyDescent="0.25">
      <c r="C6643" t="s">
        <v>12014</v>
      </c>
      <c r="D6643" t="s">
        <v>12015</v>
      </c>
      <c r="E6643" t="str">
        <f>HYPERLINK("https://patents.google.com/patent/US4943202A/en")</f>
        <v>https://patents.google.com/patent/US4943202A/en</v>
      </c>
    </row>
    <row r="6644" spans="3:5" x14ac:dyDescent="0.25">
      <c r="C6644" t="s">
        <v>12016</v>
      </c>
      <c r="D6644" t="s">
        <v>12017</v>
      </c>
      <c r="E6644" t="str">
        <f>HYPERLINK("https://patents.google.com/patent/US20120215640A1/en")</f>
        <v>https://patents.google.com/patent/US20120215640A1/en</v>
      </c>
    </row>
    <row r="6645" spans="3:5" x14ac:dyDescent="0.25">
      <c r="C6645" t="s">
        <v>12018</v>
      </c>
      <c r="D6645" t="s">
        <v>12019</v>
      </c>
      <c r="E6645" t="str">
        <f>HYPERLINK("https://patents.google.com/patent/US8857567B1/en")</f>
        <v>https://patents.google.com/patent/US8857567B1/en</v>
      </c>
    </row>
    <row r="6646" spans="3:5" x14ac:dyDescent="0.25">
      <c r="C6646" t="s">
        <v>12020</v>
      </c>
      <c r="D6646" t="s">
        <v>12021</v>
      </c>
      <c r="E6646" t="str">
        <f>HYPERLINK("https://patents.google.com/patent/US20120122561A1/en")</f>
        <v>https://patents.google.com/patent/US20120122561A1/en</v>
      </c>
    </row>
    <row r="6647" spans="3:5" x14ac:dyDescent="0.25">
      <c r="C6647" t="s">
        <v>12022</v>
      </c>
      <c r="D6647" t="s">
        <v>12023</v>
      </c>
      <c r="E6647" t="str">
        <f>HYPERLINK("https://patents.google.com/patent/US20140172577A1/en")</f>
        <v>https://patents.google.com/patent/US20140172577A1/en</v>
      </c>
    </row>
    <row r="6648" spans="3:5" x14ac:dyDescent="0.25">
      <c r="C6648" t="s">
        <v>12024</v>
      </c>
      <c r="D6648" t="s">
        <v>12025</v>
      </c>
      <c r="E6648" t="str">
        <f>HYPERLINK("https://patents.google.com/patent/US20070226608A1/en")</f>
        <v>https://patents.google.com/patent/US20070226608A1/en</v>
      </c>
    </row>
    <row r="6649" spans="3:5" x14ac:dyDescent="0.25">
      <c r="C6649" t="s">
        <v>12026</v>
      </c>
      <c r="D6649" t="s">
        <v>12027</v>
      </c>
      <c r="E6649" t="str">
        <f>HYPERLINK("https://patents.google.com/patent/US8219134B2/en")</f>
        <v>https://patents.google.com/patent/US8219134B2/en</v>
      </c>
    </row>
    <row r="6650" spans="3:5" x14ac:dyDescent="0.25">
      <c r="C6650" t="s">
        <v>12028</v>
      </c>
      <c r="D6650" t="s">
        <v>12029</v>
      </c>
      <c r="E6650" t="str">
        <f>HYPERLINK("https://patents.google.com/patent/US20140269364A1/en")</f>
        <v>https://patents.google.com/patent/US20140269364A1/en</v>
      </c>
    </row>
    <row r="6651" spans="3:5" x14ac:dyDescent="0.25">
      <c r="C6651" t="s">
        <v>12030</v>
      </c>
      <c r="D6651" t="s">
        <v>12031</v>
      </c>
      <c r="E6651" t="str">
        <f>HYPERLINK("https://patents.google.com/patent/JP2004531780A/en")</f>
        <v>https://patents.google.com/patent/JP2004531780A/en</v>
      </c>
    </row>
    <row r="6652" spans="3:5" x14ac:dyDescent="0.25">
      <c r="C6652" t="s">
        <v>12032</v>
      </c>
      <c r="D6652" t="s">
        <v>12033</v>
      </c>
      <c r="E6652" t="str">
        <f>HYPERLINK("https://patents.google.com/patent/US20160321654A1/en")</f>
        <v>https://patents.google.com/patent/US20160321654A1/en</v>
      </c>
    </row>
    <row r="6653" spans="3:5" x14ac:dyDescent="0.25">
      <c r="C6653" t="s">
        <v>12034</v>
      </c>
      <c r="D6653" t="s">
        <v>12035</v>
      </c>
      <c r="E6653" t="str">
        <f>HYPERLINK("https://patents.google.com/patent/US9141926B2/en")</f>
        <v>https://patents.google.com/patent/US9141926B2/en</v>
      </c>
    </row>
    <row r="6654" spans="3:5" x14ac:dyDescent="0.25">
      <c r="C6654" t="s">
        <v>12036</v>
      </c>
      <c r="D6654" t="s">
        <v>12037</v>
      </c>
      <c r="E6654" t="str">
        <f>HYPERLINK("https://patents.google.com/patent/US20090020369A1/en")</f>
        <v>https://patents.google.com/patent/US20090020369A1/en</v>
      </c>
    </row>
    <row r="6655" spans="3:5" x14ac:dyDescent="0.25">
      <c r="C6655" t="s">
        <v>12038</v>
      </c>
      <c r="D6655" t="s">
        <v>12039</v>
      </c>
      <c r="E6655" t="str">
        <f>HYPERLINK("https://patents.google.com/patent/US20120122553A1/en")</f>
        <v>https://patents.google.com/patent/US20120122553A1/en</v>
      </c>
    </row>
    <row r="6656" spans="3:5" x14ac:dyDescent="0.25">
      <c r="C6656" t="s">
        <v>12040</v>
      </c>
      <c r="D6656" t="s">
        <v>12041</v>
      </c>
      <c r="E6656" t="str">
        <f>HYPERLINK("https://patents.google.com/patent/CN101902681A/en")</f>
        <v>https://patents.google.com/patent/CN101902681A/en</v>
      </c>
    </row>
    <row r="6657" spans="3:5" x14ac:dyDescent="0.25">
      <c r="C6657" t="s">
        <v>12042</v>
      </c>
      <c r="D6657" t="s">
        <v>12043</v>
      </c>
      <c r="E6657" t="str">
        <f>HYPERLINK("https://patents.google.com/patent/US20130203489A1/en")</f>
        <v>https://patents.google.com/patent/US20130203489A1/en</v>
      </c>
    </row>
    <row r="6658" spans="3:5" x14ac:dyDescent="0.25">
      <c r="C6658" t="s">
        <v>12044</v>
      </c>
      <c r="D6658" t="s">
        <v>12045</v>
      </c>
      <c r="E6658" t="str">
        <f>HYPERLINK("https://patents.google.com/patent/US20160142868A1/en")</f>
        <v>https://patents.google.com/patent/US20160142868A1/en</v>
      </c>
    </row>
    <row r="6659" spans="3:5" x14ac:dyDescent="0.25">
      <c r="C6659" t="s">
        <v>12046</v>
      </c>
      <c r="D6659" t="s">
        <v>12047</v>
      </c>
      <c r="E6659" t="str">
        <f>HYPERLINK("https://patents.google.com/patent/US20070083599A1/en")</f>
        <v>https://patents.google.com/patent/US20070083599A1/en</v>
      </c>
    </row>
    <row r="6660" spans="3:5" x14ac:dyDescent="0.25">
      <c r="C6660" t="s">
        <v>12048</v>
      </c>
      <c r="D6660" t="s">
        <v>12049</v>
      </c>
      <c r="E6660" t="str">
        <f>HYPERLINK("https://patents.google.com/patent/US7383721B2/en")</f>
        <v>https://patents.google.com/patent/US7383721B2/en</v>
      </c>
    </row>
    <row r="6661" spans="3:5" x14ac:dyDescent="0.25">
      <c r="C6661" t="s">
        <v>12050</v>
      </c>
      <c r="D6661" t="s">
        <v>12051</v>
      </c>
      <c r="E6661" t="str">
        <f>HYPERLINK("https://patents.google.com/patent/US7254608B2/en")</f>
        <v>https://patents.google.com/patent/US7254608B2/en</v>
      </c>
    </row>
    <row r="6662" spans="3:5" x14ac:dyDescent="0.25">
      <c r="C6662" t="s">
        <v>12052</v>
      </c>
      <c r="D6662" t="s">
        <v>12053</v>
      </c>
      <c r="E6662" t="str">
        <f>HYPERLINK("https://patents.google.com/patent/US20120051939A1/en")</f>
        <v>https://patents.google.com/patent/US20120051939A1/en</v>
      </c>
    </row>
    <row r="6663" spans="3:5" x14ac:dyDescent="0.25">
      <c r="C6663" t="s">
        <v>12054</v>
      </c>
      <c r="D6663" t="s">
        <v>12055</v>
      </c>
      <c r="E6663" t="str">
        <f>HYPERLINK("https://patents.google.com/patent/CN203376551U/en")</f>
        <v>https://patents.google.com/patent/CN203376551U/en</v>
      </c>
    </row>
    <row r="6664" spans="3:5" x14ac:dyDescent="0.25">
      <c r="C6664" t="s">
        <v>12056</v>
      </c>
      <c r="D6664" t="s">
        <v>12057</v>
      </c>
      <c r="E6664" t="str">
        <f>HYPERLINK("https://patents.google.com/patent/US3001594A/en")</f>
        <v>https://patents.google.com/patent/US3001594A/en</v>
      </c>
    </row>
    <row r="6665" spans="3:5" x14ac:dyDescent="0.25">
      <c r="C6665" t="s">
        <v>12058</v>
      </c>
      <c r="D6665" t="s">
        <v>12059</v>
      </c>
      <c r="E6665" t="str">
        <f>HYPERLINK("https://patents.google.com/patent/US20120185913A1/en")</f>
        <v>https://patents.google.com/patent/US20120185913A1/en</v>
      </c>
    </row>
    <row r="6666" spans="3:5" x14ac:dyDescent="0.25">
      <c r="C6666" t="s">
        <v>12060</v>
      </c>
      <c r="D6666" t="s">
        <v>12061</v>
      </c>
      <c r="E6666" t="str">
        <f>HYPERLINK("https://patents.google.com/patent/US20080208680A1/en")</f>
        <v>https://patents.google.com/patent/US20080208680A1/en</v>
      </c>
    </row>
    <row r="6667" spans="3:5" x14ac:dyDescent="0.25">
      <c r="C6667" t="s">
        <v>12062</v>
      </c>
      <c r="D6667" t="s">
        <v>12063</v>
      </c>
      <c r="E6667" t="str">
        <f>HYPERLINK("https://patents.google.com/patent/US20140280961A1/en")</f>
        <v>https://patents.google.com/patent/US20140280961A1/en</v>
      </c>
    </row>
    <row r="6668" spans="3:5" x14ac:dyDescent="0.25">
      <c r="C6668" t="s">
        <v>12064</v>
      </c>
      <c r="D6668" t="s">
        <v>12065</v>
      </c>
      <c r="E6668" t="str">
        <f>HYPERLINK("https://patents.google.com/patent/US20140195675A1/en")</f>
        <v>https://patents.google.com/patent/US20140195675A1/en</v>
      </c>
    </row>
    <row r="6669" spans="3:5" x14ac:dyDescent="0.25">
      <c r="C6669" t="s">
        <v>12066</v>
      </c>
      <c r="D6669" t="s">
        <v>12067</v>
      </c>
      <c r="E6669" t="str">
        <f>HYPERLINK("https://patents.google.com/patent/US7275102B2/en")</f>
        <v>https://patents.google.com/patent/US7275102B2/en</v>
      </c>
    </row>
    <row r="6670" spans="3:5" x14ac:dyDescent="0.25">
      <c r="C6670" t="s">
        <v>12068</v>
      </c>
      <c r="D6670" t="s">
        <v>12069</v>
      </c>
      <c r="E6670" t="str">
        <f>HYPERLINK("https://patents.google.com/patent/US8019352B2/en")</f>
        <v>https://patents.google.com/patent/US8019352B2/en</v>
      </c>
    </row>
    <row r="6671" spans="3:5" x14ac:dyDescent="0.25">
      <c r="C6671" t="s">
        <v>12070</v>
      </c>
      <c r="D6671" t="s">
        <v>12071</v>
      </c>
      <c r="E6671" t="str">
        <f>HYPERLINK("https://patents.google.com/patent/US5033489A/en")</f>
        <v>https://patents.google.com/patent/US5033489A/en</v>
      </c>
    </row>
    <row r="6672" spans="3:5" x14ac:dyDescent="0.25">
      <c r="C6672" t="s">
        <v>12072</v>
      </c>
      <c r="D6672" t="s">
        <v>12073</v>
      </c>
      <c r="E6672" t="str">
        <f>HYPERLINK("https://patents.google.com/patent/US5616172A/en")</f>
        <v>https://patents.google.com/patent/US5616172A/en</v>
      </c>
    </row>
    <row r="6673" spans="3:5" x14ac:dyDescent="0.25">
      <c r="C6673" t="s">
        <v>12074</v>
      </c>
      <c r="D6673" t="s">
        <v>12075</v>
      </c>
      <c r="E6673" t="str">
        <f>HYPERLINK("https://patents.google.com/patent/US20090276303A1/en")</f>
        <v>https://patents.google.com/patent/US20090276303A1/en</v>
      </c>
    </row>
    <row r="6674" spans="3:5" x14ac:dyDescent="0.25">
      <c r="C6674" t="s">
        <v>12076</v>
      </c>
      <c r="D6674" t="s">
        <v>12077</v>
      </c>
      <c r="E6674" t="str">
        <f>HYPERLINK("https://patents.google.com/patent/US7747730B1/en")</f>
        <v>https://patents.google.com/patent/US7747730B1/en</v>
      </c>
    </row>
    <row r="6675" spans="3:5" x14ac:dyDescent="0.25">
      <c r="C6675" t="s">
        <v>12078</v>
      </c>
      <c r="D6675" t="s">
        <v>12079</v>
      </c>
      <c r="E6675" t="str">
        <f>HYPERLINK("https://patents.google.com/patent/US7920678B2/en")</f>
        <v>https://patents.google.com/patent/US7920678B2/en</v>
      </c>
    </row>
    <row r="6676" spans="3:5" x14ac:dyDescent="0.25">
      <c r="C6676" t="s">
        <v>12080</v>
      </c>
      <c r="D6676" t="s">
        <v>12081</v>
      </c>
      <c r="E6676" t="str">
        <f>HYPERLINK("https://patents.google.com/patent/US7149698B2/en")</f>
        <v>https://patents.google.com/patent/US7149698B2/en</v>
      </c>
    </row>
    <row r="6677" spans="3:5" x14ac:dyDescent="0.25">
      <c r="C6677" t="s">
        <v>12082</v>
      </c>
      <c r="D6677" t="s">
        <v>12083</v>
      </c>
      <c r="E6677" t="str">
        <f>HYPERLINK("https://patents.google.com/patent/US6466654B1/en")</f>
        <v>https://patents.google.com/patent/US6466654B1/en</v>
      </c>
    </row>
    <row r="6678" spans="3:5" x14ac:dyDescent="0.25">
      <c r="C6678" t="s">
        <v>12084</v>
      </c>
      <c r="D6678" t="s">
        <v>12085</v>
      </c>
      <c r="E6678" t="str">
        <f>HYPERLINK("https://patents.google.com/patent/US6154728A/en")</f>
        <v>https://patents.google.com/patent/US6154728A/en</v>
      </c>
    </row>
    <row r="6679" spans="3:5" x14ac:dyDescent="0.25">
      <c r="C6679" t="s">
        <v>12086</v>
      </c>
      <c r="D6679" t="s">
        <v>12087</v>
      </c>
      <c r="E6679" t="str">
        <f>HYPERLINK("https://patents.google.com/patent/US20120022930A1/en")</f>
        <v>https://patents.google.com/patent/US20120022930A1/en</v>
      </c>
    </row>
    <row r="6680" spans="3:5" x14ac:dyDescent="0.25">
      <c r="C6680" t="s">
        <v>12088</v>
      </c>
      <c r="D6680" t="s">
        <v>12089</v>
      </c>
      <c r="E6680" t="str">
        <f>HYPERLINK("https://patents.google.com/patent/US20100139995A1/en")</f>
        <v>https://patents.google.com/patent/US20100139995A1/en</v>
      </c>
    </row>
    <row r="6681" spans="3:5" x14ac:dyDescent="0.25">
      <c r="C6681" t="s">
        <v>12090</v>
      </c>
      <c r="D6681" t="s">
        <v>12091</v>
      </c>
      <c r="E6681" t="str">
        <f>HYPERLINK("https://patents.google.com/patent/US5872810A/en")</f>
        <v>https://patents.google.com/patent/US5872810A/en</v>
      </c>
    </row>
    <row r="6682" spans="3:5" x14ac:dyDescent="0.25">
      <c r="C6682" t="s">
        <v>12092</v>
      </c>
      <c r="D6682" t="s">
        <v>12093</v>
      </c>
      <c r="E6682" t="str">
        <f>HYPERLINK("https://patents.google.com/patent/US5503234A/en")</f>
        <v>https://patents.google.com/patent/US5503234A/en</v>
      </c>
    </row>
    <row r="6683" spans="3:5" x14ac:dyDescent="0.25">
      <c r="C6683" t="s">
        <v>12094</v>
      </c>
      <c r="D6683" t="s">
        <v>12095</v>
      </c>
      <c r="E6683" t="str">
        <f>HYPERLINK("https://patents.google.com/patent/US8417391B1/en")</f>
        <v>https://patents.google.com/patent/US8417391B1/en</v>
      </c>
    </row>
    <row r="6684" spans="3:5" x14ac:dyDescent="0.25">
      <c r="C6684" t="s">
        <v>12096</v>
      </c>
      <c r="D6684" t="s">
        <v>12097</v>
      </c>
      <c r="E6684" t="str">
        <f>HYPERLINK("https://patents.google.com/patent/US20160112521A1/en")</f>
        <v>https://patents.google.com/patent/US20160112521A1/en</v>
      </c>
    </row>
    <row r="6685" spans="3:5" x14ac:dyDescent="0.25">
      <c r="C6685" t="s">
        <v>12086</v>
      </c>
      <c r="D6685" t="s">
        <v>12098</v>
      </c>
      <c r="E6685" t="str">
        <f>HYPERLINK("https://patents.google.com/patent/US20120022944A1/en")</f>
        <v>https://patents.google.com/patent/US20120022944A1/en</v>
      </c>
    </row>
    <row r="6686" spans="3:5" x14ac:dyDescent="0.25">
      <c r="C6686" t="s">
        <v>12099</v>
      </c>
      <c r="D6686" t="s">
        <v>12100</v>
      </c>
      <c r="E6686" t="str">
        <f>HYPERLINK("https://patents.google.com/patent/US6975937B1/en")</f>
        <v>https://patents.google.com/patent/US6975937B1/en</v>
      </c>
    </row>
    <row r="6687" spans="3:5" x14ac:dyDescent="0.25">
      <c r="C6687" t="s">
        <v>12101</v>
      </c>
      <c r="D6687" t="s">
        <v>12102</v>
      </c>
      <c r="E6687" t="str">
        <f>HYPERLINK("https://patents.google.com/patent/US6307877B1/en")</f>
        <v>https://patents.google.com/patent/US6307877B1/en</v>
      </c>
    </row>
    <row r="6688" spans="3:5" x14ac:dyDescent="0.25">
      <c r="C6688" t="s">
        <v>12103</v>
      </c>
      <c r="D6688" t="s">
        <v>12104</v>
      </c>
      <c r="E6688" t="str">
        <f>HYPERLINK("https://patents.google.com/patent/US6212566B1/en")</f>
        <v>https://patents.google.com/patent/US6212566B1/en</v>
      </c>
    </row>
    <row r="6689" spans="3:5" x14ac:dyDescent="0.25">
      <c r="C6689" t="s">
        <v>12105</v>
      </c>
      <c r="D6689" t="s">
        <v>12106</v>
      </c>
      <c r="E6689" t="str">
        <f>HYPERLINK("https://patents.google.com/patent/US8194581B1/en")</f>
        <v>https://patents.google.com/patent/US8194581B1/en</v>
      </c>
    </row>
    <row r="6690" spans="3:5" x14ac:dyDescent="0.25">
      <c r="C6690" t="s">
        <v>12107</v>
      </c>
      <c r="D6690" t="s">
        <v>12108</v>
      </c>
      <c r="E6690" t="str">
        <f>HYPERLINK("https://patents.google.com/patent/US8037202B2/en")</f>
        <v>https://patents.google.com/patent/US8037202B2/en</v>
      </c>
    </row>
    <row r="6691" spans="3:5" x14ac:dyDescent="0.25">
      <c r="C6691" t="s">
        <v>12109</v>
      </c>
      <c r="D6691" t="s">
        <v>12110</v>
      </c>
      <c r="E6691" t="str">
        <f>HYPERLINK("https://patents.google.com/patent/US6491589B1/en")</f>
        <v>https://patents.google.com/patent/US6491589B1/en</v>
      </c>
    </row>
    <row r="6692" spans="3:5" x14ac:dyDescent="0.25">
      <c r="C6692" t="s">
        <v>12111</v>
      </c>
      <c r="D6692" t="s">
        <v>12112</v>
      </c>
      <c r="E6692" t="str">
        <f>HYPERLINK("https://patents.google.com/patent/US7373410B2/en")</f>
        <v>https://patents.google.com/patent/US7373410B2/en</v>
      </c>
    </row>
    <row r="6693" spans="3:5" x14ac:dyDescent="0.25">
      <c r="C6693" t="s">
        <v>12113</v>
      </c>
      <c r="D6693" t="s">
        <v>12114</v>
      </c>
      <c r="E6693" t="str">
        <f>HYPERLINK("https://patents.google.com/patent/US7421153B1/en")</f>
        <v>https://patents.google.com/patent/US7421153B1/en</v>
      </c>
    </row>
    <row r="6694" spans="3:5" x14ac:dyDescent="0.25">
      <c r="C6694" t="s">
        <v>12115</v>
      </c>
      <c r="D6694" t="s">
        <v>12116</v>
      </c>
      <c r="E6694" t="str">
        <f>HYPERLINK("https://patents.google.com/patent/US7792773B2/en")</f>
        <v>https://patents.google.com/patent/US7792773B2/en</v>
      </c>
    </row>
    <row r="6695" spans="3:5" x14ac:dyDescent="0.25">
      <c r="C6695" t="s">
        <v>12117</v>
      </c>
      <c r="D6695" t="s">
        <v>12118</v>
      </c>
      <c r="E6695" t="str">
        <f>HYPERLINK("https://patents.google.com/patent/US20130122910A1/en")</f>
        <v>https://patents.google.com/patent/US20130122910A1/en</v>
      </c>
    </row>
    <row r="6696" spans="3:5" x14ac:dyDescent="0.25">
      <c r="C6696" t="s">
        <v>11045</v>
      </c>
      <c r="D6696" t="s">
        <v>12119</v>
      </c>
      <c r="E6696" t="str">
        <f>HYPERLINK("https://patents.google.com/patent/US6922455B2/en")</f>
        <v>https://patents.google.com/patent/US6922455B2/en</v>
      </c>
    </row>
    <row r="6697" spans="3:5" x14ac:dyDescent="0.25">
      <c r="C6697" t="s">
        <v>12120</v>
      </c>
      <c r="D6697" t="s">
        <v>12121</v>
      </c>
      <c r="E6697" t="str">
        <f>HYPERLINK("https://patents.google.com/patent/US20160099963A1/en")</f>
        <v>https://patents.google.com/patent/US20160099963A1/en</v>
      </c>
    </row>
    <row r="6698" spans="3:5" x14ac:dyDescent="0.25">
      <c r="C6698" t="s">
        <v>12122</v>
      </c>
      <c r="D6698" t="s">
        <v>12123</v>
      </c>
      <c r="E6698" t="str">
        <f>HYPERLINK("https://patents.google.com/patent/US7780081B1/en")</f>
        <v>https://patents.google.com/patent/US7780081B1/en</v>
      </c>
    </row>
    <row r="6699" spans="3:5" x14ac:dyDescent="0.25">
      <c r="C6699" t="s">
        <v>12124</v>
      </c>
      <c r="D6699" t="s">
        <v>12125</v>
      </c>
      <c r="E6699" t="str">
        <f>HYPERLINK("https://patents.google.com/patent/US8856600B2/en")</f>
        <v>https://patents.google.com/patent/US8856600B2/en</v>
      </c>
    </row>
    <row r="6700" spans="3:5" x14ac:dyDescent="0.25">
      <c r="C6700" t="s">
        <v>12126</v>
      </c>
      <c r="D6700" t="s">
        <v>12127</v>
      </c>
      <c r="E6700" t="str">
        <f>HYPERLINK("https://patents.google.com/patent/US20040088646A1/en")</f>
        <v>https://patents.google.com/patent/US20040088646A1/en</v>
      </c>
    </row>
    <row r="6701" spans="3:5" x14ac:dyDescent="0.25">
      <c r="C6701" t="s">
        <v>12128</v>
      </c>
      <c r="D6701" t="s">
        <v>12129</v>
      </c>
      <c r="E6701" t="str">
        <f>HYPERLINK("https://patents.google.com/patent/US20130166332A1/en")</f>
        <v>https://patents.google.com/patent/US20130166332A1/en</v>
      </c>
    </row>
    <row r="6702" spans="3:5" x14ac:dyDescent="0.25">
      <c r="C6702" t="s">
        <v>12130</v>
      </c>
      <c r="D6702" t="s">
        <v>12131</v>
      </c>
      <c r="E6702" t="str">
        <f>HYPERLINK("https://patents.google.com/patent/US8087067B2/en")</f>
        <v>https://patents.google.com/patent/US8087067B2/en</v>
      </c>
    </row>
    <row r="6703" spans="3:5" x14ac:dyDescent="0.25">
      <c r="C6703" t="s">
        <v>12132</v>
      </c>
      <c r="D6703" t="s">
        <v>12133</v>
      </c>
      <c r="E6703" t="str">
        <f>HYPERLINK("https://patents.google.com/patent/US8959579B2/en")</f>
        <v>https://patents.google.com/patent/US8959579B2/en</v>
      </c>
    </row>
    <row r="6704" spans="3:5" x14ac:dyDescent="0.25">
      <c r="C6704" t="s">
        <v>12134</v>
      </c>
      <c r="D6704" t="s">
        <v>12135</v>
      </c>
      <c r="E6704" t="str">
        <f>HYPERLINK("https://patents.google.com/patent/US20130006848A1/en")</f>
        <v>https://patents.google.com/patent/US20130006848A1/en</v>
      </c>
    </row>
    <row r="6705" spans="3:5" x14ac:dyDescent="0.25">
      <c r="C6705" t="s">
        <v>12136</v>
      </c>
      <c r="D6705" t="s">
        <v>12137</v>
      </c>
      <c r="E6705" t="str">
        <f>HYPERLINK("https://patents.google.com/patent/US20080280588A1/en")</f>
        <v>https://patents.google.com/patent/US20080280588A1/en</v>
      </c>
    </row>
    <row r="6706" spans="3:5" x14ac:dyDescent="0.25">
      <c r="C6706" t="s">
        <v>12138</v>
      </c>
      <c r="D6706" t="s">
        <v>12139</v>
      </c>
      <c r="E6706" t="str">
        <f>HYPERLINK("https://patents.google.com/patent/US8505959B2/en")</f>
        <v>https://patents.google.com/patent/US8505959B2/en</v>
      </c>
    </row>
    <row r="6707" spans="3:5" x14ac:dyDescent="0.25">
      <c r="C6707" t="s">
        <v>12140</v>
      </c>
      <c r="D6707" t="s">
        <v>12141</v>
      </c>
      <c r="E6707" t="str">
        <f>HYPERLINK("https://patents.google.com/patent/US5394959A/en")</f>
        <v>https://patents.google.com/patent/US5394959A/en</v>
      </c>
    </row>
    <row r="6708" spans="3:5" x14ac:dyDescent="0.25">
      <c r="C6708" t="s">
        <v>12142</v>
      </c>
      <c r="D6708" t="s">
        <v>12143</v>
      </c>
      <c r="E6708" t="str">
        <f>HYPERLINK("https://patents.google.com/patent/WO2005002321A2/en")</f>
        <v>https://patents.google.com/patent/WO2005002321A2/en</v>
      </c>
    </row>
    <row r="6709" spans="3:5" x14ac:dyDescent="0.25">
      <c r="C6709" t="s">
        <v>12144</v>
      </c>
      <c r="D6709" t="s">
        <v>12145</v>
      </c>
      <c r="E6709" t="str">
        <f>HYPERLINK("https://patents.google.com/patent/US9124650B2/en")</f>
        <v>https://patents.google.com/patent/US9124650B2/en</v>
      </c>
    </row>
    <row r="6710" spans="3:5" x14ac:dyDescent="0.25">
      <c r="C6710" t="s">
        <v>12146</v>
      </c>
      <c r="D6710" t="s">
        <v>12147</v>
      </c>
      <c r="E6710" t="str">
        <f>HYPERLINK("https://patents.google.com/patent/US8103783B2/en")</f>
        <v>https://patents.google.com/patent/US8103783B2/en</v>
      </c>
    </row>
    <row r="6711" spans="3:5" x14ac:dyDescent="0.25">
      <c r="C6711" t="s">
        <v>12148</v>
      </c>
      <c r="D6711" t="s">
        <v>12149</v>
      </c>
      <c r="E6711" t="str">
        <f>HYPERLINK("https://patents.google.com/patent/US20110010543A1/en")</f>
        <v>https://patents.google.com/patent/US20110010543A1/en</v>
      </c>
    </row>
    <row r="6712" spans="3:5" x14ac:dyDescent="0.25">
      <c r="C6712" t="s">
        <v>12150</v>
      </c>
      <c r="D6712" t="s">
        <v>12151</v>
      </c>
      <c r="E6712" t="str">
        <f>HYPERLINK("https://patents.google.com/patent/US20040088369A1/en")</f>
        <v>https://patents.google.com/patent/US20040088369A1/en</v>
      </c>
    </row>
    <row r="6713" spans="3:5" x14ac:dyDescent="0.25">
      <c r="C6713" t="s">
        <v>12152</v>
      </c>
      <c r="D6713" t="s">
        <v>12153</v>
      </c>
      <c r="E6713" t="str">
        <f>HYPERLINK("https://patents.google.com/patent/US20040088347A1/en")</f>
        <v>https://patents.google.com/patent/US20040088347A1/en</v>
      </c>
    </row>
    <row r="6714" spans="3:5" x14ac:dyDescent="0.25">
      <c r="C6714" t="s">
        <v>12154</v>
      </c>
      <c r="D6714" t="s">
        <v>12155</v>
      </c>
      <c r="E6714" t="str">
        <f>HYPERLINK("https://patents.google.com/patent/US20060149671A1/en")</f>
        <v>https://patents.google.com/patent/US20060149671A1/en</v>
      </c>
    </row>
    <row r="6715" spans="3:5" x14ac:dyDescent="0.25">
      <c r="C6715" t="s">
        <v>12156</v>
      </c>
      <c r="D6715" t="s">
        <v>12157</v>
      </c>
      <c r="E6715" t="str">
        <f>HYPERLINK("https://patents.google.com/patent/US20030228910A1/en")</f>
        <v>https://patents.google.com/patent/US20030228910A1/en</v>
      </c>
    </row>
    <row r="6716" spans="3:5" x14ac:dyDescent="0.25">
      <c r="C6716" t="s">
        <v>12158</v>
      </c>
      <c r="D6716" t="s">
        <v>12159</v>
      </c>
      <c r="E6716" t="str">
        <f>HYPERLINK("https://patents.google.com/patent/US20030079145A1/en")</f>
        <v>https://patents.google.com/patent/US20030079145A1/en</v>
      </c>
    </row>
    <row r="6717" spans="3:5" x14ac:dyDescent="0.25">
      <c r="C6717" t="s">
        <v>12160</v>
      </c>
      <c r="D6717" t="s">
        <v>12161</v>
      </c>
      <c r="E6717" t="str">
        <f>HYPERLINK("https://patents.google.com/patent/US9298715B2/en")</f>
        <v>https://patents.google.com/patent/US9298715B2/en</v>
      </c>
    </row>
    <row r="6718" spans="3:5" x14ac:dyDescent="0.25">
      <c r="C6718" t="s">
        <v>12162</v>
      </c>
      <c r="D6718" t="s">
        <v>12163</v>
      </c>
      <c r="E6718" t="str">
        <f>HYPERLINK("https://patents.google.com/patent/US20050141706A1/en")</f>
        <v>https://patents.google.com/patent/US20050141706A1/en</v>
      </c>
    </row>
    <row r="6719" spans="3:5" x14ac:dyDescent="0.25">
      <c r="C6719" t="s">
        <v>12164</v>
      </c>
      <c r="D6719" t="s">
        <v>12165</v>
      </c>
      <c r="E6719" t="str">
        <f>HYPERLINK("https://patents.google.com/patent/US20040221163A1/en")</f>
        <v>https://patents.google.com/patent/US20040221163A1/en</v>
      </c>
    </row>
    <row r="6720" spans="3:5" x14ac:dyDescent="0.25">
      <c r="C6720" t="s">
        <v>12166</v>
      </c>
      <c r="D6720" t="s">
        <v>12167</v>
      </c>
      <c r="E6720" t="str">
        <f>HYPERLINK("https://patents.google.com/patent/US20070047719A1/en")</f>
        <v>https://patents.google.com/patent/US20070047719A1/en</v>
      </c>
    </row>
    <row r="6721" spans="3:5" x14ac:dyDescent="0.25">
      <c r="C6721" t="s">
        <v>12168</v>
      </c>
      <c r="D6721" t="s">
        <v>12169</v>
      </c>
      <c r="E6721" t="str">
        <f>HYPERLINK("https://patents.google.com/patent/US20050251533A1/en")</f>
        <v>https://patents.google.com/patent/US20050251533A1/en</v>
      </c>
    </row>
    <row r="6722" spans="3:5" x14ac:dyDescent="0.25">
      <c r="C6722" t="s">
        <v>12170</v>
      </c>
      <c r="D6722" t="s">
        <v>12171</v>
      </c>
      <c r="E6722" t="str">
        <f>HYPERLINK("https://patents.google.com/patent/US20020169605A1/en")</f>
        <v>https://patents.google.com/patent/US20020169605A1/en</v>
      </c>
    </row>
    <row r="6723" spans="3:5" x14ac:dyDescent="0.25">
      <c r="C6723" t="s">
        <v>12172</v>
      </c>
      <c r="D6723" t="s">
        <v>12173</v>
      </c>
      <c r="E6723" t="str">
        <f>HYPERLINK("https://patents.google.com/patent/US20080229025A1/en")</f>
        <v>https://patents.google.com/patent/US20080229025A1/en</v>
      </c>
    </row>
    <row r="6724" spans="3:5" x14ac:dyDescent="0.25">
      <c r="C6724" t="s">
        <v>12174</v>
      </c>
      <c r="D6724" t="s">
        <v>12175</v>
      </c>
      <c r="E6724" t="str">
        <f>HYPERLINK("https://patents.google.com/patent/US20050078660A1/en")</f>
        <v>https://patents.google.com/patent/US20050078660A1/en</v>
      </c>
    </row>
    <row r="6725" spans="3:5" x14ac:dyDescent="0.25">
      <c r="C6725" t="s">
        <v>10919</v>
      </c>
      <c r="D6725" t="s">
        <v>12176</v>
      </c>
      <c r="E6725" t="str">
        <f>HYPERLINK("https://patents.google.com/patent/WO2014158766A1/en")</f>
        <v>https://patents.google.com/patent/WO2014158766A1/en</v>
      </c>
    </row>
    <row r="6726" spans="3:5" x14ac:dyDescent="0.25">
      <c r="C6726" t="s">
        <v>12177</v>
      </c>
      <c r="D6726" t="s">
        <v>12178</v>
      </c>
      <c r="E6726" t="str">
        <f>HYPERLINK("https://patents.google.com/patent/US20040019638A1/en")</f>
        <v>https://patents.google.com/patent/US20040019638A1/en</v>
      </c>
    </row>
    <row r="6727" spans="3:5" x14ac:dyDescent="0.25">
      <c r="C6727" t="s">
        <v>12179</v>
      </c>
      <c r="D6727" t="s">
        <v>12180</v>
      </c>
      <c r="E6727" t="str">
        <f>HYPERLINK("https://patents.google.com/patent/US20080228864A1/en")</f>
        <v>https://patents.google.com/patent/US20080228864A1/en</v>
      </c>
    </row>
    <row r="6728" spans="3:5" x14ac:dyDescent="0.25">
      <c r="C6728" t="s">
        <v>10950</v>
      </c>
      <c r="D6728" t="s">
        <v>12181</v>
      </c>
      <c r="E6728" t="str">
        <f>HYPERLINK("https://patents.google.com/patent/US20040132495A1/en")</f>
        <v>https://patents.google.com/patent/US20040132495A1/en</v>
      </c>
    </row>
    <row r="6729" spans="3:5" x14ac:dyDescent="0.25">
      <c r="C6729" t="s">
        <v>12182</v>
      </c>
      <c r="D6729" t="s">
        <v>12183</v>
      </c>
      <c r="E6729" t="str">
        <f>HYPERLINK("https://patents.google.com/patent/US20050288961A1/en")</f>
        <v>https://patents.google.com/patent/US20050288961A1/en</v>
      </c>
    </row>
    <row r="6730" spans="3:5" x14ac:dyDescent="0.25">
      <c r="C6730" t="s">
        <v>12184</v>
      </c>
      <c r="D6730" t="s">
        <v>12185</v>
      </c>
      <c r="E6730" t="str">
        <f>HYPERLINK("https://patents.google.com/patent/US20110197237A1/en")</f>
        <v>https://patents.google.com/patent/US20110197237A1/en</v>
      </c>
    </row>
    <row r="6731" spans="3:5" x14ac:dyDescent="0.25">
      <c r="C6731" t="s">
        <v>12186</v>
      </c>
      <c r="D6731" t="s">
        <v>12187</v>
      </c>
      <c r="E6731" t="str">
        <f>HYPERLINK("https://patents.google.com/patent/US20030153338A1/en")</f>
        <v>https://patents.google.com/patent/US20030153338A1/en</v>
      </c>
    </row>
    <row r="6732" spans="3:5" x14ac:dyDescent="0.25">
      <c r="C6732" t="s">
        <v>12188</v>
      </c>
      <c r="D6732" t="s">
        <v>12189</v>
      </c>
      <c r="E6732" t="str">
        <f>HYPERLINK("https://patents.google.com/patent/US20020013832A1/en")</f>
        <v>https://patents.google.com/patent/US20020013832A1/en</v>
      </c>
    </row>
    <row r="6733" spans="3:5" x14ac:dyDescent="0.25">
      <c r="C6733" t="s">
        <v>12190</v>
      </c>
      <c r="D6733" t="s">
        <v>12191</v>
      </c>
      <c r="E6733" t="str">
        <f>HYPERLINK("https://patents.google.com/patent/US20170079059A1/en")</f>
        <v>https://patents.google.com/patent/US20170079059A1/en</v>
      </c>
    </row>
    <row r="6734" spans="3:5" x14ac:dyDescent="0.25">
      <c r="C6734" t="s">
        <v>12192</v>
      </c>
      <c r="D6734" t="s">
        <v>12193</v>
      </c>
      <c r="E6734" t="str">
        <f>HYPERLINK("https://patents.google.com/patent/US20140196056A1/en")</f>
        <v>https://patents.google.com/patent/US20140196056A1/en</v>
      </c>
    </row>
    <row r="6735" spans="3:5" x14ac:dyDescent="0.25">
      <c r="C6735" t="s">
        <v>12194</v>
      </c>
      <c r="D6735" t="s">
        <v>12195</v>
      </c>
      <c r="E6735" t="str">
        <f>HYPERLINK("https://patents.google.com/patent/US20070100978A1/en")</f>
        <v>https://patents.google.com/patent/US20070100978A1/en</v>
      </c>
    </row>
    <row r="6736" spans="3:5" x14ac:dyDescent="0.25">
      <c r="C6736" t="s">
        <v>12196</v>
      </c>
      <c r="D6736" t="s">
        <v>12197</v>
      </c>
      <c r="E6736" t="str">
        <f>HYPERLINK("https://patents.google.com/patent/US20130347103A1/en")</f>
        <v>https://patents.google.com/patent/US20130347103A1/en</v>
      </c>
    </row>
    <row r="6737" spans="3:5" x14ac:dyDescent="0.25">
      <c r="C6737" t="s">
        <v>12198</v>
      </c>
      <c r="D6737" t="s">
        <v>12199</v>
      </c>
      <c r="E6737" t="str">
        <f>HYPERLINK("https://patents.google.com/patent/US20130343408A1/en")</f>
        <v>https://patents.google.com/patent/US20130343408A1/en</v>
      </c>
    </row>
    <row r="6738" spans="3:5" x14ac:dyDescent="0.25">
      <c r="C6738" t="s">
        <v>12200</v>
      </c>
      <c r="D6738" t="s">
        <v>12201</v>
      </c>
      <c r="E6738" t="str">
        <f>HYPERLINK("https://patents.google.com/patent/US20120066065A1/en")</f>
        <v>https://patents.google.com/patent/US20120066065A1/en</v>
      </c>
    </row>
    <row r="6739" spans="3:5" x14ac:dyDescent="0.25">
      <c r="C6739" t="s">
        <v>12202</v>
      </c>
      <c r="D6739" t="s">
        <v>12203</v>
      </c>
      <c r="E6739" t="str">
        <f>HYPERLINK("https://patents.google.com/patent/US20140047560A1/en")</f>
        <v>https://patents.google.com/patent/US20140047560A1/en</v>
      </c>
    </row>
    <row r="6740" spans="3:5" x14ac:dyDescent="0.25">
      <c r="C6740" t="s">
        <v>12204</v>
      </c>
      <c r="D6740" t="s">
        <v>12205</v>
      </c>
      <c r="E6740" t="str">
        <f>HYPERLINK("https://patents.google.com/patent/US20140248941A1/en")</f>
        <v>https://patents.google.com/patent/US20140248941A1/en</v>
      </c>
    </row>
    <row r="6741" spans="3:5" x14ac:dyDescent="0.25">
      <c r="C6741" t="s">
        <v>12206</v>
      </c>
      <c r="D6741" t="s">
        <v>12207</v>
      </c>
      <c r="E6741" t="str">
        <f>HYPERLINK("https://patents.google.com/patent/US20160087933A1/en")</f>
        <v>https://patents.google.com/patent/US20160087933A1/en</v>
      </c>
    </row>
    <row r="6742" spans="3:5" x14ac:dyDescent="0.25">
      <c r="C6742" t="s">
        <v>12208</v>
      </c>
      <c r="D6742" t="s">
        <v>12209</v>
      </c>
      <c r="E6742" t="str">
        <f>HYPERLINK("https://patents.google.com/patent/US20110264905A1/en")</f>
        <v>https://patents.google.com/patent/US20110264905A1/en</v>
      </c>
    </row>
    <row r="6743" spans="3:5" x14ac:dyDescent="0.25">
      <c r="C6743" t="s">
        <v>12210</v>
      </c>
      <c r="D6743" t="s">
        <v>12211</v>
      </c>
      <c r="E6743" t="str">
        <f>HYPERLINK("https://patents.google.com/patent/US20070206621A1/en")</f>
        <v>https://patents.google.com/patent/US20070206621A1/en</v>
      </c>
    </row>
    <row r="6744" spans="3:5" x14ac:dyDescent="0.25">
      <c r="C6744" t="s">
        <v>12212</v>
      </c>
      <c r="D6744" t="s">
        <v>12213</v>
      </c>
      <c r="E6744" t="str">
        <f>HYPERLINK("https://patents.google.com/patent/US20100242092A1/en")</f>
        <v>https://patents.google.com/patent/US20100242092A1/en</v>
      </c>
    </row>
    <row r="6745" spans="3:5" x14ac:dyDescent="0.25">
      <c r="C6745" t="s">
        <v>12214</v>
      </c>
      <c r="D6745" t="s">
        <v>12215</v>
      </c>
      <c r="E6745" t="str">
        <f>HYPERLINK("https://patents.google.com/patent/US20080195761A1/en")</f>
        <v>https://patents.google.com/patent/US20080195761A1/en</v>
      </c>
    </row>
    <row r="6746" spans="3:5" x14ac:dyDescent="0.25">
      <c r="C6746" t="s">
        <v>12216</v>
      </c>
      <c r="D6746" t="s">
        <v>12217</v>
      </c>
      <c r="E6746" t="str">
        <f>HYPERLINK("https://patents.google.com/patent/US20120284712A1/en")</f>
        <v>https://patents.google.com/patent/US20120284712A1/en</v>
      </c>
    </row>
    <row r="6747" spans="3:5" x14ac:dyDescent="0.25">
      <c r="C6747" t="s">
        <v>12218</v>
      </c>
      <c r="D6747" t="s">
        <v>12219</v>
      </c>
      <c r="E6747" t="str">
        <f>HYPERLINK("https://patents.google.com/patent/US20070206497A1/en")</f>
        <v>https://patents.google.com/patent/US20070206497A1/en</v>
      </c>
    </row>
    <row r="6748" spans="3:5" x14ac:dyDescent="0.25">
      <c r="C6748" t="s">
        <v>12220</v>
      </c>
      <c r="D6748" t="s">
        <v>12221</v>
      </c>
      <c r="E6748" t="str">
        <f>HYPERLINK("https://patents.google.com/patent/US20080229137A1/en")</f>
        <v>https://patents.google.com/patent/US20080229137A1/en</v>
      </c>
    </row>
    <row r="6749" spans="3:5" x14ac:dyDescent="0.25">
      <c r="C6749" t="s">
        <v>12222</v>
      </c>
      <c r="D6749" t="s">
        <v>12223</v>
      </c>
      <c r="E6749" t="str">
        <f>HYPERLINK("https://patents.google.com/patent/US20100121972A1/en")</f>
        <v>https://patents.google.com/patent/US20100121972A1/en</v>
      </c>
    </row>
    <row r="6750" spans="3:5" x14ac:dyDescent="0.25">
      <c r="C6750" t="s">
        <v>12224</v>
      </c>
      <c r="D6750" t="s">
        <v>12225</v>
      </c>
      <c r="E6750" t="str">
        <f>HYPERLINK("https://patents.google.com/patent/US20080229024A1/en")</f>
        <v>https://patents.google.com/patent/US20080229024A1/en</v>
      </c>
    </row>
    <row r="6751" spans="3:5" x14ac:dyDescent="0.25">
      <c r="C6751" t="s">
        <v>12226</v>
      </c>
      <c r="D6751" t="s">
        <v>12227</v>
      </c>
      <c r="E6751" t="str">
        <f>HYPERLINK("https://patents.google.com/patent/US20140282470A1/en")</f>
        <v>https://patents.google.com/patent/US20140282470A1/en</v>
      </c>
    </row>
    <row r="6752" spans="3:5" x14ac:dyDescent="0.25">
      <c r="C6752" t="s">
        <v>12228</v>
      </c>
      <c r="D6752" t="s">
        <v>12229</v>
      </c>
      <c r="E6752" t="str">
        <f>HYPERLINK("https://patents.google.com/patent/US20110154443A1/en")</f>
        <v>https://patents.google.com/patent/US20110154443A1/en</v>
      </c>
    </row>
    <row r="6753" spans="3:5" x14ac:dyDescent="0.25">
      <c r="C6753" t="s">
        <v>12230</v>
      </c>
      <c r="D6753" t="s">
        <v>12231</v>
      </c>
      <c r="E6753" t="str">
        <f>HYPERLINK("https://patents.google.com/patent/US20120057456A1/en")</f>
        <v>https://patents.google.com/patent/US20120057456A1/en</v>
      </c>
    </row>
    <row r="6754" spans="3:5" x14ac:dyDescent="0.25">
      <c r="C6754" t="s">
        <v>12232</v>
      </c>
      <c r="D6754" t="s">
        <v>12233</v>
      </c>
      <c r="E6754" t="str">
        <f>HYPERLINK("https://patents.google.com/patent/US20110225312A1/en")</f>
        <v>https://patents.google.com/patent/US20110225312A1/en</v>
      </c>
    </row>
    <row r="6755" spans="3:5" x14ac:dyDescent="0.25">
      <c r="C6755" t="s">
        <v>12234</v>
      </c>
      <c r="D6755" t="s">
        <v>12235</v>
      </c>
      <c r="E6755" t="str">
        <f>HYPERLINK("https://patents.google.com/patent/US20170011210A1/en")</f>
        <v>https://patents.google.com/patent/US20170011210A1/en</v>
      </c>
    </row>
    <row r="6756" spans="3:5" x14ac:dyDescent="0.25">
      <c r="C6756" t="s">
        <v>12236</v>
      </c>
      <c r="D6756" t="s">
        <v>12237</v>
      </c>
      <c r="E6756" t="str">
        <f>HYPERLINK("https://patents.google.com/patent/US20040148336A1/en")</f>
        <v>https://patents.google.com/patent/US20040148336A1/en</v>
      </c>
    </row>
    <row r="6757" spans="3:5" x14ac:dyDescent="0.25">
      <c r="C6757" t="s">
        <v>12238</v>
      </c>
      <c r="D6757" t="s">
        <v>12239</v>
      </c>
      <c r="E6757" t="str">
        <f>HYPERLINK("https://patents.google.com/patent/US20130346987A1/en")</f>
        <v>https://patents.google.com/patent/US20130346987A1/en</v>
      </c>
    </row>
    <row r="6758" spans="3:5" x14ac:dyDescent="0.25">
      <c r="C6758" t="s">
        <v>12240</v>
      </c>
      <c r="D6758" t="s">
        <v>12241</v>
      </c>
      <c r="E6758" t="str">
        <f>HYPERLINK("https://patents.google.com/patent/US20130343181A1/en")</f>
        <v>https://patents.google.com/patent/US20130343181A1/en</v>
      </c>
    </row>
    <row r="6759" spans="3:5" x14ac:dyDescent="0.25">
      <c r="C6759" t="s">
        <v>12232</v>
      </c>
      <c r="D6759" t="s">
        <v>12242</v>
      </c>
      <c r="E6759" t="str">
        <f>HYPERLINK("https://patents.google.com/patent/US20110225311A1/en")</f>
        <v>https://patents.google.com/patent/US20110225311A1/en</v>
      </c>
    </row>
    <row r="6760" spans="3:5" x14ac:dyDescent="0.25">
      <c r="C6760" t="s">
        <v>12243</v>
      </c>
      <c r="D6760" t="s">
        <v>12244</v>
      </c>
      <c r="E6760" t="str">
        <f>HYPERLINK("https://patents.google.com/patent/US20100150718A1/en")</f>
        <v>https://patents.google.com/patent/US20100150718A1/en</v>
      </c>
    </row>
    <row r="6761" spans="3:5" x14ac:dyDescent="0.25">
      <c r="C6761" t="s">
        <v>12245</v>
      </c>
      <c r="D6761" t="s">
        <v>12246</v>
      </c>
      <c r="E6761" t="str">
        <f>HYPERLINK("https://patents.google.com/patent/US20130104236A1/en")</f>
        <v>https://patents.google.com/patent/US20130104236A1/en</v>
      </c>
    </row>
    <row r="6762" spans="3:5" x14ac:dyDescent="0.25">
      <c r="C6762" t="s">
        <v>12247</v>
      </c>
      <c r="D6762" t="s">
        <v>12248</v>
      </c>
      <c r="E6762" t="str">
        <f>HYPERLINK("https://patents.google.com/patent/US20100133046A1/en")</f>
        <v>https://patents.google.com/patent/US20100133046A1/en</v>
      </c>
    </row>
    <row r="6763" spans="3:5" x14ac:dyDescent="0.25">
      <c r="C6763" t="s">
        <v>12249</v>
      </c>
      <c r="D6763" t="s">
        <v>12250</v>
      </c>
      <c r="E6763" t="str">
        <f>HYPERLINK("https://patents.google.com/patent/US20120327797A1/en")</f>
        <v>https://patents.google.com/patent/US20120327797A1/en</v>
      </c>
    </row>
    <row r="6764" spans="3:5" x14ac:dyDescent="0.25">
      <c r="C6764" t="s">
        <v>12251</v>
      </c>
      <c r="D6764" t="s">
        <v>12252</v>
      </c>
      <c r="E6764" t="str">
        <f>HYPERLINK("https://patents.google.com/patent/US20070294387A1/en")</f>
        <v>https://patents.google.com/patent/US20070294387A1/en</v>
      </c>
    </row>
    <row r="6765" spans="3:5" x14ac:dyDescent="0.25">
      <c r="C6765" t="s">
        <v>12253</v>
      </c>
      <c r="D6765" t="s">
        <v>12254</v>
      </c>
      <c r="E6765" t="str">
        <f>HYPERLINK("https://patents.google.com/patent/US20090027495A1/en")</f>
        <v>https://patents.google.com/patent/US20090027495A1/en</v>
      </c>
    </row>
    <row r="6766" spans="3:5" x14ac:dyDescent="0.25">
      <c r="C6766" t="s">
        <v>12255</v>
      </c>
      <c r="D6766" t="s">
        <v>12256</v>
      </c>
      <c r="E6766" t="str">
        <f>HYPERLINK("https://patents.google.com/patent/US20030233574A1/en")</f>
        <v>https://patents.google.com/patent/US20030233574A1/en</v>
      </c>
    </row>
    <row r="6767" spans="3:5" x14ac:dyDescent="0.25">
      <c r="C6767" t="s">
        <v>12257</v>
      </c>
      <c r="D6767" t="s">
        <v>12258</v>
      </c>
      <c r="E6767" t="str">
        <f>HYPERLINK("https://patents.google.com/patent/US20140344446A1/en")</f>
        <v>https://patents.google.com/patent/US20140344446A1/en</v>
      </c>
    </row>
    <row r="6768" spans="3:5" x14ac:dyDescent="0.25">
      <c r="C6768" t="s">
        <v>12259</v>
      </c>
      <c r="D6768" t="s">
        <v>12260</v>
      </c>
      <c r="E6768" t="str">
        <f>HYPERLINK("https://patents.google.com/patent/US20090143128A1/en")</f>
        <v>https://patents.google.com/patent/US20090143128A1/en</v>
      </c>
    </row>
    <row r="6769" spans="3:5" x14ac:dyDescent="0.25">
      <c r="C6769" t="s">
        <v>12261</v>
      </c>
      <c r="D6769" t="s">
        <v>12262</v>
      </c>
      <c r="E6769" t="str">
        <f>HYPERLINK("https://patents.google.com/patent/US20070206615A1/en")</f>
        <v>https://patents.google.com/patent/US20070206615A1/en</v>
      </c>
    </row>
    <row r="6770" spans="3:5" x14ac:dyDescent="0.25">
      <c r="C6770" t="s">
        <v>12263</v>
      </c>
      <c r="D6770" t="s">
        <v>12264</v>
      </c>
      <c r="E6770" t="str">
        <f>HYPERLINK("https://patents.google.com/patent/US20100241694A1/en")</f>
        <v>https://patents.google.com/patent/US20100241694A1/en</v>
      </c>
    </row>
    <row r="6771" spans="3:5" x14ac:dyDescent="0.25">
      <c r="C6771" t="s">
        <v>12265</v>
      </c>
      <c r="D6771" t="s">
        <v>12266</v>
      </c>
      <c r="E6771" t="str">
        <f>HYPERLINK("https://patents.google.com/patent/US20080225721A1/en")</f>
        <v>https://patents.google.com/patent/US20080225721A1/en</v>
      </c>
    </row>
    <row r="6772" spans="3:5" x14ac:dyDescent="0.25">
      <c r="C6772" t="s">
        <v>12267</v>
      </c>
      <c r="D6772" t="s">
        <v>12268</v>
      </c>
      <c r="E6772" t="str">
        <f>HYPERLINK("https://patents.google.com/patent/US20140020083A1/en")</f>
        <v>https://patents.google.com/patent/US20140020083A1/en</v>
      </c>
    </row>
    <row r="6773" spans="3:5" x14ac:dyDescent="0.25">
      <c r="C6773" t="s">
        <v>12269</v>
      </c>
      <c r="D6773" t="s">
        <v>12270</v>
      </c>
      <c r="E6773" t="str">
        <f>HYPERLINK("https://patents.google.com/patent/US20170069214A1/en")</f>
        <v>https://patents.google.com/patent/US20170069214A1/en</v>
      </c>
    </row>
    <row r="6774" spans="3:5" x14ac:dyDescent="0.25">
      <c r="C6774" t="s">
        <v>12271</v>
      </c>
      <c r="D6774" t="s">
        <v>12272</v>
      </c>
      <c r="E6774" t="str">
        <f>HYPERLINK("https://patents.google.com/patent/US7099949B1/en")</f>
        <v>https://patents.google.com/patent/US7099949B1/en</v>
      </c>
    </row>
    <row r="6775" spans="3:5" x14ac:dyDescent="0.25">
      <c r="C6775" t="s">
        <v>12273</v>
      </c>
      <c r="D6775" t="s">
        <v>12274</v>
      </c>
      <c r="E6775" t="str">
        <f>HYPERLINK("https://patents.google.com/patent/US20070288310A1/en")</f>
        <v>https://patents.google.com/patent/US20070288310A1/en</v>
      </c>
    </row>
    <row r="6776" spans="3:5" x14ac:dyDescent="0.25">
      <c r="C6776" t="s">
        <v>12275</v>
      </c>
      <c r="D6776" t="s">
        <v>12276</v>
      </c>
      <c r="E6776" t="str">
        <f>HYPERLINK("https://patents.google.com/patent/US20110246298A1/en")</f>
        <v>https://patents.google.com/patent/US20110246298A1/en</v>
      </c>
    </row>
    <row r="6777" spans="3:5" x14ac:dyDescent="0.25">
      <c r="C6777" t="s">
        <v>12277</v>
      </c>
      <c r="D6777" t="s">
        <v>12278</v>
      </c>
      <c r="E6777" t="str">
        <f>HYPERLINK("https://patents.google.com/patent/US6701980B2/en")</f>
        <v>https://patents.google.com/patent/US6701980B2/en</v>
      </c>
    </row>
    <row r="6778" spans="3:5" x14ac:dyDescent="0.25">
      <c r="C6778" t="s">
        <v>12279</v>
      </c>
      <c r="D6778" t="s">
        <v>12280</v>
      </c>
      <c r="E6778" t="str">
        <f>HYPERLINK("https://patents.google.com/patent/US20080225728A1/en")</f>
        <v>https://patents.google.com/patent/US20080225728A1/en</v>
      </c>
    </row>
    <row r="6779" spans="3:5" x14ac:dyDescent="0.25">
      <c r="C6779" t="s">
        <v>12281</v>
      </c>
      <c r="D6779" t="s">
        <v>12282</v>
      </c>
      <c r="E6779" t="str">
        <f>HYPERLINK("https://patents.google.com/patent/CN104091375A/en")</f>
        <v>https://patents.google.com/patent/CN104091375A/en</v>
      </c>
    </row>
    <row r="6780" spans="3:5" x14ac:dyDescent="0.25">
      <c r="C6780" t="s">
        <v>12283</v>
      </c>
      <c r="D6780" t="s">
        <v>12284</v>
      </c>
      <c r="E6780" t="str">
        <f>HYPERLINK("https://patents.google.com/patent/US20130053657A1/en")</f>
        <v>https://patents.google.com/patent/US20130053657A1/en</v>
      </c>
    </row>
    <row r="6781" spans="3:5" x14ac:dyDescent="0.25">
      <c r="C6781" t="s">
        <v>12285</v>
      </c>
      <c r="D6781" t="s">
        <v>12286</v>
      </c>
      <c r="E6781" t="str">
        <f>HYPERLINK("https://patents.google.com/patent/US20120023558A1/en")</f>
        <v>https://patents.google.com/patent/US20120023558A1/en</v>
      </c>
    </row>
    <row r="6782" spans="3:5" x14ac:dyDescent="0.25">
      <c r="C6782" t="s">
        <v>12287</v>
      </c>
      <c r="D6782" t="s">
        <v>12288</v>
      </c>
      <c r="E6782" t="str">
        <f>HYPERLINK("https://patents.google.com/patent/US2714281A/en")</f>
        <v>https://patents.google.com/patent/US2714281A/en</v>
      </c>
    </row>
    <row r="6783" spans="3:5" x14ac:dyDescent="0.25">
      <c r="C6783" t="s">
        <v>12289</v>
      </c>
      <c r="D6783" t="s">
        <v>12290</v>
      </c>
      <c r="E6783" t="str">
        <f>HYPERLINK("https://patents.google.com/patent/CN101315731A/en")</f>
        <v>https://patents.google.com/patent/CN101315731A/en</v>
      </c>
    </row>
    <row r="6784" spans="3:5" x14ac:dyDescent="0.25">
      <c r="C6784" t="s">
        <v>12291</v>
      </c>
      <c r="D6784" t="s">
        <v>12292</v>
      </c>
      <c r="E6784" t="str">
        <f>HYPERLINK("https://patents.google.com/patent/US8467354B1/en")</f>
        <v>https://patents.google.com/patent/US8467354B1/en</v>
      </c>
    </row>
    <row r="6785" spans="3:5" x14ac:dyDescent="0.25">
      <c r="C6785" t="s">
        <v>12293</v>
      </c>
      <c r="D6785" t="s">
        <v>12294</v>
      </c>
      <c r="E6785" t="str">
        <f>HYPERLINK("https://patents.google.com/patent/US20110282949A1/en")</f>
        <v>https://patents.google.com/patent/US20110282949A1/en</v>
      </c>
    </row>
    <row r="6786" spans="3:5" x14ac:dyDescent="0.25">
      <c r="C6786" t="s">
        <v>12295</v>
      </c>
      <c r="D6786" t="s">
        <v>12296</v>
      </c>
      <c r="E6786" t="str">
        <f>HYPERLINK("https://patents.google.com/patent/US20100153082A1/en")</f>
        <v>https://patents.google.com/patent/US20100153082A1/en</v>
      </c>
    </row>
    <row r="6787" spans="3:5" x14ac:dyDescent="0.25">
      <c r="C6787" t="s">
        <v>12297</v>
      </c>
      <c r="D6787" t="s">
        <v>12298</v>
      </c>
      <c r="E6787" t="str">
        <f>HYPERLINK("https://patents.google.com/patent/US20100235514A1/en")</f>
        <v>https://patents.google.com/patent/US20100235514A1/en</v>
      </c>
    </row>
    <row r="6788" spans="3:5" x14ac:dyDescent="0.25">
      <c r="C6788" t="s">
        <v>10758</v>
      </c>
      <c r="D6788" t="s">
        <v>12299</v>
      </c>
      <c r="E6788" t="str">
        <f>HYPERLINK("https://patents.google.com/patent/US20100189251A1/en")</f>
        <v>https://patents.google.com/patent/US20100189251A1/en</v>
      </c>
    </row>
    <row r="6789" spans="3:5" x14ac:dyDescent="0.25">
      <c r="C6789" t="s">
        <v>12300</v>
      </c>
      <c r="D6789" t="s">
        <v>12301</v>
      </c>
      <c r="E6789" t="str">
        <f>HYPERLINK("https://patents.google.com/patent/US5050603A/en")</f>
        <v>https://patents.google.com/patent/US5050603A/en</v>
      </c>
    </row>
    <row r="6790" spans="3:5" x14ac:dyDescent="0.25">
      <c r="C6790" t="s">
        <v>12302</v>
      </c>
      <c r="D6790" t="s">
        <v>12303</v>
      </c>
      <c r="E6790" t="str">
        <f>HYPERLINK("https://patents.google.com/patent/US20160254889A1/en")</f>
        <v>https://patents.google.com/patent/US20160254889A1/en</v>
      </c>
    </row>
    <row r="6791" spans="3:5" x14ac:dyDescent="0.25">
      <c r="C6791" t="s">
        <v>12304</v>
      </c>
      <c r="D6791" t="s">
        <v>12305</v>
      </c>
      <c r="E6791" t="str">
        <f>HYPERLINK("https://patents.google.com/patent/CN104023085A/en")</f>
        <v>https://patents.google.com/patent/CN104023085A/en</v>
      </c>
    </row>
    <row r="6792" spans="3:5" x14ac:dyDescent="0.25">
      <c r="C6792" t="s">
        <v>12306</v>
      </c>
      <c r="D6792" t="s">
        <v>12307</v>
      </c>
      <c r="E6792" t="str">
        <f>HYPERLINK("https://patents.google.com/patent/US20140233620A1/en")</f>
        <v>https://patents.google.com/patent/US20140233620A1/en</v>
      </c>
    </row>
    <row r="6793" spans="3:5" x14ac:dyDescent="0.25">
      <c r="C6793" t="s">
        <v>12308</v>
      </c>
      <c r="D6793" t="s">
        <v>12309</v>
      </c>
      <c r="E6793" t="str">
        <f>HYPERLINK("https://patents.google.com/patent/US20090076368A1/en")</f>
        <v>https://patents.google.com/patent/US20090076368A1/en</v>
      </c>
    </row>
    <row r="6794" spans="3:5" x14ac:dyDescent="0.25">
      <c r="C6794" t="s">
        <v>12310</v>
      </c>
      <c r="D6794" t="s">
        <v>12311</v>
      </c>
      <c r="E6794" t="str">
        <f>HYPERLINK("https://patents.google.com/patent/US20080229020A1/en")</f>
        <v>https://patents.google.com/patent/US20080229020A1/en</v>
      </c>
    </row>
    <row r="6795" spans="3:5" x14ac:dyDescent="0.25">
      <c r="C6795" t="s">
        <v>12312</v>
      </c>
      <c r="D6795" t="s">
        <v>12313</v>
      </c>
      <c r="E6795" t="str">
        <f>HYPERLINK("https://patents.google.com/patent/US20130246944A1/en")</f>
        <v>https://patents.google.com/patent/US20130246944A1/en</v>
      </c>
    </row>
    <row r="6796" spans="3:5" x14ac:dyDescent="0.25">
      <c r="C6796" t="s">
        <v>12314</v>
      </c>
      <c r="D6796" t="s">
        <v>12315</v>
      </c>
      <c r="E6796" t="str">
        <f>HYPERLINK("https://patents.google.com/patent/US20100095021A1/en")</f>
        <v>https://patents.google.com/patent/US20100095021A1/en</v>
      </c>
    </row>
    <row r="6797" spans="3:5" x14ac:dyDescent="0.25">
      <c r="C6797" t="s">
        <v>12316</v>
      </c>
      <c r="D6797" t="s">
        <v>12317</v>
      </c>
      <c r="E6797" t="str">
        <f>HYPERLINK("https://patents.google.com/patent/US7702187B2/en")</f>
        <v>https://patents.google.com/patent/US7702187B2/en</v>
      </c>
    </row>
    <row r="6798" spans="3:5" x14ac:dyDescent="0.25">
      <c r="C6798" t="s">
        <v>12318</v>
      </c>
      <c r="D6798" t="s">
        <v>12319</v>
      </c>
      <c r="E6798" t="str">
        <f>HYPERLINK("https://patents.google.com/patent/US20130211628A1/en")</f>
        <v>https://patents.google.com/patent/US20130211628A1/en</v>
      </c>
    </row>
    <row r="6799" spans="3:5" x14ac:dyDescent="0.25">
      <c r="C6799" t="s">
        <v>12320</v>
      </c>
      <c r="D6799" t="s">
        <v>12321</v>
      </c>
      <c r="E6799" t="str">
        <f>HYPERLINK("https://patents.google.com/patent/US20070204329A1/en")</f>
        <v>https://patents.google.com/patent/US20070204329A1/en</v>
      </c>
    </row>
    <row r="6800" spans="3:5" x14ac:dyDescent="0.25">
      <c r="C6800" t="s">
        <v>12322</v>
      </c>
      <c r="D6800" t="s">
        <v>12323</v>
      </c>
      <c r="E6800" t="str">
        <f>HYPERLINK("https://patents.google.com/patent/US20050071348A1/en")</f>
        <v>https://patents.google.com/patent/US20050071348A1/en</v>
      </c>
    </row>
    <row r="6801" spans="3:5" x14ac:dyDescent="0.25">
      <c r="C6801" t="s">
        <v>12324</v>
      </c>
      <c r="D6801" t="s">
        <v>12325</v>
      </c>
      <c r="E6801" t="str">
        <f>HYPERLINK("https://patents.google.com/patent/US20160085810A1/en")</f>
        <v>https://patents.google.com/patent/US20160085810A1/en</v>
      </c>
    </row>
    <row r="6802" spans="3:5" x14ac:dyDescent="0.25">
      <c r="C6802" t="s">
        <v>12326</v>
      </c>
      <c r="D6802" t="s">
        <v>12327</v>
      </c>
      <c r="E6802" t="str">
        <f>HYPERLINK("https://patents.google.com/patent/US20130346719A1/en")</f>
        <v>https://patents.google.com/patent/US20130346719A1/en</v>
      </c>
    </row>
    <row r="6803" spans="3:5" x14ac:dyDescent="0.25">
      <c r="C6803" t="s">
        <v>12328</v>
      </c>
      <c r="D6803" t="s">
        <v>12329</v>
      </c>
      <c r="E6803" t="str">
        <f>HYPERLINK("https://patents.google.com/patent/US20120029998A1/en")</f>
        <v>https://patents.google.com/patent/US20120029998A1/en</v>
      </c>
    </row>
    <row r="6804" spans="3:5" x14ac:dyDescent="0.25">
      <c r="C6804" t="s">
        <v>12330</v>
      </c>
      <c r="D6804" t="s">
        <v>12331</v>
      </c>
      <c r="E6804" t="str">
        <f>HYPERLINK("https://patents.google.com/patent/US20140089191A1/en")</f>
        <v>https://patents.google.com/patent/US20140089191A1/en</v>
      </c>
    </row>
    <row r="6805" spans="3:5" x14ac:dyDescent="0.25">
      <c r="C6805" t="s">
        <v>12332</v>
      </c>
      <c r="D6805" t="s">
        <v>12333</v>
      </c>
      <c r="E6805" t="str">
        <f>HYPERLINK("https://patents.google.com/patent/US20150111575A1/en")</f>
        <v>https://patents.google.com/patent/US20150111575A1/en</v>
      </c>
    </row>
    <row r="6806" spans="3:5" x14ac:dyDescent="0.25">
      <c r="C6806" t="s">
        <v>12334</v>
      </c>
      <c r="D6806" t="s">
        <v>12335</v>
      </c>
      <c r="E6806" t="str">
        <f>HYPERLINK("https://patents.google.com/patent/US20140101306A1/en")</f>
        <v>https://patents.google.com/patent/US20140101306A1/en</v>
      </c>
    </row>
    <row r="6807" spans="3:5" x14ac:dyDescent="0.25">
      <c r="C6807" t="s">
        <v>12336</v>
      </c>
      <c r="D6807" t="s">
        <v>12337</v>
      </c>
      <c r="E6807" t="str">
        <f>HYPERLINK("https://patents.google.com/patent/US20130204876A1/en")</f>
        <v>https://patents.google.com/patent/US20130204876A1/en</v>
      </c>
    </row>
    <row r="6808" spans="3:5" x14ac:dyDescent="0.25">
      <c r="C6808" t="s">
        <v>10802</v>
      </c>
      <c r="D6808" t="s">
        <v>12338</v>
      </c>
      <c r="E6808" t="str">
        <f>HYPERLINK("https://patents.google.com/patent/WO1999013426A1/en")</f>
        <v>https://patents.google.com/patent/WO1999013426A1/en</v>
      </c>
    </row>
    <row r="6809" spans="3:5" x14ac:dyDescent="0.25">
      <c r="C6809" t="s">
        <v>12339</v>
      </c>
      <c r="D6809" t="s">
        <v>12340</v>
      </c>
      <c r="E6809" t="str">
        <f>HYPERLINK("https://patents.google.com/patent/CN102638475A/en")</f>
        <v>https://patents.google.com/patent/CN102638475A/en</v>
      </c>
    </row>
    <row r="6810" spans="3:5" x14ac:dyDescent="0.25">
      <c r="C6810" t="s">
        <v>12341</v>
      </c>
      <c r="D6810" t="s">
        <v>12342</v>
      </c>
      <c r="E6810" t="str">
        <f>HYPERLINK("https://patents.google.com/patent/US20100205543A1/en")</f>
        <v>https://patents.google.com/patent/US20100205543A1/en</v>
      </c>
    </row>
    <row r="6811" spans="3:5" x14ac:dyDescent="0.25">
      <c r="C6811" t="s">
        <v>12343</v>
      </c>
      <c r="D6811" t="s">
        <v>12344</v>
      </c>
      <c r="E6811" t="str">
        <f>HYPERLINK("https://patents.google.com/patent/US20150331422A1/en")</f>
        <v>https://patents.google.com/patent/US20150331422A1/en</v>
      </c>
    </row>
    <row r="6812" spans="3:5" x14ac:dyDescent="0.25">
      <c r="C6812" t="s">
        <v>12345</v>
      </c>
      <c r="D6812" t="s">
        <v>12346</v>
      </c>
      <c r="E6812" t="str">
        <f>HYPERLINK("https://patents.google.com/patent/US20100318451A1/en")</f>
        <v>https://patents.google.com/patent/US20100318451A1/en</v>
      </c>
    </row>
    <row r="6813" spans="3:5" x14ac:dyDescent="0.25">
      <c r="C6813" t="s">
        <v>12347</v>
      </c>
      <c r="D6813" t="s">
        <v>12348</v>
      </c>
      <c r="E6813" t="str">
        <f>HYPERLINK("https://patents.google.com/patent/CN101308468A/en")</f>
        <v>https://patents.google.com/patent/CN101308468A/en</v>
      </c>
    </row>
    <row r="6814" spans="3:5" x14ac:dyDescent="0.25">
      <c r="C6814" t="s">
        <v>12349</v>
      </c>
      <c r="D6814" t="s">
        <v>12350</v>
      </c>
      <c r="E6814" t="str">
        <f>HYPERLINK("https://patents.google.com/patent/US20130151314A1/en")</f>
        <v>https://patents.google.com/patent/US20130151314A1/en</v>
      </c>
    </row>
    <row r="6815" spans="3:5" x14ac:dyDescent="0.25">
      <c r="C6815" t="s">
        <v>12351</v>
      </c>
      <c r="D6815" t="s">
        <v>12352</v>
      </c>
      <c r="E6815" t="str">
        <f>HYPERLINK("https://patents.google.com/patent/CN102539911A/en")</f>
        <v>https://patents.google.com/patent/CN102539911A/en</v>
      </c>
    </row>
    <row r="6816" spans="3:5" x14ac:dyDescent="0.25">
      <c r="C6816" t="s">
        <v>12353</v>
      </c>
      <c r="D6816" t="s">
        <v>12354</v>
      </c>
      <c r="E6816" t="str">
        <f>HYPERLINK("https://patents.google.com/patent/CN101395602A/en")</f>
        <v>https://patents.google.com/patent/CN101395602A/en</v>
      </c>
    </row>
    <row r="6817" spans="3:5" x14ac:dyDescent="0.25">
      <c r="C6817" t="s">
        <v>12355</v>
      </c>
      <c r="D6817" t="s">
        <v>12356</v>
      </c>
      <c r="E6817" t="str">
        <f>HYPERLINK("https://patents.google.com/patent/US20140145620A1/en")</f>
        <v>https://patents.google.com/patent/US20140145620A1/en</v>
      </c>
    </row>
    <row r="6818" spans="3:5" x14ac:dyDescent="0.25">
      <c r="C6818" t="s">
        <v>12357</v>
      </c>
      <c r="D6818" t="s">
        <v>12358</v>
      </c>
      <c r="E6818" t="str">
        <f>HYPERLINK("https://patents.google.com/patent/US20140368109A1/en")</f>
        <v>https://patents.google.com/patent/US20140368109A1/en</v>
      </c>
    </row>
    <row r="6819" spans="3:5" x14ac:dyDescent="0.25">
      <c r="C6819" t="s">
        <v>12359</v>
      </c>
      <c r="D6819" t="s">
        <v>12360</v>
      </c>
      <c r="E6819" t="str">
        <f>HYPERLINK("https://patents.google.com/patent/US20130225152A1/en")</f>
        <v>https://patents.google.com/patent/US20130225152A1/en</v>
      </c>
    </row>
    <row r="6820" spans="3:5" x14ac:dyDescent="0.25">
      <c r="C6820" t="s">
        <v>12361</v>
      </c>
      <c r="D6820" t="s">
        <v>12362</v>
      </c>
      <c r="E6820" t="str">
        <f>HYPERLINK("https://patents.google.com/patent/US20140145621A1/en")</f>
        <v>https://patents.google.com/patent/US20140145621A1/en</v>
      </c>
    </row>
    <row r="6821" spans="3:5" x14ac:dyDescent="0.25">
      <c r="C6821" t="s">
        <v>12363</v>
      </c>
      <c r="D6821" t="s">
        <v>12364</v>
      </c>
      <c r="E6821" t="str">
        <f>HYPERLINK("https://patents.google.com/patent/WO2014082039A1/en")</f>
        <v>https://patents.google.com/patent/WO2014082039A1/en</v>
      </c>
    </row>
    <row r="6822" spans="3:5" x14ac:dyDescent="0.25">
      <c r="C6822" t="s">
        <v>12365</v>
      </c>
      <c r="D6822" t="s">
        <v>12366</v>
      </c>
      <c r="E6822" t="str">
        <f>HYPERLINK("https://patents.google.com/patent/CN103414761A/en")</f>
        <v>https://patents.google.com/patent/CN103414761A/en</v>
      </c>
    </row>
    <row r="6823" spans="3:5" x14ac:dyDescent="0.25">
      <c r="C6823" t="s">
        <v>12367</v>
      </c>
      <c r="D6823" t="s">
        <v>12368</v>
      </c>
      <c r="E6823" t="str">
        <f>HYPERLINK("https://patents.google.com/patent/US20130213038A1/en")</f>
        <v>https://patents.google.com/patent/US20130213038A1/en</v>
      </c>
    </row>
    <row r="6824" spans="3:5" x14ac:dyDescent="0.25">
      <c r="C6824" t="s">
        <v>12369</v>
      </c>
      <c r="D6824" t="s">
        <v>12370</v>
      </c>
      <c r="E6824" t="str">
        <f>HYPERLINK("https://patents.google.com/patent/US20150066231A1/en")</f>
        <v>https://patents.google.com/patent/US20150066231A1/en</v>
      </c>
    </row>
    <row r="6825" spans="3:5" x14ac:dyDescent="0.25">
      <c r="C6825" t="s">
        <v>12371</v>
      </c>
      <c r="D6825" t="s">
        <v>12372</v>
      </c>
      <c r="E6825" t="str">
        <f>HYPERLINK("https://patents.google.com/patent/US20100222125A1/en")</f>
        <v>https://patents.google.com/patent/US20100222125A1/en</v>
      </c>
    </row>
    <row r="6826" spans="3:5" x14ac:dyDescent="0.25">
      <c r="C6826" t="s">
        <v>12373</v>
      </c>
      <c r="D6826" t="s">
        <v>12374</v>
      </c>
      <c r="E6826" t="str">
        <f>HYPERLINK("https://patents.google.com/patent/US20140297206A1/en")</f>
        <v>https://patents.google.com/patent/US20140297206A1/en</v>
      </c>
    </row>
    <row r="6827" spans="3:5" x14ac:dyDescent="0.25">
      <c r="C6827" t="s">
        <v>12375</v>
      </c>
      <c r="D6827" t="s">
        <v>12376</v>
      </c>
      <c r="E6827" t="str">
        <f>HYPERLINK("https://patents.google.com/patent/US20130116044A1/en")</f>
        <v>https://patents.google.com/patent/US20130116044A1/en</v>
      </c>
    </row>
    <row r="6828" spans="3:5" x14ac:dyDescent="0.25">
      <c r="C6828" t="s">
        <v>12164</v>
      </c>
      <c r="D6828" t="s">
        <v>12377</v>
      </c>
      <c r="E6828" t="str">
        <f>HYPERLINK("https://patents.google.com/patent/WO2004099940A2/en")</f>
        <v>https://patents.google.com/patent/WO2004099940A2/en</v>
      </c>
    </row>
    <row r="6829" spans="3:5" x14ac:dyDescent="0.25">
      <c r="C6829" t="s">
        <v>12378</v>
      </c>
      <c r="D6829" t="s">
        <v>12379</v>
      </c>
      <c r="E6829" t="str">
        <f>HYPERLINK("https://patents.google.com/patent/US20120230345A1/en")</f>
        <v>https://patents.google.com/patent/US20120230345A1/en</v>
      </c>
    </row>
    <row r="6830" spans="3:5" x14ac:dyDescent="0.25">
      <c r="C6830" t="s">
        <v>12380</v>
      </c>
      <c r="D6830" t="s">
        <v>12381</v>
      </c>
      <c r="E6830" t="str">
        <f>HYPERLINK("https://patents.google.com/patent/US20130343207A1/en")</f>
        <v>https://patents.google.com/patent/US20130343207A1/en</v>
      </c>
    </row>
    <row r="6831" spans="3:5" x14ac:dyDescent="0.25">
      <c r="C6831" t="s">
        <v>12382</v>
      </c>
      <c r="D6831" t="s">
        <v>12383</v>
      </c>
      <c r="E6831" t="str">
        <f>HYPERLINK("https://patents.google.com/patent/CN101093578B/en")</f>
        <v>https://patents.google.com/patent/CN101093578B/en</v>
      </c>
    </row>
    <row r="6832" spans="3:5" x14ac:dyDescent="0.25">
      <c r="C6832" t="s">
        <v>12384</v>
      </c>
      <c r="D6832" t="s">
        <v>12385</v>
      </c>
      <c r="E6832" t="str">
        <f>HYPERLINK("https://patents.google.com/patent/US20160286629A1/en")</f>
        <v>https://patents.google.com/patent/US20160286629A1/en</v>
      </c>
    </row>
    <row r="6833" spans="1:5" x14ac:dyDescent="0.25">
      <c r="C6833" t="s">
        <v>12386</v>
      </c>
      <c r="D6833" t="s">
        <v>12387</v>
      </c>
      <c r="E6833" t="str">
        <f>HYPERLINK("https://patents.google.com/patent/US20110191442A1/en")</f>
        <v>https://patents.google.com/patent/US20110191442A1/en</v>
      </c>
    </row>
    <row r="6834" spans="1:5" x14ac:dyDescent="0.25">
      <c r="C6834" t="s">
        <v>12388</v>
      </c>
      <c r="D6834" t="s">
        <v>12389</v>
      </c>
      <c r="E6834" t="str">
        <f>HYPERLINK("https://patents.google.com/patent/CN1612562A/en")</f>
        <v>https://patents.google.com/patent/CN1612562A/en</v>
      </c>
    </row>
    <row r="6835" spans="1:5" x14ac:dyDescent="0.25">
      <c r="C6835" t="s">
        <v>12390</v>
      </c>
      <c r="D6835" t="s">
        <v>12391</v>
      </c>
      <c r="E6835" t="str">
        <f>HYPERLINK("https://patents.google.com/patent/US20160212012A1/en")</f>
        <v>https://patents.google.com/patent/US20160212012A1/en</v>
      </c>
    </row>
    <row r="6836" spans="1:5" x14ac:dyDescent="0.25">
      <c r="C6836" t="s">
        <v>12392</v>
      </c>
      <c r="D6836" t="s">
        <v>12393</v>
      </c>
      <c r="E6836" t="str">
        <f>HYPERLINK("https://patents.google.com/patent/US20110173247A1/en")</f>
        <v>https://patents.google.com/patent/US20110173247A1/en</v>
      </c>
    </row>
    <row r="6837" spans="1:5" x14ac:dyDescent="0.25">
      <c r="C6837" t="s">
        <v>12394</v>
      </c>
      <c r="D6837" t="s">
        <v>12395</v>
      </c>
      <c r="E6837" t="str">
        <f>HYPERLINK("https://patents.google.com/patent/US20140145615A1/en")</f>
        <v>https://patents.google.com/patent/US20140145615A1/en</v>
      </c>
    </row>
    <row r="6838" spans="1:5" x14ac:dyDescent="0.25">
      <c r="C6838" t="s">
        <v>12396</v>
      </c>
      <c r="D6838" t="s">
        <v>12397</v>
      </c>
      <c r="E6838" t="str">
        <f>HYPERLINK("https://patents.google.com/patent/US20120144828A1/en")</f>
        <v>https://patents.google.com/patent/US20120144828A1/en</v>
      </c>
    </row>
    <row r="6839" spans="1:5" x14ac:dyDescent="0.25">
      <c r="C6839" t="s">
        <v>12398</v>
      </c>
      <c r="D6839" t="s">
        <v>12399</v>
      </c>
      <c r="E6839" t="str">
        <f>HYPERLINK("https://patents.google.com/patent/US20160085809A1/en")</f>
        <v>https://patents.google.com/patent/US20160085809A1/en</v>
      </c>
    </row>
    <row r="6840" spans="1:5" x14ac:dyDescent="0.25">
      <c r="C6840" t="s">
        <v>12400</v>
      </c>
      <c r="D6840" t="s">
        <v>12401</v>
      </c>
      <c r="E6840" t="str">
        <f>HYPERLINK("https://patents.google.com/patent/US20130197968A1/en")</f>
        <v>https://patents.google.com/patent/US20130197968A1/en</v>
      </c>
    </row>
    <row r="6841" spans="1:5" x14ac:dyDescent="0.25">
      <c r="C6841" t="s">
        <v>12402</v>
      </c>
      <c r="D6841" t="s">
        <v>12403</v>
      </c>
      <c r="E6841" t="str">
        <f>HYPERLINK("https://patents.google.com/patent/US20100294877A1/en")</f>
        <v>https://patents.google.com/patent/US20100294877A1/en</v>
      </c>
    </row>
    <row r="6842" spans="1:5" x14ac:dyDescent="0.25">
      <c r="C6842" t="s">
        <v>12404</v>
      </c>
      <c r="D6842" t="s">
        <v>12405</v>
      </c>
      <c r="E6842" t="str">
        <f>HYPERLINK("https://patents.google.com/patent/WO2006026673A2/en")</f>
        <v>https://patents.google.com/patent/WO2006026673A2/en</v>
      </c>
    </row>
    <row r="6843" spans="1:5" x14ac:dyDescent="0.25">
      <c r="C6843" t="s">
        <v>12406</v>
      </c>
      <c r="D6843" t="s">
        <v>12407</v>
      </c>
      <c r="E6843" t="str">
        <f>HYPERLINK("https://patents.google.com/patent/US20170024912A1/en")</f>
        <v>https://patents.google.com/patent/US20170024912A1/en</v>
      </c>
    </row>
    <row r="6844" spans="1:5" x14ac:dyDescent="0.25">
      <c r="C6844" t="s">
        <v>12408</v>
      </c>
      <c r="D6844" t="s">
        <v>12409</v>
      </c>
      <c r="E6844" t="str">
        <f>HYPERLINK("https://patents.google.com/patent/CN101795333A/en")</f>
        <v>https://patents.google.com/patent/CN101795333A/en</v>
      </c>
    </row>
    <row r="6845" spans="1:5" x14ac:dyDescent="0.25">
      <c r="C6845" t="s">
        <v>12410</v>
      </c>
      <c r="D6845" t="s">
        <v>12411</v>
      </c>
      <c r="E6845" t="str">
        <f>HYPERLINK("https://patents.google.com/patent/US9010002B2/en")</f>
        <v>https://patents.google.com/patent/US9010002B2/en</v>
      </c>
    </row>
    <row r="6846" spans="1:5" x14ac:dyDescent="0.25">
      <c r="C6846" t="s">
        <v>12412</v>
      </c>
      <c r="D6846" t="s">
        <v>12413</v>
      </c>
      <c r="E6846" t="str">
        <f>HYPERLINK("https://patents.google.com/patent/US20150058950A1/en")</f>
        <v>https://patents.google.com/patent/US20150058950A1/en</v>
      </c>
    </row>
    <row r="6847" spans="1:5" x14ac:dyDescent="0.25">
      <c r="A6847" t="s">
        <v>1336</v>
      </c>
      <c r="B6847">
        <v>616</v>
      </c>
    </row>
    <row r="6848" spans="1:5" x14ac:dyDescent="0.25">
      <c r="C6848" t="s">
        <v>12414</v>
      </c>
      <c r="D6848" t="s">
        <v>12415</v>
      </c>
      <c r="E6848" t="str">
        <f>HYPERLINK("https://patents.google.com/patent/CN106542030A/en")</f>
        <v>https://patents.google.com/patent/CN106542030A/en</v>
      </c>
    </row>
    <row r="6849" spans="3:5" x14ac:dyDescent="0.25">
      <c r="C6849" t="s">
        <v>12416</v>
      </c>
      <c r="D6849" t="s">
        <v>12417</v>
      </c>
      <c r="E6849" t="str">
        <f>HYPERLINK("https://patents.google.com/patent/US7744331B2/en")</f>
        <v>https://patents.google.com/patent/US7744331B2/en</v>
      </c>
    </row>
    <row r="6850" spans="3:5" x14ac:dyDescent="0.25">
      <c r="C6850" t="s">
        <v>12418</v>
      </c>
      <c r="D6850" t="s">
        <v>12419</v>
      </c>
      <c r="E6850" t="str">
        <f>HYPERLINK("https://patents.google.com/patent/CN108354491A/en")</f>
        <v>https://patents.google.com/patent/CN108354491A/en</v>
      </c>
    </row>
    <row r="6851" spans="3:5" x14ac:dyDescent="0.25">
      <c r="C6851" t="s">
        <v>12420</v>
      </c>
      <c r="D6851" t="s">
        <v>12421</v>
      </c>
      <c r="E6851" t="str">
        <f>HYPERLINK("https://patents.google.com/patent/CN104914871A/en")</f>
        <v>https://patents.google.com/patent/CN104914871A/en</v>
      </c>
    </row>
    <row r="6852" spans="3:5" x14ac:dyDescent="0.25">
      <c r="C6852" t="s">
        <v>12422</v>
      </c>
      <c r="D6852" t="s">
        <v>12423</v>
      </c>
      <c r="E6852" t="str">
        <f>HYPERLINK("https://patents.google.com/patent/CN205346759U/en")</f>
        <v>https://patents.google.com/patent/CN205346759U/en</v>
      </c>
    </row>
    <row r="6853" spans="3:5" x14ac:dyDescent="0.25">
      <c r="C6853" t="s">
        <v>12424</v>
      </c>
      <c r="D6853" t="s">
        <v>12425</v>
      </c>
      <c r="E6853" t="str">
        <f>HYPERLINK("https://patents.google.com/patent/CN207729709U/en")</f>
        <v>https://patents.google.com/patent/CN207729709U/en</v>
      </c>
    </row>
    <row r="6854" spans="3:5" x14ac:dyDescent="0.25">
      <c r="C6854" t="s">
        <v>12426</v>
      </c>
      <c r="D6854" t="s">
        <v>12427</v>
      </c>
      <c r="E6854" t="str">
        <f>HYPERLINK("https://patents.google.com/patent/US3488049A/en")</f>
        <v>https://patents.google.com/patent/US3488049A/en</v>
      </c>
    </row>
    <row r="6855" spans="3:5" x14ac:dyDescent="0.25">
      <c r="C6855" t="s">
        <v>12428</v>
      </c>
      <c r="D6855" t="s">
        <v>12429</v>
      </c>
      <c r="E6855" t="str">
        <f>HYPERLINK("https://patents.google.com/patent/US7020701B1/en")</f>
        <v>https://patents.google.com/patent/US7020701B1/en</v>
      </c>
    </row>
    <row r="6856" spans="3:5" x14ac:dyDescent="0.25">
      <c r="C6856" t="s">
        <v>12430</v>
      </c>
      <c r="D6856" t="s">
        <v>12431</v>
      </c>
      <c r="E6856" t="str">
        <f>HYPERLINK("https://patents.google.com/patent/US5511188A/en")</f>
        <v>https://patents.google.com/patent/US5511188A/en</v>
      </c>
    </row>
    <row r="6857" spans="3:5" x14ac:dyDescent="0.25">
      <c r="C6857" t="s">
        <v>12432</v>
      </c>
      <c r="D6857" t="s">
        <v>12433</v>
      </c>
      <c r="E6857" t="str">
        <f>HYPERLINK("https://patents.google.com/patent/US7027808B2/en")</f>
        <v>https://patents.google.com/patent/US7027808B2/en</v>
      </c>
    </row>
    <row r="6858" spans="3:5" x14ac:dyDescent="0.25">
      <c r="C6858" t="s">
        <v>12434</v>
      </c>
      <c r="D6858" t="s">
        <v>12435</v>
      </c>
      <c r="E6858" t="str">
        <f>HYPERLINK("https://patents.google.com/patent/US4480480A/en")</f>
        <v>https://patents.google.com/patent/US4480480A/en</v>
      </c>
    </row>
    <row r="6859" spans="3:5" x14ac:dyDescent="0.25">
      <c r="C6859" t="s">
        <v>12436</v>
      </c>
      <c r="D6859" t="s">
        <v>12437</v>
      </c>
      <c r="E6859" t="str">
        <f>HYPERLINK("https://patents.google.com/patent/US7511662B2/en")</f>
        <v>https://patents.google.com/patent/US7511662B2/en</v>
      </c>
    </row>
    <row r="6860" spans="3:5" x14ac:dyDescent="0.25">
      <c r="C6860" t="s">
        <v>12438</v>
      </c>
      <c r="D6860" t="s">
        <v>12439</v>
      </c>
      <c r="E6860" t="str">
        <f>HYPERLINK("https://patents.google.com/patent/US6735630B1/en")</f>
        <v>https://patents.google.com/patent/US6735630B1/en</v>
      </c>
    </row>
    <row r="6861" spans="3:5" x14ac:dyDescent="0.25">
      <c r="C6861" t="s">
        <v>11007</v>
      </c>
      <c r="D6861" t="s">
        <v>12440</v>
      </c>
      <c r="E6861" t="str">
        <f>HYPERLINK("https://patents.google.com/patent/US6983317B1/en")</f>
        <v>https://patents.google.com/patent/US6983317B1/en</v>
      </c>
    </row>
    <row r="6862" spans="3:5" x14ac:dyDescent="0.25">
      <c r="C6862" t="s">
        <v>12441</v>
      </c>
      <c r="D6862" t="s">
        <v>12442</v>
      </c>
      <c r="E6862" t="str">
        <f>HYPERLINK("https://patents.google.com/patent/US7797367B1/en")</f>
        <v>https://patents.google.com/patent/US7797367B1/en</v>
      </c>
    </row>
    <row r="6863" spans="3:5" x14ac:dyDescent="0.25">
      <c r="C6863" t="s">
        <v>12443</v>
      </c>
      <c r="D6863" t="s">
        <v>12444</v>
      </c>
      <c r="E6863" t="str">
        <f>HYPERLINK("https://patents.google.com/patent/US8204786B2/en")</f>
        <v>https://patents.google.com/patent/US8204786B2/en</v>
      </c>
    </row>
    <row r="6864" spans="3:5" x14ac:dyDescent="0.25">
      <c r="C6864" t="s">
        <v>12445</v>
      </c>
      <c r="D6864" t="s">
        <v>12446</v>
      </c>
      <c r="E6864" t="str">
        <f>HYPERLINK("https://patents.google.com/patent/US6293121B1/en")</f>
        <v>https://patents.google.com/patent/US6293121B1/en</v>
      </c>
    </row>
    <row r="6865" spans="3:5" x14ac:dyDescent="0.25">
      <c r="C6865" t="s">
        <v>12447</v>
      </c>
      <c r="D6865" t="s">
        <v>12448</v>
      </c>
      <c r="E6865" t="str">
        <f>HYPERLINK("https://patents.google.com/patent/US6729929B1/en")</f>
        <v>https://patents.google.com/patent/US6729929B1/en</v>
      </c>
    </row>
    <row r="6866" spans="3:5" x14ac:dyDescent="0.25">
      <c r="C6866" t="s">
        <v>12449</v>
      </c>
      <c r="D6866" t="s">
        <v>12450</v>
      </c>
      <c r="E6866" t="str">
        <f>HYPERLINK("https://patents.google.com/patent/US5401117A/en")</f>
        <v>https://patents.google.com/patent/US5401117A/en</v>
      </c>
    </row>
    <row r="6867" spans="3:5" x14ac:dyDescent="0.25">
      <c r="C6867" t="s">
        <v>12451</v>
      </c>
      <c r="D6867" t="s">
        <v>12452</v>
      </c>
      <c r="E6867" t="str">
        <f>HYPERLINK("https://patents.google.com/patent/US7143089B2/en")</f>
        <v>https://patents.google.com/patent/US7143089B2/en</v>
      </c>
    </row>
    <row r="6868" spans="3:5" x14ac:dyDescent="0.25">
      <c r="C6868" t="s">
        <v>12453</v>
      </c>
      <c r="D6868" t="s">
        <v>12454</v>
      </c>
      <c r="E6868" t="str">
        <f>HYPERLINK("https://patents.google.com/patent/US6134532A/en")</f>
        <v>https://patents.google.com/patent/US6134532A/en</v>
      </c>
    </row>
    <row r="6869" spans="3:5" x14ac:dyDescent="0.25">
      <c r="C6869" t="s">
        <v>12455</v>
      </c>
      <c r="D6869" t="s">
        <v>12456</v>
      </c>
      <c r="E6869" t="str">
        <f>HYPERLINK("https://patents.google.com/patent/US6826607B1/en")</f>
        <v>https://patents.google.com/patent/US6826607B1/en</v>
      </c>
    </row>
    <row r="6870" spans="3:5" x14ac:dyDescent="0.25">
      <c r="C6870" t="s">
        <v>12457</v>
      </c>
      <c r="D6870" t="s">
        <v>12458</v>
      </c>
      <c r="E6870" t="str">
        <f>HYPERLINK("https://patents.google.com/patent/US4925183A/en")</f>
        <v>https://patents.google.com/patent/US4925183A/en</v>
      </c>
    </row>
    <row r="6871" spans="3:5" x14ac:dyDescent="0.25">
      <c r="C6871" t="s">
        <v>12459</v>
      </c>
      <c r="D6871" t="s">
        <v>12460</v>
      </c>
      <c r="E6871" t="str">
        <f>HYPERLINK("https://patents.google.com/patent/US6832251B1/en")</f>
        <v>https://patents.google.com/patent/US6832251B1/en</v>
      </c>
    </row>
    <row r="6872" spans="3:5" x14ac:dyDescent="0.25">
      <c r="C6872" t="s">
        <v>12461</v>
      </c>
      <c r="D6872" t="s">
        <v>12462</v>
      </c>
      <c r="E6872" t="str">
        <f>HYPERLINK("https://patents.google.com/patent/US7597250B2/en")</f>
        <v>https://patents.google.com/patent/US7597250B2/en</v>
      </c>
    </row>
    <row r="6873" spans="3:5" x14ac:dyDescent="0.25">
      <c r="C6873" t="s">
        <v>12463</v>
      </c>
      <c r="D6873" t="s">
        <v>12464</v>
      </c>
      <c r="E6873" t="str">
        <f>HYPERLINK("https://patents.google.com/patent/US6556942B1/en")</f>
        <v>https://patents.google.com/patent/US6556942B1/en</v>
      </c>
    </row>
    <row r="6874" spans="3:5" x14ac:dyDescent="0.25">
      <c r="C6874" t="s">
        <v>12465</v>
      </c>
      <c r="D6874" t="s">
        <v>12466</v>
      </c>
      <c r="E6874" t="str">
        <f>HYPERLINK("https://patents.google.com/patent/US5913568A/en")</f>
        <v>https://patents.google.com/patent/US5913568A/en</v>
      </c>
    </row>
    <row r="6875" spans="3:5" x14ac:dyDescent="0.25">
      <c r="C6875" t="s">
        <v>12467</v>
      </c>
      <c r="D6875" t="s">
        <v>12468</v>
      </c>
      <c r="E6875" t="str">
        <f>HYPERLINK("https://patents.google.com/patent/US6431296B1/en")</f>
        <v>https://patents.google.com/patent/US6431296B1/en</v>
      </c>
    </row>
    <row r="6876" spans="3:5" x14ac:dyDescent="0.25">
      <c r="C6876" t="s">
        <v>12469</v>
      </c>
      <c r="D6876" t="s">
        <v>12470</v>
      </c>
      <c r="E6876" t="str">
        <f>HYPERLINK("https://patents.google.com/patent/US8200775B2/en")</f>
        <v>https://patents.google.com/patent/US8200775B2/en</v>
      </c>
    </row>
    <row r="6877" spans="3:5" x14ac:dyDescent="0.25">
      <c r="C6877" t="s">
        <v>12471</v>
      </c>
      <c r="D6877" t="s">
        <v>12472</v>
      </c>
      <c r="E6877" t="str">
        <f>HYPERLINK("https://patents.google.com/patent/US6859831B1/en")</f>
        <v>https://patents.google.com/patent/US6859831B1/en</v>
      </c>
    </row>
    <row r="6878" spans="3:5" x14ac:dyDescent="0.25">
      <c r="C6878" t="s">
        <v>12473</v>
      </c>
      <c r="D6878" t="s">
        <v>12474</v>
      </c>
      <c r="E6878" t="str">
        <f>HYPERLINK("https://patents.google.com/patent/US8060017B2/en")</f>
        <v>https://patents.google.com/patent/US8060017B2/en</v>
      </c>
    </row>
    <row r="6879" spans="3:5" x14ac:dyDescent="0.25">
      <c r="C6879" t="s">
        <v>12475</v>
      </c>
      <c r="D6879" t="s">
        <v>12476</v>
      </c>
      <c r="E6879" t="str">
        <f>HYPERLINK("https://patents.google.com/patent/US7055262B2/en")</f>
        <v>https://patents.google.com/patent/US7055262B2/en</v>
      </c>
    </row>
    <row r="6880" spans="3:5" x14ac:dyDescent="0.25">
      <c r="C6880" t="s">
        <v>12477</v>
      </c>
      <c r="D6880" t="s">
        <v>12478</v>
      </c>
      <c r="E6880" t="str">
        <f>HYPERLINK("https://patents.google.com/patent/US7146404B2/en")</f>
        <v>https://patents.google.com/patent/US7146404B2/en</v>
      </c>
    </row>
    <row r="6881" spans="3:5" x14ac:dyDescent="0.25">
      <c r="C6881" t="s">
        <v>12479</v>
      </c>
      <c r="D6881" t="s">
        <v>12480</v>
      </c>
      <c r="E6881" t="str">
        <f>HYPERLINK("https://patents.google.com/patent/CN204124275U/en")</f>
        <v>https://patents.google.com/patent/CN204124275U/en</v>
      </c>
    </row>
    <row r="6882" spans="3:5" x14ac:dyDescent="0.25">
      <c r="C6882" t="s">
        <v>12481</v>
      </c>
      <c r="D6882" t="s">
        <v>12482</v>
      </c>
      <c r="E6882" t="str">
        <f>HYPERLINK("https://patents.google.com/patent/US7798417B2/en")</f>
        <v>https://patents.google.com/patent/US7798417B2/en</v>
      </c>
    </row>
    <row r="6883" spans="3:5" x14ac:dyDescent="0.25">
      <c r="C6883" t="s">
        <v>12483</v>
      </c>
      <c r="D6883" t="s">
        <v>12484</v>
      </c>
      <c r="E6883" t="str">
        <f>HYPERLINK("https://patents.google.com/patent/US5277148A/en")</f>
        <v>https://patents.google.com/patent/US5277148A/en</v>
      </c>
    </row>
    <row r="6884" spans="3:5" x14ac:dyDescent="0.25">
      <c r="C6884" t="s">
        <v>12485</v>
      </c>
      <c r="D6884" t="s">
        <v>12486</v>
      </c>
      <c r="E6884" t="str">
        <f>HYPERLINK("https://patents.google.com/patent/US6953150B2/en")</f>
        <v>https://patents.google.com/patent/US6953150B2/en</v>
      </c>
    </row>
    <row r="6885" spans="3:5" x14ac:dyDescent="0.25">
      <c r="C6885" t="s">
        <v>12449</v>
      </c>
      <c r="D6885" t="s">
        <v>12487</v>
      </c>
      <c r="E6885" t="str">
        <f>HYPERLINK("https://patents.google.com/patent/US5628584A/en")</f>
        <v>https://patents.google.com/patent/US5628584A/en</v>
      </c>
    </row>
    <row r="6886" spans="3:5" x14ac:dyDescent="0.25">
      <c r="C6886" t="s">
        <v>12488</v>
      </c>
      <c r="D6886" t="s">
        <v>12489</v>
      </c>
      <c r="E6886" t="str">
        <f>HYPERLINK("https://patents.google.com/patent/US6536678B2/en")</f>
        <v>https://patents.google.com/patent/US6536678B2/en</v>
      </c>
    </row>
    <row r="6887" spans="3:5" x14ac:dyDescent="0.25">
      <c r="C6887" t="s">
        <v>12490</v>
      </c>
      <c r="D6887" t="s">
        <v>12491</v>
      </c>
      <c r="E6887" t="str">
        <f>HYPERLINK("https://patents.google.com/patent/US7954698B1/en")</f>
        <v>https://patents.google.com/patent/US7954698B1/en</v>
      </c>
    </row>
    <row r="6888" spans="3:5" x14ac:dyDescent="0.25">
      <c r="C6888" t="s">
        <v>12492</v>
      </c>
      <c r="D6888" t="s">
        <v>12493</v>
      </c>
      <c r="E6888" t="str">
        <f>HYPERLINK("https://patents.google.com/patent/US8328420B2/en")</f>
        <v>https://patents.google.com/patent/US8328420B2/en</v>
      </c>
    </row>
    <row r="6889" spans="3:5" x14ac:dyDescent="0.25">
      <c r="C6889" t="s">
        <v>12494</v>
      </c>
      <c r="D6889" t="s">
        <v>12495</v>
      </c>
      <c r="E6889" t="str">
        <f>HYPERLINK("https://patents.google.com/patent/US8032481B2/en")</f>
        <v>https://patents.google.com/patent/US8032481B2/en</v>
      </c>
    </row>
    <row r="6890" spans="3:5" x14ac:dyDescent="0.25">
      <c r="C6890" t="s">
        <v>12496</v>
      </c>
      <c r="D6890" t="s">
        <v>12497</v>
      </c>
      <c r="E6890" t="str">
        <f>HYPERLINK("https://patents.google.com/patent/US5137297A/en")</f>
        <v>https://patents.google.com/patent/US5137297A/en</v>
      </c>
    </row>
    <row r="6891" spans="3:5" x14ac:dyDescent="0.25">
      <c r="C6891" t="s">
        <v>4382</v>
      </c>
      <c r="D6891" t="s">
        <v>12498</v>
      </c>
      <c r="E6891" t="str">
        <f>HYPERLINK("https://patents.google.com/patent/US8807250B2/en")</f>
        <v>https://patents.google.com/patent/US8807250B2/en</v>
      </c>
    </row>
    <row r="6892" spans="3:5" x14ac:dyDescent="0.25">
      <c r="C6892" t="s">
        <v>8194</v>
      </c>
      <c r="D6892" t="s">
        <v>12499</v>
      </c>
      <c r="E6892" t="str">
        <f>HYPERLINK("https://patents.google.com/patent/US8121618B2/en")</f>
        <v>https://patents.google.com/patent/US8121618B2/en</v>
      </c>
    </row>
    <row r="6893" spans="3:5" x14ac:dyDescent="0.25">
      <c r="C6893" t="s">
        <v>12500</v>
      </c>
      <c r="D6893" t="s">
        <v>12501</v>
      </c>
      <c r="E6893" t="str">
        <f>HYPERLINK("https://patents.google.com/patent/US4931028A/en")</f>
        <v>https://patents.google.com/patent/US4931028A/en</v>
      </c>
    </row>
    <row r="6894" spans="3:5" x14ac:dyDescent="0.25">
      <c r="C6894" t="s">
        <v>12502</v>
      </c>
      <c r="D6894" t="s">
        <v>12503</v>
      </c>
      <c r="E6894" t="str">
        <f>HYPERLINK("https://patents.google.com/patent/US6508033B2/en")</f>
        <v>https://patents.google.com/patent/US6508033B2/en</v>
      </c>
    </row>
    <row r="6895" spans="3:5" x14ac:dyDescent="0.25">
      <c r="C6895" t="s">
        <v>12504</v>
      </c>
      <c r="D6895" t="s">
        <v>12505</v>
      </c>
      <c r="E6895" t="str">
        <f>HYPERLINK("https://patents.google.com/patent/US7743683B2/en")</f>
        <v>https://patents.google.com/patent/US7743683B2/en</v>
      </c>
    </row>
    <row r="6896" spans="3:5" x14ac:dyDescent="0.25">
      <c r="C6896" t="s">
        <v>12506</v>
      </c>
      <c r="D6896" t="s">
        <v>12507</v>
      </c>
      <c r="E6896" t="str">
        <f>HYPERLINK("https://patents.google.com/patent/US9049567B2/en")</f>
        <v>https://patents.google.com/patent/US9049567B2/en</v>
      </c>
    </row>
    <row r="6897" spans="3:5" x14ac:dyDescent="0.25">
      <c r="C6897" t="s">
        <v>12508</v>
      </c>
      <c r="D6897" t="s">
        <v>12509</v>
      </c>
      <c r="E6897" t="str">
        <f>HYPERLINK("https://patents.google.com/patent/US7886021B2/en")</f>
        <v>https://patents.google.com/patent/US7886021B2/en</v>
      </c>
    </row>
    <row r="6898" spans="3:5" x14ac:dyDescent="0.25">
      <c r="C6898" t="s">
        <v>12510</v>
      </c>
      <c r="D6898" t="s">
        <v>12511</v>
      </c>
      <c r="E6898" t="str">
        <f>HYPERLINK("https://patents.google.com/patent/CN104192247A/en")</f>
        <v>https://patents.google.com/patent/CN104192247A/en</v>
      </c>
    </row>
    <row r="6899" spans="3:5" x14ac:dyDescent="0.25">
      <c r="C6899" t="s">
        <v>12512</v>
      </c>
      <c r="D6899" t="s">
        <v>12513</v>
      </c>
      <c r="E6899" t="str">
        <f>HYPERLINK("https://patents.google.com/patent/US8320708B2/en")</f>
        <v>https://patents.google.com/patent/US8320708B2/en</v>
      </c>
    </row>
    <row r="6900" spans="3:5" x14ac:dyDescent="0.25">
      <c r="C6900" t="s">
        <v>12514</v>
      </c>
      <c r="D6900" t="s">
        <v>12515</v>
      </c>
      <c r="E6900" t="str">
        <f>HYPERLINK("https://patents.google.com/patent/US8831279B2/en")</f>
        <v>https://patents.google.com/patent/US8831279B2/en</v>
      </c>
    </row>
    <row r="6901" spans="3:5" x14ac:dyDescent="0.25">
      <c r="C6901" t="s">
        <v>12516</v>
      </c>
      <c r="D6901" t="s">
        <v>12517</v>
      </c>
      <c r="E6901" t="str">
        <f>HYPERLINK("https://patents.google.com/patent/US6568348B1/en")</f>
        <v>https://patents.google.com/patent/US6568348B1/en</v>
      </c>
    </row>
    <row r="6902" spans="3:5" x14ac:dyDescent="0.25">
      <c r="C6902" t="s">
        <v>12518</v>
      </c>
      <c r="D6902" t="s">
        <v>12519</v>
      </c>
      <c r="E6902" t="str">
        <f>HYPERLINK("https://patents.google.com/patent/US8140279B2/en")</f>
        <v>https://patents.google.com/patent/US8140279B2/en</v>
      </c>
    </row>
    <row r="6903" spans="3:5" x14ac:dyDescent="0.25">
      <c r="C6903" t="s">
        <v>12520</v>
      </c>
      <c r="D6903" t="s">
        <v>12521</v>
      </c>
      <c r="E6903" t="str">
        <f>HYPERLINK("https://patents.google.com/patent/RU2282888C2/en")</f>
        <v>https://patents.google.com/patent/RU2282888C2/en</v>
      </c>
    </row>
    <row r="6904" spans="3:5" x14ac:dyDescent="0.25">
      <c r="C6904" t="s">
        <v>12492</v>
      </c>
      <c r="D6904" t="s">
        <v>12522</v>
      </c>
      <c r="E6904" t="str">
        <f>HYPERLINK("https://patents.google.com/patent/US8849379B2/en")</f>
        <v>https://patents.google.com/patent/US8849379B2/en</v>
      </c>
    </row>
    <row r="6905" spans="3:5" x14ac:dyDescent="0.25">
      <c r="C6905" t="s">
        <v>12523</v>
      </c>
      <c r="D6905" t="s">
        <v>12524</v>
      </c>
      <c r="E6905" t="str">
        <f>HYPERLINK("https://patents.google.com/patent/US8510801B2/en")</f>
        <v>https://patents.google.com/patent/US8510801B2/en</v>
      </c>
    </row>
    <row r="6906" spans="3:5" x14ac:dyDescent="0.25">
      <c r="C6906" t="s">
        <v>12525</v>
      </c>
      <c r="D6906" t="s">
        <v>12526</v>
      </c>
      <c r="E6906" t="str">
        <f>HYPERLINK("https://patents.google.com/patent/US7036559B2/en")</f>
        <v>https://patents.google.com/patent/US7036559B2/en</v>
      </c>
    </row>
    <row r="6907" spans="3:5" x14ac:dyDescent="0.25">
      <c r="C6907" t="s">
        <v>12527</v>
      </c>
      <c r="D6907" t="s">
        <v>12528</v>
      </c>
      <c r="E6907" t="str">
        <f>HYPERLINK("https://patents.google.com/patent/US20090286510A1/en")</f>
        <v>https://patents.google.com/patent/US20090286510A1/en</v>
      </c>
    </row>
    <row r="6908" spans="3:5" x14ac:dyDescent="0.25">
      <c r="C6908" t="s">
        <v>12529</v>
      </c>
      <c r="D6908" t="s">
        <v>12530</v>
      </c>
      <c r="E6908" t="str">
        <f>HYPERLINK("https://patents.google.com/patent/US7627142B2/en")</f>
        <v>https://patents.google.com/patent/US7627142B2/en</v>
      </c>
    </row>
    <row r="6909" spans="3:5" x14ac:dyDescent="0.25">
      <c r="C6909" t="s">
        <v>12531</v>
      </c>
      <c r="D6909" t="s">
        <v>12532</v>
      </c>
      <c r="E6909" t="str">
        <f>HYPERLINK("https://patents.google.com/patent/US8688147B2/en")</f>
        <v>https://patents.google.com/patent/US8688147B2/en</v>
      </c>
    </row>
    <row r="6910" spans="3:5" x14ac:dyDescent="0.25">
      <c r="C6910" t="s">
        <v>12533</v>
      </c>
      <c r="D6910" t="s">
        <v>12534</v>
      </c>
      <c r="E6910" t="str">
        <f>HYPERLINK("https://patents.google.com/patent/US7864530B1/en")</f>
        <v>https://patents.google.com/patent/US7864530B1/en</v>
      </c>
    </row>
    <row r="6911" spans="3:5" x14ac:dyDescent="0.25">
      <c r="C6911" t="s">
        <v>12535</v>
      </c>
      <c r="D6911" t="s">
        <v>12536</v>
      </c>
      <c r="E6911" t="str">
        <f>HYPERLINK("https://patents.google.com/patent/US6964176B2/en")</f>
        <v>https://patents.google.com/patent/US6964176B2/en</v>
      </c>
    </row>
    <row r="6912" spans="3:5" x14ac:dyDescent="0.25">
      <c r="C6912" t="s">
        <v>12537</v>
      </c>
      <c r="D6912" t="s">
        <v>12538</v>
      </c>
      <c r="E6912" t="str">
        <f>HYPERLINK("https://patents.google.com/patent/US20160012465A1/en")</f>
        <v>https://patents.google.com/patent/US20160012465A1/en</v>
      </c>
    </row>
    <row r="6913" spans="3:5" x14ac:dyDescent="0.25">
      <c r="C6913" t="s">
        <v>12539</v>
      </c>
      <c r="D6913" t="s">
        <v>12540</v>
      </c>
      <c r="E6913" t="str">
        <f>HYPERLINK("https://patents.google.com/patent/US5951406A/en")</f>
        <v>https://patents.google.com/patent/US5951406A/en</v>
      </c>
    </row>
    <row r="6914" spans="3:5" x14ac:dyDescent="0.25">
      <c r="C6914" t="s">
        <v>12541</v>
      </c>
      <c r="D6914" t="s">
        <v>12542</v>
      </c>
      <c r="E6914" t="str">
        <f>HYPERLINK("https://patents.google.com/patent/US8126496B2/en")</f>
        <v>https://patents.google.com/patent/US8126496B2/en</v>
      </c>
    </row>
    <row r="6915" spans="3:5" x14ac:dyDescent="0.25">
      <c r="C6915" t="s">
        <v>12543</v>
      </c>
      <c r="D6915" t="s">
        <v>12544</v>
      </c>
      <c r="E6915" t="str">
        <f>HYPERLINK("https://patents.google.com/patent/US4516768A/en")</f>
        <v>https://patents.google.com/patent/US4516768A/en</v>
      </c>
    </row>
    <row r="6916" spans="3:5" x14ac:dyDescent="0.25">
      <c r="C6916" t="s">
        <v>12545</v>
      </c>
      <c r="D6916" t="s">
        <v>12546</v>
      </c>
      <c r="E6916" t="str">
        <f>HYPERLINK("https://patents.google.com/patent/US7659915B2/en")</f>
        <v>https://patents.google.com/patent/US7659915B2/en</v>
      </c>
    </row>
    <row r="6917" spans="3:5" x14ac:dyDescent="0.25">
      <c r="C6917" t="s">
        <v>12547</v>
      </c>
      <c r="D6917" t="s">
        <v>12548</v>
      </c>
      <c r="E6917" t="str">
        <f>HYPERLINK("https://patents.google.com/patent/US6766143B1/en")</f>
        <v>https://patents.google.com/patent/US6766143B1/en</v>
      </c>
    </row>
    <row r="6918" spans="3:5" x14ac:dyDescent="0.25">
      <c r="C6918" t="s">
        <v>12549</v>
      </c>
      <c r="D6918" t="s">
        <v>12550</v>
      </c>
      <c r="E6918" t="str">
        <f>HYPERLINK("https://patents.google.com/patent/US6161769A/en")</f>
        <v>https://patents.google.com/patent/US6161769A/en</v>
      </c>
    </row>
    <row r="6919" spans="3:5" x14ac:dyDescent="0.25">
      <c r="C6919" t="s">
        <v>12551</v>
      </c>
      <c r="D6919" t="s">
        <v>12552</v>
      </c>
      <c r="E6919" t="str">
        <f>HYPERLINK("https://patents.google.com/patent/US7972102B2/en")</f>
        <v>https://patents.google.com/patent/US7972102B2/en</v>
      </c>
    </row>
    <row r="6920" spans="3:5" x14ac:dyDescent="0.25">
      <c r="C6920" t="s">
        <v>12553</v>
      </c>
      <c r="D6920" t="s">
        <v>12554</v>
      </c>
      <c r="E6920" t="str">
        <f>HYPERLINK("https://patents.google.com/patent/US7908602B2/en")</f>
        <v>https://patents.google.com/patent/US7908602B2/en</v>
      </c>
    </row>
    <row r="6921" spans="3:5" x14ac:dyDescent="0.25">
      <c r="C6921" t="s">
        <v>12555</v>
      </c>
      <c r="D6921" t="s">
        <v>12556</v>
      </c>
      <c r="E6921" t="str">
        <f>HYPERLINK("https://patents.google.com/patent/US4524405A/en")</f>
        <v>https://patents.google.com/patent/US4524405A/en</v>
      </c>
    </row>
    <row r="6922" spans="3:5" x14ac:dyDescent="0.25">
      <c r="C6922" t="s">
        <v>12557</v>
      </c>
      <c r="D6922" t="s">
        <v>12558</v>
      </c>
      <c r="E6922" t="str">
        <f>HYPERLINK("https://patents.google.com/patent/US6647302B2/en")</f>
        <v>https://patents.google.com/patent/US6647302B2/en</v>
      </c>
    </row>
    <row r="6923" spans="3:5" x14ac:dyDescent="0.25">
      <c r="C6923" t="s">
        <v>12559</v>
      </c>
      <c r="D6923" t="s">
        <v>12560</v>
      </c>
      <c r="E6923" t="str">
        <f>HYPERLINK("https://patents.google.com/patent/US8102071B2/en")</f>
        <v>https://patents.google.com/patent/US8102071B2/en</v>
      </c>
    </row>
    <row r="6924" spans="3:5" x14ac:dyDescent="0.25">
      <c r="C6924" t="s">
        <v>12561</v>
      </c>
      <c r="D6924" t="s">
        <v>12562</v>
      </c>
      <c r="E6924" t="str">
        <f>HYPERLINK("https://patents.google.com/patent/US9376155B2/en")</f>
        <v>https://patents.google.com/patent/US9376155B2/en</v>
      </c>
    </row>
    <row r="6925" spans="3:5" x14ac:dyDescent="0.25">
      <c r="C6925" t="s">
        <v>12563</v>
      </c>
      <c r="D6925" t="s">
        <v>12564</v>
      </c>
      <c r="E6925" t="str">
        <f>HYPERLINK("https://patents.google.com/patent/US20020065864A1/en")</f>
        <v>https://patents.google.com/patent/US20020065864A1/en</v>
      </c>
    </row>
    <row r="6926" spans="3:5" x14ac:dyDescent="0.25">
      <c r="C6926" t="s">
        <v>12565</v>
      </c>
      <c r="D6926" t="s">
        <v>12566</v>
      </c>
      <c r="E6926" t="str">
        <f>HYPERLINK("https://patents.google.com/patent/US20110178977A1/en")</f>
        <v>https://patents.google.com/patent/US20110178977A1/en</v>
      </c>
    </row>
    <row r="6927" spans="3:5" x14ac:dyDescent="0.25">
      <c r="C6927" t="s">
        <v>12567</v>
      </c>
      <c r="D6927" t="s">
        <v>12568</v>
      </c>
      <c r="E6927" t="str">
        <f>HYPERLINK("https://patents.google.com/patent/US20020174227A1/en")</f>
        <v>https://patents.google.com/patent/US20020174227A1/en</v>
      </c>
    </row>
    <row r="6928" spans="3:5" x14ac:dyDescent="0.25">
      <c r="C6928" t="s">
        <v>6513</v>
      </c>
      <c r="D6928" t="s">
        <v>12569</v>
      </c>
      <c r="E6928" t="str">
        <f>HYPERLINK("https://patents.google.com/patent/US20060241718A1/en")</f>
        <v>https://patents.google.com/patent/US20060241718A1/en</v>
      </c>
    </row>
    <row r="6929" spans="3:5" x14ac:dyDescent="0.25">
      <c r="C6929" t="s">
        <v>12570</v>
      </c>
      <c r="D6929" t="s">
        <v>12571</v>
      </c>
      <c r="E6929" t="str">
        <f>HYPERLINK("https://patents.google.com/patent/US20100217099A1/en")</f>
        <v>https://patents.google.com/patent/US20100217099A1/en</v>
      </c>
    </row>
    <row r="6930" spans="3:5" x14ac:dyDescent="0.25">
      <c r="C6930" t="s">
        <v>12572</v>
      </c>
      <c r="D6930" t="s">
        <v>12573</v>
      </c>
      <c r="E6930" t="str">
        <f>HYPERLINK("https://patents.google.com/patent/US20160256186A1/en")</f>
        <v>https://patents.google.com/patent/US20160256186A1/en</v>
      </c>
    </row>
    <row r="6931" spans="3:5" x14ac:dyDescent="0.25">
      <c r="C6931" t="s">
        <v>12574</v>
      </c>
      <c r="D6931" t="s">
        <v>12575</v>
      </c>
      <c r="E6931" t="str">
        <f>HYPERLINK("https://patents.google.com/patent/US20100169937A1/en")</f>
        <v>https://patents.google.com/patent/US20100169937A1/en</v>
      </c>
    </row>
    <row r="6932" spans="3:5" x14ac:dyDescent="0.25">
      <c r="C6932" t="s">
        <v>12576</v>
      </c>
      <c r="D6932" t="s">
        <v>12577</v>
      </c>
      <c r="E6932" t="str">
        <f>HYPERLINK("https://patents.google.com/patent/US20100286937A1/en")</f>
        <v>https://patents.google.com/patent/US20100286937A1/en</v>
      </c>
    </row>
    <row r="6933" spans="3:5" x14ac:dyDescent="0.25">
      <c r="C6933" t="s">
        <v>12578</v>
      </c>
      <c r="D6933" t="s">
        <v>12579</v>
      </c>
      <c r="E6933" t="str">
        <f>HYPERLINK("https://patents.google.com/patent/US20050174473A1/en")</f>
        <v>https://patents.google.com/patent/US20050174473A1/en</v>
      </c>
    </row>
    <row r="6934" spans="3:5" x14ac:dyDescent="0.25">
      <c r="C6934" t="s">
        <v>12580</v>
      </c>
      <c r="D6934" t="s">
        <v>12581</v>
      </c>
      <c r="E6934" t="str">
        <f>HYPERLINK("https://patents.google.com/patent/US20100312724A1/en")</f>
        <v>https://patents.google.com/patent/US20100312724A1/en</v>
      </c>
    </row>
    <row r="6935" spans="3:5" x14ac:dyDescent="0.25">
      <c r="C6935" t="s">
        <v>12582</v>
      </c>
      <c r="D6935" t="s">
        <v>12583</v>
      </c>
      <c r="E6935" t="str">
        <f>HYPERLINK("https://patents.google.com/patent/US20090299857A1/en")</f>
        <v>https://patents.google.com/patent/US20090299857A1/en</v>
      </c>
    </row>
    <row r="6936" spans="3:5" x14ac:dyDescent="0.25">
      <c r="C6936" t="s">
        <v>12584</v>
      </c>
      <c r="D6936" t="s">
        <v>12585</v>
      </c>
      <c r="E6936" t="str">
        <f>HYPERLINK("https://patents.google.com/patent/US20120022700A1/en")</f>
        <v>https://patents.google.com/patent/US20120022700A1/en</v>
      </c>
    </row>
    <row r="6937" spans="3:5" x14ac:dyDescent="0.25">
      <c r="C6937" t="s">
        <v>12586</v>
      </c>
      <c r="D6937" t="s">
        <v>12587</v>
      </c>
      <c r="E6937" t="str">
        <f>HYPERLINK("https://patents.google.com/patent/US20080077506A1/en")</f>
        <v>https://patents.google.com/patent/US20080077506A1/en</v>
      </c>
    </row>
    <row r="6938" spans="3:5" x14ac:dyDescent="0.25">
      <c r="C6938" t="s">
        <v>12588</v>
      </c>
      <c r="D6938" t="s">
        <v>12589</v>
      </c>
      <c r="E6938" t="str">
        <f>HYPERLINK("https://patents.google.com/patent/US20110244919A1/en")</f>
        <v>https://patents.google.com/patent/US20110244919A1/en</v>
      </c>
    </row>
    <row r="6939" spans="3:5" x14ac:dyDescent="0.25">
      <c r="C6939" t="s">
        <v>12590</v>
      </c>
      <c r="D6939" t="s">
        <v>12591</v>
      </c>
      <c r="E6939" t="str">
        <f>HYPERLINK("https://patents.google.com/patent/US20110161076A1/en")</f>
        <v>https://patents.google.com/patent/US20110161076A1/en</v>
      </c>
    </row>
    <row r="6940" spans="3:5" x14ac:dyDescent="0.25">
      <c r="C6940" t="s">
        <v>12592</v>
      </c>
      <c r="D6940" t="s">
        <v>12593</v>
      </c>
      <c r="E6940" t="str">
        <f>HYPERLINK("https://patents.google.com/patent/US20080146890A1/en")</f>
        <v>https://patents.google.com/patent/US20080146890A1/en</v>
      </c>
    </row>
    <row r="6941" spans="3:5" x14ac:dyDescent="0.25">
      <c r="C6941" t="s">
        <v>12594</v>
      </c>
      <c r="D6941" t="s">
        <v>12595</v>
      </c>
      <c r="E6941" t="str">
        <f>HYPERLINK("https://patents.google.com/patent/US20040030531A1/en")</f>
        <v>https://patents.google.com/patent/US20040030531A1/en</v>
      </c>
    </row>
    <row r="6942" spans="3:5" x14ac:dyDescent="0.25">
      <c r="C6942" t="s">
        <v>12596</v>
      </c>
      <c r="D6942" t="s">
        <v>12597</v>
      </c>
      <c r="E6942" t="str">
        <f>HYPERLINK("https://patents.google.com/patent/US20080255901A1/en")</f>
        <v>https://patents.google.com/patent/US20080255901A1/en</v>
      </c>
    </row>
    <row r="6943" spans="3:5" x14ac:dyDescent="0.25">
      <c r="C6943" t="s">
        <v>12598</v>
      </c>
      <c r="D6943" t="s">
        <v>12599</v>
      </c>
      <c r="E6943" t="str">
        <f>HYPERLINK("https://patents.google.com/patent/US20060251115A1/en")</f>
        <v>https://patents.google.com/patent/US20060251115A1/en</v>
      </c>
    </row>
    <row r="6944" spans="3:5" x14ac:dyDescent="0.25">
      <c r="C6944" t="s">
        <v>12600</v>
      </c>
      <c r="D6944" t="s">
        <v>12601</v>
      </c>
      <c r="E6944" t="str">
        <f>HYPERLINK("https://patents.google.com/patent/US20050240253A1/en")</f>
        <v>https://patents.google.com/patent/US20050240253A1/en</v>
      </c>
    </row>
    <row r="6945" spans="3:5" x14ac:dyDescent="0.25">
      <c r="C6945" t="s">
        <v>12602</v>
      </c>
      <c r="D6945" t="s">
        <v>12603</v>
      </c>
      <c r="E6945" t="str">
        <f>HYPERLINK("https://patents.google.com/patent/US20040153509A1/en")</f>
        <v>https://patents.google.com/patent/US20040153509A1/en</v>
      </c>
    </row>
    <row r="6946" spans="3:5" x14ac:dyDescent="0.25">
      <c r="C6946" t="s">
        <v>12604</v>
      </c>
      <c r="D6946" t="s">
        <v>12605</v>
      </c>
      <c r="E6946" t="str">
        <f>HYPERLINK("https://patents.google.com/patent/US20040229199A1/en")</f>
        <v>https://patents.google.com/patent/US20040229199A1/en</v>
      </c>
    </row>
    <row r="6947" spans="3:5" x14ac:dyDescent="0.25">
      <c r="C6947" t="s">
        <v>12606</v>
      </c>
      <c r="D6947" t="s">
        <v>12607</v>
      </c>
      <c r="E6947" t="str">
        <f>HYPERLINK("https://patents.google.com/patent/US20060002110A1/en")</f>
        <v>https://patents.google.com/patent/US20060002110A1/en</v>
      </c>
    </row>
    <row r="6948" spans="3:5" x14ac:dyDescent="0.25">
      <c r="C6948" t="s">
        <v>12608</v>
      </c>
      <c r="D6948" t="s">
        <v>12609</v>
      </c>
      <c r="E6948" t="str">
        <f>HYPERLINK("https://patents.google.com/patent/US20110307478A1/en")</f>
        <v>https://patents.google.com/patent/US20110307478A1/en</v>
      </c>
    </row>
    <row r="6949" spans="3:5" x14ac:dyDescent="0.25">
      <c r="C6949" t="s">
        <v>12610</v>
      </c>
      <c r="D6949" t="s">
        <v>12611</v>
      </c>
      <c r="E6949" t="str">
        <f>HYPERLINK("https://patents.google.com/patent/US20060161218A1/en")</f>
        <v>https://patents.google.com/patent/US20060161218A1/en</v>
      </c>
    </row>
    <row r="6950" spans="3:5" x14ac:dyDescent="0.25">
      <c r="C6950" t="s">
        <v>12612</v>
      </c>
      <c r="D6950" t="s">
        <v>12613</v>
      </c>
      <c r="E6950" t="str">
        <f>HYPERLINK("https://patents.google.com/patent/US20050264472A1/en")</f>
        <v>https://patents.google.com/patent/US20050264472A1/en</v>
      </c>
    </row>
    <row r="6951" spans="3:5" x14ac:dyDescent="0.25">
      <c r="C6951" t="s">
        <v>12614</v>
      </c>
      <c r="D6951" t="s">
        <v>12615</v>
      </c>
      <c r="E6951" t="str">
        <f>HYPERLINK("https://patents.google.com/patent/US20020095400A1/en")</f>
        <v>https://patents.google.com/patent/US20020095400A1/en</v>
      </c>
    </row>
    <row r="6952" spans="3:5" x14ac:dyDescent="0.25">
      <c r="C6952" t="s">
        <v>6513</v>
      </c>
      <c r="D6952" t="s">
        <v>12616</v>
      </c>
      <c r="E6952" t="str">
        <f>HYPERLINK("https://patents.google.com/patent/US20080009772A1/en")</f>
        <v>https://patents.google.com/patent/US20080009772A1/en</v>
      </c>
    </row>
    <row r="6953" spans="3:5" x14ac:dyDescent="0.25">
      <c r="C6953" t="s">
        <v>12617</v>
      </c>
      <c r="D6953" t="s">
        <v>12618</v>
      </c>
      <c r="E6953" t="str">
        <f>HYPERLINK("https://patents.google.com/patent/US20110061015A1/en")</f>
        <v>https://patents.google.com/patent/US20110061015A1/en</v>
      </c>
    </row>
    <row r="6954" spans="3:5" x14ac:dyDescent="0.25">
      <c r="C6954" t="s">
        <v>12619</v>
      </c>
      <c r="D6954" t="s">
        <v>12620</v>
      </c>
      <c r="E6954" t="str">
        <f>HYPERLINK("https://patents.google.com/patent/US20110047418A1/en")</f>
        <v>https://patents.google.com/patent/US20110047418A1/en</v>
      </c>
    </row>
    <row r="6955" spans="3:5" x14ac:dyDescent="0.25">
      <c r="C6955" t="s">
        <v>12621</v>
      </c>
      <c r="D6955" t="s">
        <v>12622</v>
      </c>
      <c r="E6955" t="str">
        <f>HYPERLINK("https://patents.google.com/patent/US20110164527A1/en")</f>
        <v>https://patents.google.com/patent/US20110164527A1/en</v>
      </c>
    </row>
    <row r="6956" spans="3:5" x14ac:dyDescent="0.25">
      <c r="C6956" t="s">
        <v>12623</v>
      </c>
      <c r="D6956" t="s">
        <v>12624</v>
      </c>
      <c r="E6956" t="str">
        <f>HYPERLINK("https://patents.google.com/patent/US20120284012A1/en")</f>
        <v>https://patents.google.com/patent/US20120284012A1/en</v>
      </c>
    </row>
    <row r="6957" spans="3:5" x14ac:dyDescent="0.25">
      <c r="C6957" t="s">
        <v>12625</v>
      </c>
      <c r="D6957" t="s">
        <v>12626</v>
      </c>
      <c r="E6957" t="str">
        <f>HYPERLINK("https://patents.google.com/patent/US20120169842A1/en")</f>
        <v>https://patents.google.com/patent/US20120169842A1/en</v>
      </c>
    </row>
    <row r="6958" spans="3:5" x14ac:dyDescent="0.25">
      <c r="C6958" t="s">
        <v>12627</v>
      </c>
      <c r="D6958" t="s">
        <v>12628</v>
      </c>
      <c r="E6958" t="str">
        <f>HYPERLINK("https://patents.google.com/patent/US20080091528A1/en")</f>
        <v>https://patents.google.com/patent/US20080091528A1/en</v>
      </c>
    </row>
    <row r="6959" spans="3:5" x14ac:dyDescent="0.25">
      <c r="C6959" t="s">
        <v>12629</v>
      </c>
      <c r="D6959" t="s">
        <v>12630</v>
      </c>
      <c r="E6959" t="str">
        <f>HYPERLINK("https://patents.google.com/patent/US20110082599A1/en")</f>
        <v>https://patents.google.com/patent/US20110082599A1/en</v>
      </c>
    </row>
    <row r="6960" spans="3:5" x14ac:dyDescent="0.25">
      <c r="C6960" t="s">
        <v>12631</v>
      </c>
      <c r="D6960" t="s">
        <v>12632</v>
      </c>
      <c r="E6960" t="str">
        <f>HYPERLINK("https://patents.google.com/patent/US20090012433A1/en")</f>
        <v>https://patents.google.com/patent/US20090012433A1/en</v>
      </c>
    </row>
    <row r="6961" spans="3:5" x14ac:dyDescent="0.25">
      <c r="C6961" t="s">
        <v>12633</v>
      </c>
      <c r="D6961" t="s">
        <v>12634</v>
      </c>
      <c r="E6961" t="str">
        <f>HYPERLINK("https://patents.google.com/patent/US20100331043A1/en")</f>
        <v>https://patents.google.com/patent/US20100331043A1/en</v>
      </c>
    </row>
    <row r="6962" spans="3:5" x14ac:dyDescent="0.25">
      <c r="C6962" t="s">
        <v>12623</v>
      </c>
      <c r="D6962" t="s">
        <v>12635</v>
      </c>
      <c r="E6962" t="str">
        <f>HYPERLINK("https://patents.google.com/patent/US20120208592A1/en")</f>
        <v>https://patents.google.com/patent/US20120208592A1/en</v>
      </c>
    </row>
    <row r="6963" spans="3:5" x14ac:dyDescent="0.25">
      <c r="C6963" t="s">
        <v>12636</v>
      </c>
      <c r="D6963" t="s">
        <v>12637</v>
      </c>
      <c r="E6963" t="str">
        <f>HYPERLINK("https://patents.google.com/patent/US20120129517A1/en")</f>
        <v>https://patents.google.com/patent/US20120129517A1/en</v>
      </c>
    </row>
    <row r="6964" spans="3:5" x14ac:dyDescent="0.25">
      <c r="C6964" t="s">
        <v>12638</v>
      </c>
      <c r="D6964" t="s">
        <v>12639</v>
      </c>
      <c r="E6964" t="str">
        <f>HYPERLINK("https://patents.google.com/patent/US20080147241A1/en")</f>
        <v>https://patents.google.com/patent/US20080147241A1/en</v>
      </c>
    </row>
    <row r="6965" spans="3:5" x14ac:dyDescent="0.25">
      <c r="C6965" t="s">
        <v>12640</v>
      </c>
      <c r="D6965" t="s">
        <v>12641</v>
      </c>
      <c r="E6965" t="str">
        <f>HYPERLINK("https://patents.google.com/patent/US20120154633A1/en")</f>
        <v>https://patents.google.com/patent/US20120154633A1/en</v>
      </c>
    </row>
    <row r="6966" spans="3:5" x14ac:dyDescent="0.25">
      <c r="C6966" t="s">
        <v>12642</v>
      </c>
      <c r="D6966" t="s">
        <v>12643</v>
      </c>
      <c r="E6966" t="str">
        <f>HYPERLINK("https://patents.google.com/patent/US20110302117A1/en")</f>
        <v>https://patents.google.com/patent/US20110302117A1/en</v>
      </c>
    </row>
    <row r="6967" spans="3:5" x14ac:dyDescent="0.25">
      <c r="C6967" t="s">
        <v>12584</v>
      </c>
      <c r="D6967" t="s">
        <v>12644</v>
      </c>
      <c r="E6967" t="str">
        <f>HYPERLINK("https://patents.google.com/patent/US20120259583A1/en")</f>
        <v>https://patents.google.com/patent/US20120259583A1/en</v>
      </c>
    </row>
    <row r="6968" spans="3:5" x14ac:dyDescent="0.25">
      <c r="C6968" t="s">
        <v>12645</v>
      </c>
      <c r="D6968" t="s">
        <v>12646</v>
      </c>
      <c r="E6968" t="str">
        <f>HYPERLINK("https://patents.google.com/patent/US20050091671A1/en")</f>
        <v>https://patents.google.com/patent/US20050091671A1/en</v>
      </c>
    </row>
    <row r="6969" spans="3:5" x14ac:dyDescent="0.25">
      <c r="C6969" t="s">
        <v>12647</v>
      </c>
      <c r="D6969" t="s">
        <v>12648</v>
      </c>
      <c r="E6969" t="str">
        <f>HYPERLINK("https://patents.google.com/patent/US20150382208A1/en")</f>
        <v>https://patents.google.com/patent/US20150382208A1/en</v>
      </c>
    </row>
    <row r="6970" spans="3:5" x14ac:dyDescent="0.25">
      <c r="C6970" t="s">
        <v>12649</v>
      </c>
      <c r="D6970" t="s">
        <v>12650</v>
      </c>
      <c r="E6970" t="str">
        <f>HYPERLINK("https://patents.google.com/patent/US20100235206A1/en")</f>
        <v>https://patents.google.com/patent/US20100235206A1/en</v>
      </c>
    </row>
    <row r="6971" spans="3:5" x14ac:dyDescent="0.25">
      <c r="C6971" t="s">
        <v>12651</v>
      </c>
      <c r="D6971" t="s">
        <v>12652</v>
      </c>
      <c r="E6971" t="str">
        <f>HYPERLINK("https://patents.google.com/patent/US20040015401A1/en")</f>
        <v>https://patents.google.com/patent/US20040015401A1/en</v>
      </c>
    </row>
    <row r="6972" spans="3:5" x14ac:dyDescent="0.25">
      <c r="C6972" t="s">
        <v>12653</v>
      </c>
      <c r="D6972" t="s">
        <v>12654</v>
      </c>
      <c r="E6972" t="str">
        <f>HYPERLINK("https://patents.google.com/patent/US20070100595A1/en")</f>
        <v>https://patents.google.com/patent/US20070100595A1/en</v>
      </c>
    </row>
    <row r="6973" spans="3:5" x14ac:dyDescent="0.25">
      <c r="C6973" t="s">
        <v>12655</v>
      </c>
      <c r="D6973" t="s">
        <v>12656</v>
      </c>
      <c r="E6973" t="str">
        <f>HYPERLINK("https://patents.google.com/patent/US20030009540A1/en")</f>
        <v>https://patents.google.com/patent/US20030009540A1/en</v>
      </c>
    </row>
    <row r="6974" spans="3:5" x14ac:dyDescent="0.25">
      <c r="C6974" t="s">
        <v>12657</v>
      </c>
      <c r="D6974" t="s">
        <v>12658</v>
      </c>
      <c r="E6974" t="str">
        <f>HYPERLINK("https://patents.google.com/patent/US20100097208A1/en")</f>
        <v>https://patents.google.com/patent/US20100097208A1/en</v>
      </c>
    </row>
    <row r="6975" spans="3:5" x14ac:dyDescent="0.25">
      <c r="C6975" t="s">
        <v>12384</v>
      </c>
      <c r="D6975" t="s">
        <v>12659</v>
      </c>
      <c r="E6975" t="str">
        <f>HYPERLINK("https://patents.google.com/patent/WO2014147510A1/en")</f>
        <v>https://patents.google.com/patent/WO2014147510A1/en</v>
      </c>
    </row>
    <row r="6976" spans="3:5" x14ac:dyDescent="0.25">
      <c r="C6976" t="s">
        <v>12525</v>
      </c>
      <c r="D6976" t="s">
        <v>12660</v>
      </c>
      <c r="E6976" t="str">
        <f>HYPERLINK("https://patents.google.com/patent/US20080161976A1/en")</f>
        <v>https://patents.google.com/patent/US20080161976A1/en</v>
      </c>
    </row>
    <row r="6977" spans="3:5" x14ac:dyDescent="0.25">
      <c r="C6977" t="s">
        <v>12661</v>
      </c>
      <c r="D6977" t="s">
        <v>12662</v>
      </c>
      <c r="E6977" t="str">
        <f>HYPERLINK("https://patents.google.com/patent/US20020193890A1/en")</f>
        <v>https://patents.google.com/patent/US20020193890A1/en</v>
      </c>
    </row>
    <row r="6978" spans="3:5" x14ac:dyDescent="0.25">
      <c r="C6978" t="s">
        <v>12663</v>
      </c>
      <c r="D6978" t="s">
        <v>12664</v>
      </c>
      <c r="E6978" t="str">
        <f>HYPERLINK("https://patents.google.com/patent/US20060017810A1/en")</f>
        <v>https://patents.google.com/patent/US20060017810A1/en</v>
      </c>
    </row>
    <row r="6979" spans="3:5" x14ac:dyDescent="0.25">
      <c r="C6979" t="s">
        <v>12665</v>
      </c>
      <c r="D6979" t="s">
        <v>12666</v>
      </c>
      <c r="E6979" t="str">
        <f>HYPERLINK("https://patents.google.com/patent/US20030036408A1/en")</f>
        <v>https://patents.google.com/patent/US20030036408A1/en</v>
      </c>
    </row>
    <row r="6980" spans="3:5" x14ac:dyDescent="0.25">
      <c r="C6980" t="s">
        <v>12667</v>
      </c>
      <c r="D6980" t="s">
        <v>12668</v>
      </c>
      <c r="E6980" t="str">
        <f>HYPERLINK("https://patents.google.com/patent/US20040039723A1/en")</f>
        <v>https://patents.google.com/patent/US20040039723A1/en</v>
      </c>
    </row>
    <row r="6981" spans="3:5" x14ac:dyDescent="0.25">
      <c r="C6981" t="s">
        <v>12669</v>
      </c>
      <c r="D6981" t="s">
        <v>12670</v>
      </c>
      <c r="E6981" t="str">
        <f>HYPERLINK("https://patents.google.com/patent/US20080032739A1/en")</f>
        <v>https://patents.google.com/patent/US20080032739A1/en</v>
      </c>
    </row>
    <row r="6982" spans="3:5" x14ac:dyDescent="0.25">
      <c r="C6982" t="s">
        <v>12671</v>
      </c>
      <c r="D6982" t="s">
        <v>12672</v>
      </c>
      <c r="E6982" t="str">
        <f>HYPERLINK("https://patents.google.com/patent/US20110036014A1/en")</f>
        <v>https://patents.google.com/patent/US20110036014A1/en</v>
      </c>
    </row>
    <row r="6983" spans="3:5" x14ac:dyDescent="0.25">
      <c r="C6983" t="s">
        <v>12673</v>
      </c>
      <c r="D6983" t="s">
        <v>12674</v>
      </c>
      <c r="E6983" t="str">
        <f>HYPERLINK("https://patents.google.com/patent/US20140223462A1/en")</f>
        <v>https://patents.google.com/patent/US20140223462A1/en</v>
      </c>
    </row>
    <row r="6984" spans="3:5" x14ac:dyDescent="0.25">
      <c r="C6984" t="s">
        <v>12675</v>
      </c>
      <c r="D6984" t="s">
        <v>12676</v>
      </c>
      <c r="E6984" t="str">
        <f>HYPERLINK("https://patents.google.com/patent/US20070202342A1/en")</f>
        <v>https://patents.google.com/patent/US20070202342A1/en</v>
      </c>
    </row>
    <row r="6985" spans="3:5" x14ac:dyDescent="0.25">
      <c r="C6985" t="s">
        <v>12623</v>
      </c>
      <c r="D6985" t="s">
        <v>12677</v>
      </c>
      <c r="E6985" t="str">
        <f>HYPERLINK("https://patents.google.com/patent/US20120134548A1/en")</f>
        <v>https://patents.google.com/patent/US20120134548A1/en</v>
      </c>
    </row>
    <row r="6986" spans="3:5" x14ac:dyDescent="0.25">
      <c r="C6986" t="s">
        <v>12678</v>
      </c>
      <c r="D6986" t="s">
        <v>12679</v>
      </c>
      <c r="E6986" t="str">
        <f>HYPERLINK("https://patents.google.com/patent/US20040015399A1/en")</f>
        <v>https://patents.google.com/patent/US20040015399A1/en</v>
      </c>
    </row>
    <row r="6987" spans="3:5" x14ac:dyDescent="0.25">
      <c r="C6987" t="s">
        <v>12680</v>
      </c>
      <c r="D6987" t="s">
        <v>12681</v>
      </c>
      <c r="E6987" t="str">
        <f>HYPERLINK("https://patents.google.com/patent/US20120323674A1/en")</f>
        <v>https://patents.google.com/patent/US20120323674A1/en</v>
      </c>
    </row>
    <row r="6988" spans="3:5" x14ac:dyDescent="0.25">
      <c r="C6988" t="s">
        <v>12682</v>
      </c>
      <c r="D6988" t="s">
        <v>12683</v>
      </c>
      <c r="E6988" t="str">
        <f>HYPERLINK("https://patents.google.com/patent/US20130290106A1/en")</f>
        <v>https://patents.google.com/patent/US20130290106A1/en</v>
      </c>
    </row>
    <row r="6989" spans="3:5" x14ac:dyDescent="0.25">
      <c r="C6989" t="s">
        <v>12684</v>
      </c>
      <c r="D6989" t="s">
        <v>12685</v>
      </c>
      <c r="E6989" t="str">
        <f>HYPERLINK("https://patents.google.com/patent/US20150082378A1/en")</f>
        <v>https://patents.google.com/patent/US20150082378A1/en</v>
      </c>
    </row>
    <row r="6990" spans="3:5" x14ac:dyDescent="0.25">
      <c r="C6990" t="s">
        <v>12686</v>
      </c>
      <c r="D6990" t="s">
        <v>12687</v>
      </c>
      <c r="E6990" t="str">
        <f>HYPERLINK("https://patents.google.com/patent/US20110170424A1/en")</f>
        <v>https://patents.google.com/patent/US20110170424A1/en</v>
      </c>
    </row>
    <row r="6991" spans="3:5" x14ac:dyDescent="0.25">
      <c r="C6991" t="s">
        <v>12688</v>
      </c>
      <c r="D6991" t="s">
        <v>12689</v>
      </c>
      <c r="E6991" t="str">
        <f>HYPERLINK("https://patents.google.com/patent/US20140310243A1/en")</f>
        <v>https://patents.google.com/patent/US20140310243A1/en</v>
      </c>
    </row>
    <row r="6992" spans="3:5" x14ac:dyDescent="0.25">
      <c r="C6992" t="s">
        <v>12690</v>
      </c>
      <c r="D6992" t="s">
        <v>12691</v>
      </c>
      <c r="E6992" t="str">
        <f>HYPERLINK("https://patents.google.com/patent/US20080071634A1/en")</f>
        <v>https://patents.google.com/patent/US20080071634A1/en</v>
      </c>
    </row>
    <row r="6993" spans="3:5" x14ac:dyDescent="0.25">
      <c r="C6993" t="s">
        <v>12692</v>
      </c>
      <c r="D6993" t="s">
        <v>12693</v>
      </c>
      <c r="E6993" t="str">
        <f>HYPERLINK("https://patents.google.com/patent/US20130203475A1/en")</f>
        <v>https://patents.google.com/patent/US20130203475A1/en</v>
      </c>
    </row>
    <row r="6994" spans="3:5" x14ac:dyDescent="0.25">
      <c r="C6994" t="s">
        <v>12694</v>
      </c>
      <c r="D6994" t="s">
        <v>12695</v>
      </c>
      <c r="E6994" t="str">
        <f>HYPERLINK("https://patents.google.com/patent/US20110163046A1/en")</f>
        <v>https://patents.google.com/patent/US20110163046A1/en</v>
      </c>
    </row>
    <row r="6995" spans="3:5" x14ac:dyDescent="0.25">
      <c r="C6995" t="s">
        <v>12696</v>
      </c>
      <c r="D6995" t="s">
        <v>12697</v>
      </c>
      <c r="E6995" t="str">
        <f>HYPERLINK("https://patents.google.com/patent/US20150035440A1/en")</f>
        <v>https://patents.google.com/patent/US20150035440A1/en</v>
      </c>
    </row>
    <row r="6996" spans="3:5" x14ac:dyDescent="0.25">
      <c r="C6996" t="s">
        <v>12698</v>
      </c>
      <c r="D6996" t="s">
        <v>12699</v>
      </c>
      <c r="E6996" t="str">
        <f>HYPERLINK("https://patents.google.com/patent/US20040120844A1/en")</f>
        <v>https://patents.google.com/patent/US20040120844A1/en</v>
      </c>
    </row>
    <row r="6997" spans="3:5" x14ac:dyDescent="0.25">
      <c r="C6997" t="s">
        <v>12700</v>
      </c>
      <c r="D6997" t="s">
        <v>12701</v>
      </c>
      <c r="E6997" t="str">
        <f>HYPERLINK("https://patents.google.com/patent/US20160195856A1/en")</f>
        <v>https://patents.google.com/patent/US20160195856A1/en</v>
      </c>
    </row>
    <row r="6998" spans="3:5" x14ac:dyDescent="0.25">
      <c r="C6998" t="s">
        <v>12702</v>
      </c>
      <c r="D6998" t="s">
        <v>12703</v>
      </c>
      <c r="E6998" t="str">
        <f>HYPERLINK("https://patents.google.com/patent/US20120275642A1/en")</f>
        <v>https://patents.google.com/patent/US20120275642A1/en</v>
      </c>
    </row>
    <row r="6999" spans="3:5" x14ac:dyDescent="0.25">
      <c r="C6999" t="s">
        <v>12704</v>
      </c>
      <c r="D6999" t="s">
        <v>12705</v>
      </c>
      <c r="E6999" t="str">
        <f>HYPERLINK("https://patents.google.com/patent/US20120232430A1/en")</f>
        <v>https://patents.google.com/patent/US20120232430A1/en</v>
      </c>
    </row>
    <row r="7000" spans="3:5" x14ac:dyDescent="0.25">
      <c r="C7000" t="s">
        <v>12623</v>
      </c>
      <c r="D7000" t="s">
        <v>12706</v>
      </c>
      <c r="E7000" t="str">
        <f>HYPERLINK("https://patents.google.com/patent/US20120210233A1/en")</f>
        <v>https://patents.google.com/patent/US20120210233A1/en</v>
      </c>
    </row>
    <row r="7001" spans="3:5" x14ac:dyDescent="0.25">
      <c r="C7001" t="s">
        <v>12707</v>
      </c>
      <c r="D7001" t="s">
        <v>12708</v>
      </c>
      <c r="E7001" t="str">
        <f>HYPERLINK("https://patents.google.com/patent/US20050139363A1/en")</f>
        <v>https://patents.google.com/patent/US20050139363A1/en</v>
      </c>
    </row>
    <row r="7002" spans="3:5" x14ac:dyDescent="0.25">
      <c r="C7002" t="s">
        <v>12623</v>
      </c>
      <c r="D7002" t="s">
        <v>12709</v>
      </c>
      <c r="E7002" t="str">
        <f>HYPERLINK("https://patents.google.com/patent/US20120116559A1/en")</f>
        <v>https://patents.google.com/patent/US20120116559A1/en</v>
      </c>
    </row>
    <row r="7003" spans="3:5" x14ac:dyDescent="0.25">
      <c r="C7003" t="s">
        <v>12710</v>
      </c>
      <c r="D7003" t="s">
        <v>12711</v>
      </c>
      <c r="E7003" t="str">
        <f>HYPERLINK("https://patents.google.com/patent/US6485036B1/en")</f>
        <v>https://patents.google.com/patent/US6485036B1/en</v>
      </c>
    </row>
    <row r="7004" spans="3:5" x14ac:dyDescent="0.25">
      <c r="C7004" t="s">
        <v>12712</v>
      </c>
      <c r="D7004" t="s">
        <v>12713</v>
      </c>
      <c r="E7004" t="str">
        <f>HYPERLINK("https://patents.google.com/patent/US5190506A/en")</f>
        <v>https://patents.google.com/patent/US5190506A/en</v>
      </c>
    </row>
    <row r="7005" spans="3:5" x14ac:dyDescent="0.25">
      <c r="C7005" t="s">
        <v>12714</v>
      </c>
      <c r="D7005" t="s">
        <v>12715</v>
      </c>
      <c r="E7005" t="str">
        <f>HYPERLINK("https://patents.google.com/patent/US20070186251A1/en")</f>
        <v>https://patents.google.com/patent/US20070186251A1/en</v>
      </c>
    </row>
    <row r="7006" spans="3:5" x14ac:dyDescent="0.25">
      <c r="C7006" t="s">
        <v>12716</v>
      </c>
      <c r="D7006" t="s">
        <v>12717</v>
      </c>
      <c r="E7006" t="str">
        <f>HYPERLINK("https://patents.google.com/patent/US20110241549A1/en")</f>
        <v>https://patents.google.com/patent/US20110241549A1/en</v>
      </c>
    </row>
    <row r="7007" spans="3:5" x14ac:dyDescent="0.25">
      <c r="C7007" t="s">
        <v>12718</v>
      </c>
      <c r="D7007" t="s">
        <v>12719</v>
      </c>
      <c r="E7007" t="str">
        <f>HYPERLINK("https://patents.google.com/patent/US20110220574A1/en")</f>
        <v>https://patents.google.com/patent/US20110220574A1/en</v>
      </c>
    </row>
    <row r="7008" spans="3:5" x14ac:dyDescent="0.25">
      <c r="C7008" t="s">
        <v>12720</v>
      </c>
      <c r="D7008" t="s">
        <v>12721</v>
      </c>
      <c r="E7008" t="str">
        <f>HYPERLINK("https://patents.google.com/patent/US20060079792A1/en")</f>
        <v>https://patents.google.com/patent/US20060079792A1/en</v>
      </c>
    </row>
    <row r="7009" spans="3:5" x14ac:dyDescent="0.25">
      <c r="C7009" t="s">
        <v>12722</v>
      </c>
      <c r="D7009" t="s">
        <v>12723</v>
      </c>
      <c r="E7009" t="str">
        <f>HYPERLINK("https://patents.google.com/patent/US7280892B2/en")</f>
        <v>https://patents.google.com/patent/US7280892B2/en</v>
      </c>
    </row>
    <row r="7010" spans="3:5" x14ac:dyDescent="0.25">
      <c r="C7010" t="s">
        <v>12724</v>
      </c>
      <c r="D7010" t="s">
        <v>12725</v>
      </c>
      <c r="E7010" t="str">
        <f>HYPERLINK("https://patents.google.com/patent/US20050288932A1/en")</f>
        <v>https://patents.google.com/patent/US20050288932A1/en</v>
      </c>
    </row>
    <row r="7011" spans="3:5" x14ac:dyDescent="0.25">
      <c r="C7011" t="s">
        <v>12726</v>
      </c>
      <c r="D7011" t="s">
        <v>12727</v>
      </c>
      <c r="E7011" t="str">
        <f>HYPERLINK("https://patents.google.com/patent/US20110231242A1/en")</f>
        <v>https://patents.google.com/patent/US20110231242A1/en</v>
      </c>
    </row>
    <row r="7012" spans="3:5" x14ac:dyDescent="0.25">
      <c r="C7012" t="s">
        <v>12728</v>
      </c>
      <c r="D7012" t="s">
        <v>12729</v>
      </c>
      <c r="E7012" t="str">
        <f>HYPERLINK("https://patents.google.com/patent/US20120089523A1/en")</f>
        <v>https://patents.google.com/patent/US20120089523A1/en</v>
      </c>
    </row>
    <row r="7013" spans="3:5" x14ac:dyDescent="0.25">
      <c r="C7013" t="s">
        <v>12730</v>
      </c>
      <c r="D7013" t="s">
        <v>12731</v>
      </c>
      <c r="E7013" t="str">
        <f>HYPERLINK("https://patents.google.com/patent/US20120310729A1/en")</f>
        <v>https://patents.google.com/patent/US20120310729A1/en</v>
      </c>
    </row>
    <row r="7014" spans="3:5" x14ac:dyDescent="0.25">
      <c r="C7014" t="s">
        <v>12732</v>
      </c>
      <c r="D7014" t="s">
        <v>12733</v>
      </c>
      <c r="E7014" t="str">
        <f>HYPERLINK("https://patents.google.com/patent/US20040220869A1/en")</f>
        <v>https://patents.google.com/patent/US20040220869A1/en</v>
      </c>
    </row>
    <row r="7015" spans="3:5" x14ac:dyDescent="0.25">
      <c r="C7015" t="s">
        <v>12734</v>
      </c>
      <c r="D7015" t="s">
        <v>12735</v>
      </c>
      <c r="E7015" t="str">
        <f>HYPERLINK("https://patents.google.com/patent/US20070208686A1/en")</f>
        <v>https://patents.google.com/patent/US20070208686A1/en</v>
      </c>
    </row>
    <row r="7016" spans="3:5" x14ac:dyDescent="0.25">
      <c r="C7016" t="s">
        <v>12736</v>
      </c>
      <c r="D7016" t="s">
        <v>12737</v>
      </c>
      <c r="E7016" t="str">
        <f>HYPERLINK("https://patents.google.com/patent/US20030129618A1/en")</f>
        <v>https://patents.google.com/patent/US20030129618A1/en</v>
      </c>
    </row>
    <row r="7017" spans="3:5" x14ac:dyDescent="0.25">
      <c r="C7017" t="s">
        <v>12738</v>
      </c>
      <c r="D7017" t="s">
        <v>12739</v>
      </c>
      <c r="E7017" t="str">
        <f>HYPERLINK("https://patents.google.com/patent/US20100312650A1/en")</f>
        <v>https://patents.google.com/patent/US20100312650A1/en</v>
      </c>
    </row>
    <row r="7018" spans="3:5" x14ac:dyDescent="0.25">
      <c r="C7018" t="s">
        <v>12740</v>
      </c>
      <c r="D7018" t="s">
        <v>12741</v>
      </c>
      <c r="E7018" t="str">
        <f>HYPERLINK("https://patents.google.com/patent/US20150094914A1/en")</f>
        <v>https://patents.google.com/patent/US20150094914A1/en</v>
      </c>
    </row>
    <row r="7019" spans="3:5" x14ac:dyDescent="0.25">
      <c r="C7019" t="s">
        <v>11497</v>
      </c>
      <c r="D7019" t="s">
        <v>12742</v>
      </c>
      <c r="E7019" t="str">
        <f>HYPERLINK("https://patents.google.com/patent/US20050049921A1/en")</f>
        <v>https://patents.google.com/patent/US20050049921A1/en</v>
      </c>
    </row>
    <row r="7020" spans="3:5" x14ac:dyDescent="0.25">
      <c r="C7020" t="s">
        <v>12743</v>
      </c>
      <c r="D7020" t="s">
        <v>12744</v>
      </c>
      <c r="E7020" t="str">
        <f>HYPERLINK("https://patents.google.com/patent/US20130219482A1/en")</f>
        <v>https://patents.google.com/patent/US20130219482A1/en</v>
      </c>
    </row>
    <row r="7021" spans="3:5" x14ac:dyDescent="0.25">
      <c r="C7021" t="s">
        <v>12745</v>
      </c>
      <c r="D7021" t="s">
        <v>12746</v>
      </c>
      <c r="E7021" t="str">
        <f>HYPERLINK("https://patents.google.com/patent/US20060015342A1/en")</f>
        <v>https://patents.google.com/patent/US20060015342A1/en</v>
      </c>
    </row>
    <row r="7022" spans="3:5" x14ac:dyDescent="0.25">
      <c r="C7022" t="s">
        <v>12747</v>
      </c>
      <c r="D7022" t="s">
        <v>12748</v>
      </c>
      <c r="E7022" t="str">
        <f>HYPERLINK("https://patents.google.com/patent/US20140058567A1/en")</f>
        <v>https://patents.google.com/patent/US20140058567A1/en</v>
      </c>
    </row>
    <row r="7023" spans="3:5" x14ac:dyDescent="0.25">
      <c r="C7023" t="s">
        <v>12749</v>
      </c>
      <c r="D7023" t="s">
        <v>12750</v>
      </c>
      <c r="E7023" t="str">
        <f>HYPERLINK("https://patents.google.com/patent/US20040024643A1/en")</f>
        <v>https://patents.google.com/patent/US20040024643A1/en</v>
      </c>
    </row>
    <row r="7024" spans="3:5" x14ac:dyDescent="0.25">
      <c r="C7024" t="s">
        <v>12751</v>
      </c>
      <c r="D7024" t="s">
        <v>12752</v>
      </c>
      <c r="E7024" t="str">
        <f>HYPERLINK("https://patents.google.com/patent/US5709154A/en")</f>
        <v>https://patents.google.com/patent/US5709154A/en</v>
      </c>
    </row>
    <row r="7025" spans="3:5" x14ac:dyDescent="0.25">
      <c r="C7025" t="s">
        <v>12753</v>
      </c>
      <c r="D7025" t="s">
        <v>12754</v>
      </c>
      <c r="E7025" t="str">
        <f>HYPERLINK("https://patents.google.com/patent/CN206700605U/en")</f>
        <v>https://patents.google.com/patent/CN206700605U/en</v>
      </c>
    </row>
    <row r="7026" spans="3:5" x14ac:dyDescent="0.25">
      <c r="C7026" t="s">
        <v>12755</v>
      </c>
      <c r="D7026" t="s">
        <v>12756</v>
      </c>
      <c r="E7026" t="str">
        <f>HYPERLINK("https://patents.google.com/patent/US5121699A/en")</f>
        <v>https://patents.google.com/patent/US5121699A/en</v>
      </c>
    </row>
    <row r="7027" spans="3:5" x14ac:dyDescent="0.25">
      <c r="C7027" t="s">
        <v>12757</v>
      </c>
      <c r="D7027" t="s">
        <v>12758</v>
      </c>
      <c r="E7027" t="str">
        <f>HYPERLINK("https://patents.google.com/patent/US20120040179A1/en")</f>
        <v>https://patents.google.com/patent/US20120040179A1/en</v>
      </c>
    </row>
    <row r="7028" spans="3:5" x14ac:dyDescent="0.25">
      <c r="C7028" t="s">
        <v>12759</v>
      </c>
      <c r="D7028" t="s">
        <v>12760</v>
      </c>
      <c r="E7028" t="str">
        <f>HYPERLINK("https://patents.google.com/patent/US20130321397A1/en")</f>
        <v>https://patents.google.com/patent/US20130321397A1/en</v>
      </c>
    </row>
    <row r="7029" spans="3:5" x14ac:dyDescent="0.25">
      <c r="C7029" t="s">
        <v>12761</v>
      </c>
      <c r="D7029" t="s">
        <v>12762</v>
      </c>
      <c r="E7029" t="str">
        <f>HYPERLINK("https://patents.google.com/patent/US20130218053A1/en")</f>
        <v>https://patents.google.com/patent/US20130218053A1/en</v>
      </c>
    </row>
    <row r="7030" spans="3:5" x14ac:dyDescent="0.25">
      <c r="C7030" t="s">
        <v>12518</v>
      </c>
      <c r="D7030" t="s">
        <v>12763</v>
      </c>
      <c r="E7030" t="str">
        <f>HYPERLINK("https://patents.google.com/patent/US20100286841A1/en")</f>
        <v>https://patents.google.com/patent/US20100286841A1/en</v>
      </c>
    </row>
    <row r="7031" spans="3:5" x14ac:dyDescent="0.25">
      <c r="C7031" t="s">
        <v>12764</v>
      </c>
      <c r="D7031" t="s">
        <v>12765</v>
      </c>
      <c r="E7031" t="str">
        <f>HYPERLINK("https://patents.google.com/patent/US4037834A/en")</f>
        <v>https://patents.google.com/patent/US4037834A/en</v>
      </c>
    </row>
    <row r="7032" spans="3:5" x14ac:dyDescent="0.25">
      <c r="C7032" t="s">
        <v>12766</v>
      </c>
      <c r="D7032" t="s">
        <v>12767</v>
      </c>
      <c r="E7032" t="str">
        <f>HYPERLINK("https://patents.google.com/patent/US20130085616A1/en")</f>
        <v>https://patents.google.com/patent/US20130085616A1/en</v>
      </c>
    </row>
    <row r="7033" spans="3:5" x14ac:dyDescent="0.25">
      <c r="C7033" t="s">
        <v>12768</v>
      </c>
      <c r="D7033" t="s">
        <v>12769</v>
      </c>
      <c r="E7033" t="str">
        <f>HYPERLINK("https://patents.google.com/patent/US5470038A/en")</f>
        <v>https://patents.google.com/patent/US5470038A/en</v>
      </c>
    </row>
    <row r="7034" spans="3:5" x14ac:dyDescent="0.25">
      <c r="C7034" t="s">
        <v>12770</v>
      </c>
      <c r="D7034" t="s">
        <v>12771</v>
      </c>
      <c r="E7034" t="str">
        <f>HYPERLINK("https://patents.google.com/patent/CN201765486U/en")</f>
        <v>https://patents.google.com/patent/CN201765486U/en</v>
      </c>
    </row>
    <row r="7035" spans="3:5" x14ac:dyDescent="0.25">
      <c r="C7035" t="s">
        <v>12772</v>
      </c>
      <c r="D7035" t="s">
        <v>12773</v>
      </c>
      <c r="E7035" t="str">
        <f>HYPERLINK("https://patents.google.com/patent/CN204100382U/en")</f>
        <v>https://patents.google.com/patent/CN204100382U/en</v>
      </c>
    </row>
    <row r="7036" spans="3:5" x14ac:dyDescent="0.25">
      <c r="C7036" t="s">
        <v>12774</v>
      </c>
      <c r="D7036" t="s">
        <v>12775</v>
      </c>
      <c r="E7036" t="str">
        <f>HYPERLINK("https://patents.google.com/patent/US20060017752A1/en")</f>
        <v>https://patents.google.com/patent/US20060017752A1/en</v>
      </c>
    </row>
    <row r="7037" spans="3:5" x14ac:dyDescent="0.25">
      <c r="C7037" t="s">
        <v>12776</v>
      </c>
      <c r="D7037" t="s">
        <v>12777</v>
      </c>
      <c r="E7037" t="str">
        <f>HYPERLINK("https://patents.google.com/patent/US20060144994A1/en")</f>
        <v>https://patents.google.com/patent/US20060144994A1/en</v>
      </c>
    </row>
    <row r="7038" spans="3:5" x14ac:dyDescent="0.25">
      <c r="C7038" t="s">
        <v>12778</v>
      </c>
      <c r="D7038" t="s">
        <v>12779</v>
      </c>
      <c r="E7038" t="str">
        <f>HYPERLINK("https://patents.google.com/patent/US20140018971A1/en")</f>
        <v>https://patents.google.com/patent/US20140018971A1/en</v>
      </c>
    </row>
    <row r="7039" spans="3:5" x14ac:dyDescent="0.25">
      <c r="C7039" t="s">
        <v>12780</v>
      </c>
      <c r="D7039" t="s">
        <v>12781</v>
      </c>
      <c r="E7039" t="str">
        <f>HYPERLINK("https://patents.google.com/patent/US20140282934A1/en")</f>
        <v>https://patents.google.com/patent/US20140282934A1/en</v>
      </c>
    </row>
    <row r="7040" spans="3:5" x14ac:dyDescent="0.25">
      <c r="C7040" t="s">
        <v>12782</v>
      </c>
      <c r="D7040" t="s">
        <v>12783</v>
      </c>
      <c r="E7040" t="str">
        <f>HYPERLINK("https://patents.google.com/patent/US20110079214A1/en")</f>
        <v>https://patents.google.com/patent/US20110079214A1/en</v>
      </c>
    </row>
    <row r="7041" spans="3:5" x14ac:dyDescent="0.25">
      <c r="C7041" t="s">
        <v>12784</v>
      </c>
      <c r="D7041" t="s">
        <v>12785</v>
      </c>
      <c r="E7041" t="str">
        <f>HYPERLINK("https://patents.google.com/patent/US4342278A/en")</f>
        <v>https://patents.google.com/patent/US4342278A/en</v>
      </c>
    </row>
    <row r="7042" spans="3:5" x14ac:dyDescent="0.25">
      <c r="C7042" t="s">
        <v>12786</v>
      </c>
      <c r="D7042" t="s">
        <v>12787</v>
      </c>
      <c r="E7042" t="str">
        <f>HYPERLINK("https://patents.google.com/patent/US5279071A/en")</f>
        <v>https://patents.google.com/patent/US5279071A/en</v>
      </c>
    </row>
    <row r="7043" spans="3:5" x14ac:dyDescent="0.25">
      <c r="C7043" t="s">
        <v>12788</v>
      </c>
      <c r="D7043" t="s">
        <v>12789</v>
      </c>
      <c r="E7043" t="str">
        <f>HYPERLINK("https://patents.google.com/patent/US6230440B1/en")</f>
        <v>https://patents.google.com/patent/US6230440B1/en</v>
      </c>
    </row>
    <row r="7044" spans="3:5" x14ac:dyDescent="0.25">
      <c r="C7044" t="s">
        <v>12790</v>
      </c>
      <c r="D7044" t="s">
        <v>12791</v>
      </c>
      <c r="E7044" t="str">
        <f>HYPERLINK("https://patents.google.com/patent/US20150119767A1/en")</f>
        <v>https://patents.google.com/patent/US20150119767A1/en</v>
      </c>
    </row>
    <row r="7045" spans="3:5" x14ac:dyDescent="0.25">
      <c r="C7045" t="s">
        <v>12792</v>
      </c>
      <c r="D7045" t="s">
        <v>12793</v>
      </c>
      <c r="E7045" t="str">
        <f>HYPERLINK("https://patents.google.com/patent/US20130026241A1/en")</f>
        <v>https://patents.google.com/patent/US20130026241A1/en</v>
      </c>
    </row>
    <row r="7046" spans="3:5" x14ac:dyDescent="0.25">
      <c r="C7046" t="s">
        <v>12794</v>
      </c>
      <c r="D7046" t="s">
        <v>12795</v>
      </c>
      <c r="E7046" t="str">
        <f>HYPERLINK("https://patents.google.com/patent/US20070231156A1/en")</f>
        <v>https://patents.google.com/patent/US20070231156A1/en</v>
      </c>
    </row>
    <row r="7047" spans="3:5" x14ac:dyDescent="0.25">
      <c r="C7047" t="s">
        <v>12796</v>
      </c>
      <c r="D7047" t="s">
        <v>12797</v>
      </c>
      <c r="E7047" t="str">
        <f>HYPERLINK("https://patents.google.com/patent/US20140046777A1/en")</f>
        <v>https://patents.google.com/patent/US20140046777A1/en</v>
      </c>
    </row>
    <row r="7048" spans="3:5" x14ac:dyDescent="0.25">
      <c r="C7048" t="s">
        <v>12798</v>
      </c>
      <c r="D7048" t="s">
        <v>12799</v>
      </c>
      <c r="E7048" t="str">
        <f>HYPERLINK("https://patents.google.com/patent/US20060020486A1/en")</f>
        <v>https://patents.google.com/patent/US20060020486A1/en</v>
      </c>
    </row>
    <row r="7049" spans="3:5" x14ac:dyDescent="0.25">
      <c r="C7049" t="s">
        <v>12800</v>
      </c>
      <c r="D7049" t="s">
        <v>12801</v>
      </c>
      <c r="E7049" t="str">
        <f>HYPERLINK("https://patents.google.com/patent/US20060015337A1/en")</f>
        <v>https://patents.google.com/patent/US20060015337A1/en</v>
      </c>
    </row>
    <row r="7050" spans="3:5" x14ac:dyDescent="0.25">
      <c r="C7050" t="s">
        <v>12802</v>
      </c>
      <c r="D7050" t="s">
        <v>12803</v>
      </c>
      <c r="E7050" t="str">
        <f>HYPERLINK("https://patents.google.com/patent/US20070000921A1/en")</f>
        <v>https://patents.google.com/patent/US20070000921A1/en</v>
      </c>
    </row>
    <row r="7051" spans="3:5" x14ac:dyDescent="0.25">
      <c r="C7051" t="s">
        <v>12804</v>
      </c>
      <c r="D7051" t="s">
        <v>12805</v>
      </c>
      <c r="E7051" t="str">
        <f>HYPERLINK("https://patents.google.com/patent/US20100197222A1/en")</f>
        <v>https://patents.google.com/patent/US20100197222A1/en</v>
      </c>
    </row>
    <row r="7052" spans="3:5" x14ac:dyDescent="0.25">
      <c r="C7052" t="s">
        <v>12806</v>
      </c>
      <c r="D7052" t="s">
        <v>12807</v>
      </c>
      <c r="E7052" t="str">
        <f>HYPERLINK("https://patents.google.com/patent/US20060031101A1/en")</f>
        <v>https://patents.google.com/patent/US20060031101A1/en</v>
      </c>
    </row>
    <row r="7053" spans="3:5" x14ac:dyDescent="0.25">
      <c r="C7053" t="s">
        <v>12808</v>
      </c>
      <c r="D7053" t="s">
        <v>12809</v>
      </c>
      <c r="E7053" t="str">
        <f>HYPERLINK("https://patents.google.com/patent/US20030201645A1/en")</f>
        <v>https://patents.google.com/patent/US20030201645A1/en</v>
      </c>
    </row>
    <row r="7054" spans="3:5" x14ac:dyDescent="0.25">
      <c r="C7054" t="s">
        <v>12810</v>
      </c>
      <c r="D7054" t="s">
        <v>12811</v>
      </c>
      <c r="E7054" t="str">
        <f>HYPERLINK("https://patents.google.com/patent/US20040153409A1/en")</f>
        <v>https://patents.google.com/patent/US20040153409A1/en</v>
      </c>
    </row>
    <row r="7055" spans="3:5" x14ac:dyDescent="0.25">
      <c r="C7055" t="s">
        <v>12812</v>
      </c>
      <c r="D7055" t="s">
        <v>12813</v>
      </c>
      <c r="E7055" t="str">
        <f>HYPERLINK("https://patents.google.com/patent/US5520401A/en")</f>
        <v>https://patents.google.com/patent/US5520401A/en</v>
      </c>
    </row>
    <row r="7056" spans="3:5" x14ac:dyDescent="0.25">
      <c r="C7056" t="s">
        <v>12814</v>
      </c>
      <c r="D7056" t="s">
        <v>12815</v>
      </c>
      <c r="E7056" t="str">
        <f>HYPERLINK("https://patents.google.com/patent/US20090113018A1/en")</f>
        <v>https://patents.google.com/patent/US20090113018A1/en</v>
      </c>
    </row>
    <row r="7057" spans="3:5" x14ac:dyDescent="0.25">
      <c r="C7057" t="s">
        <v>12816</v>
      </c>
      <c r="D7057" t="s">
        <v>12817</v>
      </c>
      <c r="E7057" t="str">
        <f>HYPERLINK("https://patents.google.com/patent/US20070150856A1/en")</f>
        <v>https://patents.google.com/patent/US20070150856A1/en</v>
      </c>
    </row>
    <row r="7058" spans="3:5" x14ac:dyDescent="0.25">
      <c r="C7058" t="s">
        <v>12818</v>
      </c>
      <c r="D7058" t="s">
        <v>12819</v>
      </c>
      <c r="E7058" t="str">
        <f>HYPERLINK("https://patents.google.com/patent/US20120169542A1/en")</f>
        <v>https://patents.google.com/patent/US20120169542A1/en</v>
      </c>
    </row>
    <row r="7059" spans="3:5" x14ac:dyDescent="0.25">
      <c r="C7059" t="s">
        <v>12820</v>
      </c>
      <c r="D7059" t="s">
        <v>12821</v>
      </c>
      <c r="E7059" t="str">
        <f>HYPERLINK("https://patents.google.com/patent/US20150195858A1/en")</f>
        <v>https://patents.google.com/patent/US20150195858A1/en</v>
      </c>
    </row>
    <row r="7060" spans="3:5" x14ac:dyDescent="0.25">
      <c r="C7060" t="s">
        <v>12822</v>
      </c>
      <c r="D7060" t="s">
        <v>12823</v>
      </c>
      <c r="E7060" t="str">
        <f>HYPERLINK("https://patents.google.com/patent/US6813631B2/en")</f>
        <v>https://patents.google.com/patent/US6813631B2/en</v>
      </c>
    </row>
    <row r="7061" spans="3:5" x14ac:dyDescent="0.25">
      <c r="C7061" t="s">
        <v>12824</v>
      </c>
      <c r="D7061" t="s">
        <v>12825</v>
      </c>
      <c r="E7061" t="str">
        <f>HYPERLINK("https://patents.google.com/patent/US6945261B2/en")</f>
        <v>https://patents.google.com/patent/US6945261B2/en</v>
      </c>
    </row>
    <row r="7062" spans="3:5" x14ac:dyDescent="0.25">
      <c r="C7062" t="s">
        <v>12826</v>
      </c>
      <c r="D7062" t="s">
        <v>12827</v>
      </c>
      <c r="E7062" t="str">
        <f>HYPERLINK("https://patents.google.com/patent/WO2001026068A1/en")</f>
        <v>https://patents.google.com/patent/WO2001026068A1/en</v>
      </c>
    </row>
    <row r="7063" spans="3:5" x14ac:dyDescent="0.25">
      <c r="C7063" t="s">
        <v>12514</v>
      </c>
      <c r="D7063" t="s">
        <v>12828</v>
      </c>
      <c r="E7063" t="str">
        <f>HYPERLINK("https://patents.google.com/patent/US20140357312A1/en")</f>
        <v>https://patents.google.com/patent/US20140357312A1/en</v>
      </c>
    </row>
    <row r="7064" spans="3:5" x14ac:dyDescent="0.25">
      <c r="C7064" t="s">
        <v>12829</v>
      </c>
      <c r="D7064" t="s">
        <v>12830</v>
      </c>
      <c r="E7064" t="str">
        <f>HYPERLINK("https://patents.google.com/patent/US20120165215A1/en")</f>
        <v>https://patents.google.com/patent/US20120165215A1/en</v>
      </c>
    </row>
    <row r="7065" spans="3:5" x14ac:dyDescent="0.25">
      <c r="C7065" t="s">
        <v>12831</v>
      </c>
      <c r="D7065" t="s">
        <v>12832</v>
      </c>
      <c r="E7065" t="str">
        <f>HYPERLINK("https://patents.google.com/patent/US5185941A/en")</f>
        <v>https://patents.google.com/patent/US5185941A/en</v>
      </c>
    </row>
    <row r="7066" spans="3:5" x14ac:dyDescent="0.25">
      <c r="C7066" t="s">
        <v>12833</v>
      </c>
      <c r="D7066" t="s">
        <v>12834</v>
      </c>
      <c r="E7066" t="str">
        <f>HYPERLINK("https://patents.google.com/patent/US20140365304A1/en")</f>
        <v>https://patents.google.com/patent/US20140365304A1/en</v>
      </c>
    </row>
    <row r="7067" spans="3:5" x14ac:dyDescent="0.25">
      <c r="C7067" t="s">
        <v>8194</v>
      </c>
      <c r="D7067" t="s">
        <v>12835</v>
      </c>
      <c r="E7067" t="str">
        <f>HYPERLINK("https://patents.google.com/patent/WO2011116309A1/en")</f>
        <v>https://patents.google.com/patent/WO2011116309A1/en</v>
      </c>
    </row>
    <row r="7068" spans="3:5" x14ac:dyDescent="0.25">
      <c r="C7068" t="s">
        <v>12836</v>
      </c>
      <c r="D7068" t="s">
        <v>12837</v>
      </c>
      <c r="E7068" t="str">
        <f>HYPERLINK("https://patents.google.com/patent/US20140283113A1/en")</f>
        <v>https://patents.google.com/patent/US20140283113A1/en</v>
      </c>
    </row>
    <row r="7069" spans="3:5" x14ac:dyDescent="0.25">
      <c r="C7069" t="s">
        <v>12838</v>
      </c>
      <c r="D7069" t="s">
        <v>12839</v>
      </c>
      <c r="E7069" t="str">
        <f>HYPERLINK("https://patents.google.com/patent/US20100318294A1/en")</f>
        <v>https://patents.google.com/patent/US20100318294A1/en</v>
      </c>
    </row>
    <row r="7070" spans="3:5" x14ac:dyDescent="0.25">
      <c r="C7070" t="s">
        <v>12840</v>
      </c>
      <c r="D7070" t="s">
        <v>12841</v>
      </c>
      <c r="E7070" t="str">
        <f>HYPERLINK("https://patents.google.com/patent/US20140059479A1/en")</f>
        <v>https://patents.google.com/patent/US20140059479A1/en</v>
      </c>
    </row>
    <row r="7071" spans="3:5" x14ac:dyDescent="0.25">
      <c r="C7071" t="s">
        <v>12842</v>
      </c>
      <c r="D7071" t="s">
        <v>12843</v>
      </c>
      <c r="E7071" t="str">
        <f>HYPERLINK("https://patents.google.com/patent/US6095838A/en")</f>
        <v>https://patents.google.com/patent/US6095838A/en</v>
      </c>
    </row>
    <row r="7072" spans="3:5" x14ac:dyDescent="0.25">
      <c r="C7072" t="s">
        <v>12844</v>
      </c>
      <c r="D7072" t="s">
        <v>12845</v>
      </c>
      <c r="E7072" t="str">
        <f>HYPERLINK("https://patents.google.com/patent/US20080004725A1/en")</f>
        <v>https://patents.google.com/patent/US20080004725A1/en</v>
      </c>
    </row>
    <row r="7073" spans="3:5" x14ac:dyDescent="0.25">
      <c r="C7073" t="s">
        <v>12846</v>
      </c>
      <c r="D7073" t="s">
        <v>12847</v>
      </c>
      <c r="E7073" t="str">
        <f>HYPERLINK("https://patents.google.com/patent/US6500078B1/en")</f>
        <v>https://patents.google.com/patent/US6500078B1/en</v>
      </c>
    </row>
    <row r="7074" spans="3:5" x14ac:dyDescent="0.25">
      <c r="C7074" t="s">
        <v>12818</v>
      </c>
      <c r="D7074" t="s">
        <v>12848</v>
      </c>
      <c r="E7074" t="str">
        <f>HYPERLINK("https://patents.google.com/patent/WO2013112353A1/en")</f>
        <v>https://patents.google.com/patent/WO2013112353A1/en</v>
      </c>
    </row>
    <row r="7075" spans="3:5" x14ac:dyDescent="0.25">
      <c r="C7075" t="s">
        <v>12849</v>
      </c>
      <c r="D7075" t="s">
        <v>12850</v>
      </c>
      <c r="E7075" t="str">
        <f>HYPERLINK("https://patents.google.com/patent/US20060065485A1/en")</f>
        <v>https://patents.google.com/patent/US20060065485A1/en</v>
      </c>
    </row>
    <row r="7076" spans="3:5" x14ac:dyDescent="0.25">
      <c r="C7076" t="s">
        <v>12851</v>
      </c>
      <c r="D7076" t="s">
        <v>12852</v>
      </c>
      <c r="E7076" t="str">
        <f>HYPERLINK("https://patents.google.com/patent/US6921023B1/en")</f>
        <v>https://patents.google.com/patent/US6921023B1/en</v>
      </c>
    </row>
    <row r="7077" spans="3:5" x14ac:dyDescent="0.25">
      <c r="C7077" t="s">
        <v>12853</v>
      </c>
      <c r="D7077" t="s">
        <v>12854</v>
      </c>
      <c r="E7077" t="str">
        <f>HYPERLINK("https://patents.google.com/patent/WO2001026334A2/en")</f>
        <v>https://patents.google.com/patent/WO2001026334A2/en</v>
      </c>
    </row>
    <row r="7078" spans="3:5" x14ac:dyDescent="0.25">
      <c r="C7078" t="s">
        <v>12855</v>
      </c>
      <c r="D7078" t="s">
        <v>12856</v>
      </c>
      <c r="E7078" t="str">
        <f>HYPERLINK("https://patents.google.com/patent/US20080189166A1/en")</f>
        <v>https://patents.google.com/patent/US20080189166A1/en</v>
      </c>
    </row>
    <row r="7079" spans="3:5" x14ac:dyDescent="0.25">
      <c r="C7079" t="s">
        <v>12857</v>
      </c>
      <c r="D7079" t="s">
        <v>12858</v>
      </c>
      <c r="E7079" t="str">
        <f>HYPERLINK("https://patents.google.com/patent/WO2001026335A2/en")</f>
        <v>https://patents.google.com/patent/WO2001026335A2/en</v>
      </c>
    </row>
    <row r="7080" spans="3:5" x14ac:dyDescent="0.25">
      <c r="C7080" t="s">
        <v>12859</v>
      </c>
      <c r="D7080" t="s">
        <v>12860</v>
      </c>
      <c r="E7080" t="str">
        <f>HYPERLINK("https://patents.google.com/patent/US20150045992A1/en")</f>
        <v>https://patents.google.com/patent/US20150045992A1/en</v>
      </c>
    </row>
    <row r="7081" spans="3:5" x14ac:dyDescent="0.25">
      <c r="C7081" t="s">
        <v>12861</v>
      </c>
      <c r="D7081" t="s">
        <v>12862</v>
      </c>
      <c r="E7081" t="str">
        <f>HYPERLINK("https://patents.google.com/patent/US20160080485A1/en")</f>
        <v>https://patents.google.com/patent/US20160080485A1/en</v>
      </c>
    </row>
    <row r="7082" spans="3:5" x14ac:dyDescent="0.25">
      <c r="C7082" t="s">
        <v>12863</v>
      </c>
      <c r="D7082" t="s">
        <v>12864</v>
      </c>
      <c r="E7082" t="str">
        <f>HYPERLINK("https://patents.google.com/patent/US20080046277A1/en")</f>
        <v>https://patents.google.com/patent/US20080046277A1/en</v>
      </c>
    </row>
    <row r="7083" spans="3:5" x14ac:dyDescent="0.25">
      <c r="C7083" t="s">
        <v>12865</v>
      </c>
      <c r="D7083" t="s">
        <v>12866</v>
      </c>
      <c r="E7083" t="str">
        <f>HYPERLINK("https://patents.google.com/patent/US20120198253A1/en")</f>
        <v>https://patents.google.com/patent/US20120198253A1/en</v>
      </c>
    </row>
    <row r="7084" spans="3:5" x14ac:dyDescent="0.25">
      <c r="C7084" t="s">
        <v>12867</v>
      </c>
      <c r="D7084" t="s">
        <v>12868</v>
      </c>
      <c r="E7084" t="str">
        <f>HYPERLINK("https://patents.google.com/patent/WO2004100044A1/en")</f>
        <v>https://patents.google.com/patent/WO2004100044A1/en</v>
      </c>
    </row>
    <row r="7085" spans="3:5" x14ac:dyDescent="0.25">
      <c r="C7085" t="s">
        <v>12869</v>
      </c>
      <c r="D7085" t="s">
        <v>12870</v>
      </c>
      <c r="E7085" t="str">
        <f>HYPERLINK("https://patents.google.com/patent/US4389813A/en")</f>
        <v>https://patents.google.com/patent/US4389813A/en</v>
      </c>
    </row>
    <row r="7086" spans="3:5" x14ac:dyDescent="0.25">
      <c r="C7086" t="s">
        <v>12871</v>
      </c>
      <c r="D7086" t="s">
        <v>12872</v>
      </c>
      <c r="E7086" t="str">
        <f>HYPERLINK("https://patents.google.com/patent/CN101783873A/en")</f>
        <v>https://patents.google.com/patent/CN101783873A/en</v>
      </c>
    </row>
    <row r="7087" spans="3:5" x14ac:dyDescent="0.25">
      <c r="C7087" t="s">
        <v>12873</v>
      </c>
      <c r="D7087" t="s">
        <v>12874</v>
      </c>
      <c r="E7087" t="str">
        <f>HYPERLINK("https://patents.google.com/patent/US20140180817A1/en")</f>
        <v>https://patents.google.com/patent/US20140180817A1/en</v>
      </c>
    </row>
    <row r="7088" spans="3:5" x14ac:dyDescent="0.25">
      <c r="C7088" t="s">
        <v>12875</v>
      </c>
      <c r="D7088" t="s">
        <v>12876</v>
      </c>
      <c r="E7088" t="str">
        <f>HYPERLINK("https://patents.google.com/patent/US20140180451A1/en")</f>
        <v>https://patents.google.com/patent/US20140180451A1/en</v>
      </c>
    </row>
    <row r="7089" spans="3:5" x14ac:dyDescent="0.25">
      <c r="C7089" t="s">
        <v>12877</v>
      </c>
      <c r="D7089" t="s">
        <v>12878</v>
      </c>
      <c r="E7089" t="str">
        <f>HYPERLINK("https://patents.google.com/patent/US20150281910A1/en")</f>
        <v>https://patents.google.com/patent/US20150281910A1/en</v>
      </c>
    </row>
    <row r="7090" spans="3:5" x14ac:dyDescent="0.25">
      <c r="C7090" t="s">
        <v>12879</v>
      </c>
      <c r="D7090" t="s">
        <v>12880</v>
      </c>
      <c r="E7090" t="str">
        <f>HYPERLINK("https://patents.google.com/patent/US20140156308A1/en")</f>
        <v>https://patents.google.com/patent/US20140156308A1/en</v>
      </c>
    </row>
    <row r="7091" spans="3:5" x14ac:dyDescent="0.25">
      <c r="C7091" t="s">
        <v>12881</v>
      </c>
      <c r="D7091" t="s">
        <v>12882</v>
      </c>
      <c r="E7091" t="str">
        <f>HYPERLINK("https://patents.google.com/patent/WO2013054257A1/en")</f>
        <v>https://patents.google.com/patent/WO2013054257A1/en</v>
      </c>
    </row>
    <row r="7092" spans="3:5" x14ac:dyDescent="0.25">
      <c r="C7092" t="s">
        <v>12883</v>
      </c>
      <c r="D7092" t="s">
        <v>12884</v>
      </c>
      <c r="E7092" t="str">
        <f>HYPERLINK("https://patents.google.com/patent/CN101938146A/en")</f>
        <v>https://patents.google.com/patent/CN101938146A/en</v>
      </c>
    </row>
    <row r="7093" spans="3:5" x14ac:dyDescent="0.25">
      <c r="C7093" t="s">
        <v>12885</v>
      </c>
      <c r="D7093" t="s">
        <v>12886</v>
      </c>
      <c r="E7093" t="str">
        <f>HYPERLINK("https://patents.google.com/patent/CN1692317A/en")</f>
        <v>https://patents.google.com/patent/CN1692317A/en</v>
      </c>
    </row>
    <row r="7094" spans="3:5" x14ac:dyDescent="0.25">
      <c r="C7094" t="s">
        <v>12887</v>
      </c>
      <c r="D7094" t="s">
        <v>12888</v>
      </c>
      <c r="E7094" t="str">
        <f>HYPERLINK("https://patents.google.com/patent/CN102236867A/en")</f>
        <v>https://patents.google.com/patent/CN102236867A/en</v>
      </c>
    </row>
    <row r="7095" spans="3:5" x14ac:dyDescent="0.25">
      <c r="C7095" t="s">
        <v>12475</v>
      </c>
      <c r="D7095" t="s">
        <v>12889</v>
      </c>
      <c r="E7095" t="str">
        <f>HYPERLINK("https://patents.google.com/patent/CN1886628A/en")</f>
        <v>https://patents.google.com/patent/CN1886628A/en</v>
      </c>
    </row>
    <row r="7096" spans="3:5" x14ac:dyDescent="0.25">
      <c r="C7096" t="s">
        <v>12514</v>
      </c>
      <c r="D7096" t="s">
        <v>12890</v>
      </c>
      <c r="E7096" t="str">
        <f>HYPERLINK("https://patents.google.com/patent/US20150163345A1/en")</f>
        <v>https://patents.google.com/patent/US20150163345A1/en</v>
      </c>
    </row>
    <row r="7097" spans="3:5" x14ac:dyDescent="0.25">
      <c r="C7097" t="s">
        <v>12891</v>
      </c>
      <c r="D7097" t="s">
        <v>12892</v>
      </c>
      <c r="E7097" t="str">
        <f>HYPERLINK("https://patents.google.com/patent/US20100163338A1/en")</f>
        <v>https://patents.google.com/patent/US20100163338A1/en</v>
      </c>
    </row>
    <row r="7098" spans="3:5" x14ac:dyDescent="0.25">
      <c r="C7098" t="s">
        <v>12893</v>
      </c>
      <c r="D7098" t="s">
        <v>12894</v>
      </c>
      <c r="E7098" t="str">
        <f>HYPERLINK("https://patents.google.com/patent/CN101634604A/en")</f>
        <v>https://patents.google.com/patent/CN101634604A/en</v>
      </c>
    </row>
    <row r="7099" spans="3:5" x14ac:dyDescent="0.25">
      <c r="C7099" t="s">
        <v>12895</v>
      </c>
      <c r="D7099" t="s">
        <v>12896</v>
      </c>
      <c r="E7099" t="str">
        <f>HYPERLINK("https://patents.google.com/patent/US20100109936A1/en")</f>
        <v>https://patents.google.com/patent/US20100109936A1/en</v>
      </c>
    </row>
    <row r="7100" spans="3:5" x14ac:dyDescent="0.25">
      <c r="C7100" t="s">
        <v>12897</v>
      </c>
      <c r="D7100" t="s">
        <v>12898</v>
      </c>
      <c r="E7100" t="str">
        <f>HYPERLINK("https://patents.google.com/patent/US20120071082A1/en")</f>
        <v>https://patents.google.com/patent/US20120071082A1/en</v>
      </c>
    </row>
    <row r="7101" spans="3:5" x14ac:dyDescent="0.25">
      <c r="C7101" t="s">
        <v>12899</v>
      </c>
      <c r="D7101" t="s">
        <v>12900</v>
      </c>
      <c r="E7101" t="str">
        <f>HYPERLINK("https://patents.google.com/patent/US7654073B2/en")</f>
        <v>https://patents.google.com/patent/US7654073B2/en</v>
      </c>
    </row>
    <row r="7102" spans="3:5" x14ac:dyDescent="0.25">
      <c r="C7102" t="s">
        <v>12901</v>
      </c>
      <c r="D7102" t="s">
        <v>12902</v>
      </c>
      <c r="E7102" t="str">
        <f>HYPERLINK("https://patents.google.com/patent/US7089959B2/en")</f>
        <v>https://patents.google.com/patent/US7089959B2/en</v>
      </c>
    </row>
    <row r="7103" spans="3:5" x14ac:dyDescent="0.25">
      <c r="C7103" t="s">
        <v>12903</v>
      </c>
      <c r="D7103" t="s">
        <v>12904</v>
      </c>
      <c r="E7103" t="str">
        <f>HYPERLINK("https://patents.google.com/patent/US20150309563A1/en")</f>
        <v>https://patents.google.com/patent/US20150309563A1/en</v>
      </c>
    </row>
    <row r="7104" spans="3:5" x14ac:dyDescent="0.25">
      <c r="C7104" t="s">
        <v>12905</v>
      </c>
      <c r="D7104" t="s">
        <v>12906</v>
      </c>
      <c r="E7104" t="str">
        <f>HYPERLINK("https://patents.google.com/patent/US20150143806A1/en")</f>
        <v>https://patents.google.com/patent/US20150143806A1/en</v>
      </c>
    </row>
    <row r="7105" spans="3:5" x14ac:dyDescent="0.25">
      <c r="C7105" t="s">
        <v>12907</v>
      </c>
      <c r="D7105" t="s">
        <v>12908</v>
      </c>
      <c r="E7105" t="str">
        <f>HYPERLINK("https://patents.google.com/patent/CN102445200A/en")</f>
        <v>https://patents.google.com/patent/CN102445200A/en</v>
      </c>
    </row>
    <row r="7106" spans="3:5" x14ac:dyDescent="0.25">
      <c r="C7106" t="s">
        <v>12909</v>
      </c>
      <c r="D7106" t="s">
        <v>12910</v>
      </c>
      <c r="E7106" t="str">
        <f>HYPERLINK("https://patents.google.com/patent/US7738612B2/en")</f>
        <v>https://patents.google.com/patent/US7738612B2/en</v>
      </c>
    </row>
    <row r="7107" spans="3:5" x14ac:dyDescent="0.25">
      <c r="C7107" t="s">
        <v>12911</v>
      </c>
      <c r="D7107" t="s">
        <v>12912</v>
      </c>
      <c r="E7107" t="str">
        <f>HYPERLINK("https://patents.google.com/patent/US20100030380A1/en")</f>
        <v>https://patents.google.com/patent/US20100030380A1/en</v>
      </c>
    </row>
    <row r="7108" spans="3:5" x14ac:dyDescent="0.25">
      <c r="C7108" t="s">
        <v>12696</v>
      </c>
      <c r="D7108" t="s">
        <v>12913</v>
      </c>
      <c r="E7108" t="str">
        <f>HYPERLINK("https://patents.google.com/patent/WO2013111134A1/en")</f>
        <v>https://patents.google.com/patent/WO2013111134A1/en</v>
      </c>
    </row>
    <row r="7109" spans="3:5" x14ac:dyDescent="0.25">
      <c r="C7109" t="s">
        <v>12914</v>
      </c>
      <c r="D7109" t="s">
        <v>12915</v>
      </c>
      <c r="E7109" t="str">
        <f>HYPERLINK("https://patents.google.com/patent/JP2005528733A/en")</f>
        <v>https://patents.google.com/patent/JP2005528733A/en</v>
      </c>
    </row>
    <row r="7110" spans="3:5" x14ac:dyDescent="0.25">
      <c r="C7110" t="s">
        <v>12916</v>
      </c>
      <c r="D7110" t="s">
        <v>12917</v>
      </c>
      <c r="E7110" t="str">
        <f>HYPERLINK("https://patents.google.com/patent/US20120201041A1/en")</f>
        <v>https://patents.google.com/patent/US20120201041A1/en</v>
      </c>
    </row>
    <row r="7111" spans="3:5" x14ac:dyDescent="0.25">
      <c r="C7111" t="s">
        <v>12918</v>
      </c>
      <c r="D7111" t="s">
        <v>12919</v>
      </c>
      <c r="E7111" t="str">
        <f>HYPERLINK("https://patents.google.com/patent/US5218865A/en")</f>
        <v>https://patents.google.com/patent/US5218865A/en</v>
      </c>
    </row>
    <row r="7112" spans="3:5" x14ac:dyDescent="0.25">
      <c r="C7112" t="s">
        <v>12920</v>
      </c>
      <c r="D7112" t="s">
        <v>12921</v>
      </c>
      <c r="E7112" t="str">
        <f>HYPERLINK("https://patents.google.com/patent/US20160309345A1/en")</f>
        <v>https://patents.google.com/patent/US20160309345A1/en</v>
      </c>
    </row>
    <row r="7113" spans="3:5" x14ac:dyDescent="0.25">
      <c r="C7113" t="s">
        <v>12922</v>
      </c>
      <c r="D7113" t="s">
        <v>12923</v>
      </c>
      <c r="E7113" t="str">
        <f>HYPERLINK("https://patents.google.com/patent/US20160029248A1/en")</f>
        <v>https://patents.google.com/patent/US20160029248A1/en</v>
      </c>
    </row>
    <row r="7114" spans="3:5" x14ac:dyDescent="0.25">
      <c r="C7114" t="s">
        <v>12924</v>
      </c>
      <c r="D7114" t="s">
        <v>12925</v>
      </c>
      <c r="E7114" t="str">
        <f>HYPERLINK("https://patents.google.com/patent/US20140120947A1/en")</f>
        <v>https://patents.google.com/patent/US20140120947A1/en</v>
      </c>
    </row>
    <row r="7115" spans="3:5" x14ac:dyDescent="0.25">
      <c r="C7115" t="s">
        <v>12926</v>
      </c>
      <c r="D7115" t="s">
        <v>12927</v>
      </c>
      <c r="E7115" t="str">
        <f>HYPERLINK("https://patents.google.com/patent/CN102986190A/en")</f>
        <v>https://patents.google.com/patent/CN102986190A/en</v>
      </c>
    </row>
    <row r="7116" spans="3:5" x14ac:dyDescent="0.25">
      <c r="C7116" t="s">
        <v>12928</v>
      </c>
      <c r="D7116" t="s">
        <v>12929</v>
      </c>
      <c r="E7116" t="str">
        <f>HYPERLINK("https://patents.google.com/patent/US20160069743A1/en")</f>
        <v>https://patents.google.com/patent/US20160069743A1/en</v>
      </c>
    </row>
    <row r="7117" spans="3:5" x14ac:dyDescent="0.25">
      <c r="C7117" t="s">
        <v>12930</v>
      </c>
      <c r="D7117" t="s">
        <v>12931</v>
      </c>
      <c r="E7117" t="str">
        <f>HYPERLINK("https://patents.google.com/patent/CN104807144A/en")</f>
        <v>https://patents.google.com/patent/CN104807144A/en</v>
      </c>
    </row>
    <row r="7118" spans="3:5" x14ac:dyDescent="0.25">
      <c r="C7118" t="s">
        <v>12932</v>
      </c>
      <c r="D7118" t="s">
        <v>12933</v>
      </c>
      <c r="E7118" t="str">
        <f>HYPERLINK("https://patents.google.com/patent/US20120131861A1/en")</f>
        <v>https://patents.google.com/patent/US20120131861A1/en</v>
      </c>
    </row>
    <row r="7119" spans="3:5" x14ac:dyDescent="0.25">
      <c r="C7119" t="s">
        <v>12934</v>
      </c>
      <c r="D7119" t="s">
        <v>12935</v>
      </c>
      <c r="E7119" t="str">
        <f>HYPERLINK("https://patents.google.com/patent/US20110010817A1/en")</f>
        <v>https://patents.google.com/patent/US20110010817A1/en</v>
      </c>
    </row>
    <row r="7120" spans="3:5" x14ac:dyDescent="0.25">
      <c r="C7120" t="s">
        <v>12936</v>
      </c>
      <c r="D7120" t="s">
        <v>12937</v>
      </c>
      <c r="E7120" t="str">
        <f>HYPERLINK("https://patents.google.com/patent/US20100012718A1/en")</f>
        <v>https://patents.google.com/patent/US20100012718A1/en</v>
      </c>
    </row>
    <row r="7121" spans="3:5" x14ac:dyDescent="0.25">
      <c r="C7121" t="s">
        <v>12938</v>
      </c>
      <c r="D7121" t="s">
        <v>12939</v>
      </c>
      <c r="E7121" t="str">
        <f>HYPERLINK("https://patents.google.com/patent/US20140048244A1/en")</f>
        <v>https://patents.google.com/patent/US20140048244A1/en</v>
      </c>
    </row>
    <row r="7122" spans="3:5" x14ac:dyDescent="0.25">
      <c r="C7122" t="s">
        <v>12940</v>
      </c>
      <c r="D7122" t="s">
        <v>12941</v>
      </c>
      <c r="E7122" t="str">
        <f>HYPERLINK("https://patents.google.com/patent/US20150112790A1/en")</f>
        <v>https://patents.google.com/patent/US20150112790A1/en</v>
      </c>
    </row>
    <row r="7123" spans="3:5" x14ac:dyDescent="0.25">
      <c r="C7123" t="s">
        <v>12942</v>
      </c>
      <c r="D7123" t="s">
        <v>12943</v>
      </c>
      <c r="E7123" t="str">
        <f>HYPERLINK("https://patents.google.com/patent/US20150192241A1/en")</f>
        <v>https://patents.google.com/patent/US20150192241A1/en</v>
      </c>
    </row>
    <row r="7124" spans="3:5" x14ac:dyDescent="0.25">
      <c r="C7124" t="s">
        <v>12944</v>
      </c>
      <c r="D7124" t="s">
        <v>12945</v>
      </c>
      <c r="E7124" t="str">
        <f>HYPERLINK("https://patents.google.com/patent/US20130066477A1/en")</f>
        <v>https://patents.google.com/patent/US20130066477A1/en</v>
      </c>
    </row>
    <row r="7125" spans="3:5" x14ac:dyDescent="0.25">
      <c r="C7125" t="s">
        <v>12946</v>
      </c>
      <c r="D7125" t="s">
        <v>12947</v>
      </c>
      <c r="E7125" t="str">
        <f>HYPERLINK("https://patents.google.com/patent/CN1735999A/en")</f>
        <v>https://patents.google.com/patent/CN1735999A/en</v>
      </c>
    </row>
    <row r="7126" spans="3:5" x14ac:dyDescent="0.25">
      <c r="C7126" t="s">
        <v>12948</v>
      </c>
      <c r="D7126" t="s">
        <v>12949</v>
      </c>
      <c r="E7126" t="str">
        <f>HYPERLINK("https://patents.google.com/patent/JP2004071965A/en")</f>
        <v>https://patents.google.com/patent/JP2004071965A/en</v>
      </c>
    </row>
    <row r="7127" spans="3:5" x14ac:dyDescent="0.25">
      <c r="C7127" t="s">
        <v>12950</v>
      </c>
      <c r="D7127" t="s">
        <v>12951</v>
      </c>
      <c r="E7127" t="str">
        <f>HYPERLINK("https://patents.google.com/patent/WO2016144765A1/en")</f>
        <v>https://patents.google.com/patent/WO2016144765A1/en</v>
      </c>
    </row>
    <row r="7128" spans="3:5" x14ac:dyDescent="0.25">
      <c r="C7128" t="s">
        <v>12952</v>
      </c>
      <c r="D7128" t="s">
        <v>12953</v>
      </c>
      <c r="E7128" t="str">
        <f>HYPERLINK("https://patents.google.com/patent/US2598544A/en")</f>
        <v>https://patents.google.com/patent/US2598544A/en</v>
      </c>
    </row>
    <row r="7129" spans="3:5" x14ac:dyDescent="0.25">
      <c r="C7129" t="s">
        <v>12954</v>
      </c>
      <c r="D7129" t="s">
        <v>12955</v>
      </c>
      <c r="E7129" t="str">
        <f>HYPERLINK("https://patents.google.com/patent/US20020037792A1/en")</f>
        <v>https://patents.google.com/patent/US20020037792A1/en</v>
      </c>
    </row>
    <row r="7130" spans="3:5" x14ac:dyDescent="0.25">
      <c r="C7130" t="s">
        <v>10152</v>
      </c>
      <c r="D7130" t="s">
        <v>12956</v>
      </c>
      <c r="E7130" t="str">
        <f>HYPERLINK("https://patents.google.com/patent/WO2014158667A1/en")</f>
        <v>https://patents.google.com/patent/WO2014158667A1/en</v>
      </c>
    </row>
    <row r="7131" spans="3:5" x14ac:dyDescent="0.25">
      <c r="C7131" t="s">
        <v>12957</v>
      </c>
      <c r="D7131" t="s">
        <v>12958</v>
      </c>
      <c r="E7131" t="str">
        <f>HYPERLINK("https://patents.google.com/patent/US20150065149A1/en")</f>
        <v>https://patents.google.com/patent/US20150065149A1/en</v>
      </c>
    </row>
    <row r="7132" spans="3:5" x14ac:dyDescent="0.25">
      <c r="C7132" t="s">
        <v>12959</v>
      </c>
      <c r="D7132" t="s">
        <v>12960</v>
      </c>
      <c r="E7132" t="str">
        <f>HYPERLINK("https://patents.google.com/patent/CN102169611A/en")</f>
        <v>https://patents.google.com/patent/CN102169611A/en</v>
      </c>
    </row>
    <row r="7133" spans="3:5" x14ac:dyDescent="0.25">
      <c r="C7133" t="s">
        <v>12961</v>
      </c>
      <c r="D7133" t="s">
        <v>12962</v>
      </c>
      <c r="E7133" t="str">
        <f>HYPERLINK("https://patents.google.com/patent/US20110120879A1/en")</f>
        <v>https://patents.google.com/patent/US20110120879A1/en</v>
      </c>
    </row>
    <row r="7134" spans="3:5" x14ac:dyDescent="0.25">
      <c r="C7134" t="s">
        <v>12963</v>
      </c>
      <c r="D7134" t="s">
        <v>12964</v>
      </c>
      <c r="E7134" t="str">
        <f>HYPERLINK("https://patents.google.com/patent/US20150206349A1/en")</f>
        <v>https://patents.google.com/patent/US20150206349A1/en</v>
      </c>
    </row>
    <row r="7135" spans="3:5" x14ac:dyDescent="0.25">
      <c r="C7135" t="s">
        <v>12965</v>
      </c>
      <c r="D7135" t="s">
        <v>12966</v>
      </c>
      <c r="E7135" t="str">
        <f>HYPERLINK("https://patents.google.com/patent/US20150327052A1/en")</f>
        <v>https://patents.google.com/patent/US20150327052A1/en</v>
      </c>
    </row>
    <row r="7136" spans="3:5" x14ac:dyDescent="0.25">
      <c r="C7136" t="s">
        <v>12967</v>
      </c>
      <c r="D7136" t="s">
        <v>12968</v>
      </c>
      <c r="E7136" t="str">
        <f>HYPERLINK("https://patents.google.com/patent/US20110058802A1/en")</f>
        <v>https://patents.google.com/patent/US20110058802A1/en</v>
      </c>
    </row>
    <row r="7137" spans="3:5" x14ac:dyDescent="0.25">
      <c r="C7137" t="s">
        <v>12950</v>
      </c>
      <c r="D7137" t="s">
        <v>12969</v>
      </c>
      <c r="E7137" t="str">
        <f>HYPERLINK("https://patents.google.com/patent/US20160259329A1/en")</f>
        <v>https://patents.google.com/patent/US20160259329A1/en</v>
      </c>
    </row>
    <row r="7138" spans="3:5" x14ac:dyDescent="0.25">
      <c r="C7138" t="s">
        <v>12970</v>
      </c>
      <c r="D7138" t="s">
        <v>12971</v>
      </c>
      <c r="E7138" t="str">
        <f>HYPERLINK("https://patents.google.com/patent/CN204013924U/en")</f>
        <v>https://patents.google.com/patent/CN204013924U/en</v>
      </c>
    </row>
    <row r="7139" spans="3:5" x14ac:dyDescent="0.25">
      <c r="C7139" t="s">
        <v>12972</v>
      </c>
      <c r="D7139" t="s">
        <v>12973</v>
      </c>
      <c r="E7139" t="str">
        <f>HYPERLINK("https://patents.google.com/patent/CN1598882A/en")</f>
        <v>https://patents.google.com/patent/CN1598882A/en</v>
      </c>
    </row>
    <row r="7140" spans="3:5" x14ac:dyDescent="0.25">
      <c r="C7140" t="s">
        <v>12974</v>
      </c>
      <c r="D7140" t="s">
        <v>12975</v>
      </c>
      <c r="E7140" t="str">
        <f>HYPERLINK("https://patents.google.com/patent/US20150037570A1/en")</f>
        <v>https://patents.google.com/patent/US20150037570A1/en</v>
      </c>
    </row>
    <row r="7141" spans="3:5" x14ac:dyDescent="0.25">
      <c r="C7141" t="s">
        <v>12976</v>
      </c>
      <c r="D7141" t="s">
        <v>12977</v>
      </c>
      <c r="E7141" t="str">
        <f>HYPERLINK("https://patents.google.com/patent/US9053449B2/en")</f>
        <v>https://patents.google.com/patent/US9053449B2/en</v>
      </c>
    </row>
    <row r="7142" spans="3:5" x14ac:dyDescent="0.25">
      <c r="C7142" t="s">
        <v>12978</v>
      </c>
      <c r="D7142" t="s">
        <v>12979</v>
      </c>
      <c r="E7142" t="str">
        <f>HYPERLINK("https://patents.google.com/patent/US20170136842A1/en")</f>
        <v>https://patents.google.com/patent/US20170136842A1/en</v>
      </c>
    </row>
    <row r="7143" spans="3:5" x14ac:dyDescent="0.25">
      <c r="C7143" t="s">
        <v>12980</v>
      </c>
      <c r="D7143" t="s">
        <v>12981</v>
      </c>
      <c r="E7143" t="str">
        <f>HYPERLINK("https://patents.google.com/patent/US20050150175A1/en")</f>
        <v>https://patents.google.com/patent/US20050150175A1/en</v>
      </c>
    </row>
    <row r="7144" spans="3:5" x14ac:dyDescent="0.25">
      <c r="C7144" t="s">
        <v>12982</v>
      </c>
      <c r="D7144" t="s">
        <v>12983</v>
      </c>
      <c r="E7144" t="str">
        <f>HYPERLINK("https://patents.google.com/patent/CN101442430A/en")</f>
        <v>https://patents.google.com/patent/CN101442430A/en</v>
      </c>
    </row>
    <row r="7145" spans="3:5" x14ac:dyDescent="0.25">
      <c r="C7145" t="s">
        <v>12984</v>
      </c>
      <c r="D7145" t="s">
        <v>12985</v>
      </c>
      <c r="E7145" t="str">
        <f>HYPERLINK("https://patents.google.com/patent/WO2001024600A2/en")</f>
        <v>https://patents.google.com/patent/WO2001024600A2/en</v>
      </c>
    </row>
    <row r="7146" spans="3:5" x14ac:dyDescent="0.25">
      <c r="C7146" t="s">
        <v>12986</v>
      </c>
      <c r="D7146" t="s">
        <v>12987</v>
      </c>
      <c r="E7146" t="str">
        <f>HYPERLINK("https://patents.google.com/patent/CN102198864A/en")</f>
        <v>https://patents.google.com/patent/CN102198864A/en</v>
      </c>
    </row>
    <row r="7147" spans="3:5" x14ac:dyDescent="0.25">
      <c r="C7147" t="s">
        <v>12988</v>
      </c>
      <c r="D7147" t="s">
        <v>12989</v>
      </c>
      <c r="E7147" t="str">
        <f>HYPERLINK("https://patents.google.com/patent/US20130307989A1/en")</f>
        <v>https://patents.google.com/patent/US20130307989A1/en</v>
      </c>
    </row>
    <row r="7148" spans="3:5" x14ac:dyDescent="0.25">
      <c r="C7148" t="s">
        <v>12990</v>
      </c>
      <c r="D7148" t="s">
        <v>12991</v>
      </c>
      <c r="E7148" t="str">
        <f>HYPERLINK("https://patents.google.com/patent/US20160043843A1/en")</f>
        <v>https://patents.google.com/patent/US20160043843A1/en</v>
      </c>
    </row>
    <row r="7149" spans="3:5" x14ac:dyDescent="0.25">
      <c r="C7149" t="s">
        <v>12992</v>
      </c>
      <c r="D7149" t="s">
        <v>12993</v>
      </c>
      <c r="E7149" t="str">
        <f>HYPERLINK("https://patents.google.com/patent/US20130259456A1/en")</f>
        <v>https://patents.google.com/patent/US20130259456A1/en</v>
      </c>
    </row>
    <row r="7150" spans="3:5" x14ac:dyDescent="0.25">
      <c r="C7150" t="s">
        <v>12994</v>
      </c>
      <c r="D7150" t="s">
        <v>12995</v>
      </c>
      <c r="E7150" t="str">
        <f>HYPERLINK("https://patents.google.com/patent/US20140358285A1/en")</f>
        <v>https://patents.google.com/patent/US20140358285A1/en</v>
      </c>
    </row>
    <row r="7151" spans="3:5" x14ac:dyDescent="0.25">
      <c r="C7151" t="s">
        <v>12996</v>
      </c>
      <c r="D7151" t="s">
        <v>12997</v>
      </c>
      <c r="E7151" t="str">
        <f>HYPERLINK("https://patents.google.com/patent/US20150228153A1/en")</f>
        <v>https://patents.google.com/patent/US20150228153A1/en</v>
      </c>
    </row>
    <row r="7152" spans="3:5" x14ac:dyDescent="0.25">
      <c r="C7152" t="s">
        <v>12998</v>
      </c>
      <c r="D7152" t="s">
        <v>12999</v>
      </c>
      <c r="E7152" t="str">
        <f>HYPERLINK("https://patents.google.com/patent/WO2006075756A1/en")</f>
        <v>https://patents.google.com/patent/WO2006075756A1/en</v>
      </c>
    </row>
    <row r="7153" spans="3:5" x14ac:dyDescent="0.25">
      <c r="C7153" t="s">
        <v>13000</v>
      </c>
      <c r="D7153" t="s">
        <v>13001</v>
      </c>
      <c r="E7153" t="str">
        <f>HYPERLINK("https://patents.google.com/patent/JP2015504616A/en")</f>
        <v>https://patents.google.com/patent/JP2015504616A/en</v>
      </c>
    </row>
    <row r="7154" spans="3:5" x14ac:dyDescent="0.25">
      <c r="C7154" t="s">
        <v>13002</v>
      </c>
      <c r="D7154" t="s">
        <v>13003</v>
      </c>
      <c r="E7154" t="str">
        <f>HYPERLINK("https://patents.google.com/patent/US7864011B2/en")</f>
        <v>https://patents.google.com/patent/US7864011B2/en</v>
      </c>
    </row>
    <row r="7155" spans="3:5" x14ac:dyDescent="0.25">
      <c r="C7155" t="s">
        <v>13004</v>
      </c>
      <c r="D7155" t="s">
        <v>13005</v>
      </c>
      <c r="E7155" t="str">
        <f>HYPERLINK("https://patents.google.com/patent/CN202126033U/en")</f>
        <v>https://patents.google.com/patent/CN202126033U/en</v>
      </c>
    </row>
    <row r="7156" spans="3:5" x14ac:dyDescent="0.25">
      <c r="C7156" t="s">
        <v>13006</v>
      </c>
      <c r="D7156" t="s">
        <v>13007</v>
      </c>
      <c r="E7156" t="str">
        <f>HYPERLINK("https://patents.google.com/patent/CN103559605A/en")</f>
        <v>https://patents.google.com/patent/CN103559605A/en</v>
      </c>
    </row>
    <row r="7157" spans="3:5" x14ac:dyDescent="0.25">
      <c r="C7157" t="s">
        <v>13008</v>
      </c>
      <c r="D7157" t="s">
        <v>13009</v>
      </c>
      <c r="E7157" t="str">
        <f>HYPERLINK("https://patents.google.com/patent/US20160324478A1/en")</f>
        <v>https://patents.google.com/patent/US20160324478A1/en</v>
      </c>
    </row>
    <row r="7158" spans="3:5" x14ac:dyDescent="0.25">
      <c r="C7158" t="s">
        <v>13010</v>
      </c>
      <c r="D7158" t="s">
        <v>13011</v>
      </c>
      <c r="E7158" t="str">
        <f>HYPERLINK("https://patents.google.com/patent/US20160338644A1/en")</f>
        <v>https://patents.google.com/patent/US20160338644A1/en</v>
      </c>
    </row>
    <row r="7159" spans="3:5" x14ac:dyDescent="0.25">
      <c r="C7159" t="s">
        <v>12996</v>
      </c>
      <c r="D7159" t="s">
        <v>13012</v>
      </c>
      <c r="E7159" t="str">
        <f>HYPERLINK("https://patents.google.com/patent/US20160019746A1/en")</f>
        <v>https://patents.google.com/patent/US20160019746A1/en</v>
      </c>
    </row>
    <row r="7160" spans="3:5" x14ac:dyDescent="0.25">
      <c r="C7160" t="s">
        <v>13013</v>
      </c>
      <c r="D7160" t="s">
        <v>13014</v>
      </c>
      <c r="E7160" t="str">
        <f>HYPERLINK("https://patents.google.com/patent/US9258765B1/en")</f>
        <v>https://patents.google.com/patent/US9258765B1/en</v>
      </c>
    </row>
    <row r="7161" spans="3:5" x14ac:dyDescent="0.25">
      <c r="C7161" t="s">
        <v>13015</v>
      </c>
      <c r="D7161" t="s">
        <v>13016</v>
      </c>
      <c r="E7161" t="str">
        <f>HYPERLINK("https://patents.google.com/patent/US20140098691A1/en")</f>
        <v>https://patents.google.com/patent/US20140098691A1/en</v>
      </c>
    </row>
    <row r="7162" spans="3:5" x14ac:dyDescent="0.25">
      <c r="C7162" t="s">
        <v>13017</v>
      </c>
      <c r="D7162" t="s">
        <v>13018</v>
      </c>
      <c r="E7162" t="str">
        <f>HYPERLINK("https://patents.google.com/patent/US20150115880A1/en")</f>
        <v>https://patents.google.com/patent/US20150115880A1/en</v>
      </c>
    </row>
    <row r="7163" spans="3:5" x14ac:dyDescent="0.25">
      <c r="C7163" t="s">
        <v>13019</v>
      </c>
      <c r="D7163" t="s">
        <v>13020</v>
      </c>
      <c r="E7163" t="str">
        <f>HYPERLINK("https://patents.google.com/patent/US20150234369A1/en")</f>
        <v>https://patents.google.com/patent/US20150234369A1/en</v>
      </c>
    </row>
    <row r="7164" spans="3:5" x14ac:dyDescent="0.25">
      <c r="C7164" t="s">
        <v>13021</v>
      </c>
      <c r="D7164" t="s">
        <v>13022</v>
      </c>
      <c r="E7164" t="str">
        <f>HYPERLINK("https://patents.google.com/patent/US20160019497A1/en")</f>
        <v>https://patents.google.com/patent/US20160019497A1/en</v>
      </c>
    </row>
    <row r="7165" spans="3:5" x14ac:dyDescent="0.25">
      <c r="C7165" t="s">
        <v>13023</v>
      </c>
      <c r="D7165" t="s">
        <v>13024</v>
      </c>
      <c r="E7165" t="str">
        <f>HYPERLINK("https://patents.google.com/patent/CN202054576U/en")</f>
        <v>https://patents.google.com/patent/CN202054576U/en</v>
      </c>
    </row>
    <row r="7166" spans="3:5" x14ac:dyDescent="0.25">
      <c r="C7166" t="s">
        <v>11002</v>
      </c>
      <c r="D7166" t="s">
        <v>13025</v>
      </c>
      <c r="E7166" t="str">
        <f>HYPERLINK("https://patents.google.com/patent/WO2014158672A1/en")</f>
        <v>https://patents.google.com/patent/WO2014158672A1/en</v>
      </c>
    </row>
    <row r="7167" spans="3:5" x14ac:dyDescent="0.25">
      <c r="C7167" t="s">
        <v>11105</v>
      </c>
      <c r="D7167" t="s">
        <v>13026</v>
      </c>
      <c r="E7167" t="str">
        <f>HYPERLINK("https://patents.google.com/patent/WO2014143563A1/en")</f>
        <v>https://patents.google.com/patent/WO2014143563A1/en</v>
      </c>
    </row>
    <row r="7168" spans="3:5" x14ac:dyDescent="0.25">
      <c r="C7168" t="s">
        <v>13027</v>
      </c>
      <c r="D7168" t="s">
        <v>13028</v>
      </c>
      <c r="E7168" t="str">
        <f>HYPERLINK("https://patents.google.com/patent/JPH0772812A/en")</f>
        <v>https://patents.google.com/patent/JPH0772812A/en</v>
      </c>
    </row>
    <row r="7169" spans="3:5" x14ac:dyDescent="0.25">
      <c r="C7169" t="s">
        <v>13029</v>
      </c>
      <c r="D7169" t="s">
        <v>13030</v>
      </c>
      <c r="E7169" t="str">
        <f>HYPERLINK("https://patents.google.com/patent/WO2012099588A1/en")</f>
        <v>https://patents.google.com/patent/WO2012099588A1/en</v>
      </c>
    </row>
    <row r="7170" spans="3:5" x14ac:dyDescent="0.25">
      <c r="C7170" t="s">
        <v>13031</v>
      </c>
      <c r="D7170" t="s">
        <v>13032</v>
      </c>
      <c r="E7170" t="str">
        <f>HYPERLINK("https://patents.google.com/patent/US20160002498A1/en")</f>
        <v>https://patents.google.com/patent/US20160002498A1/en</v>
      </c>
    </row>
    <row r="7171" spans="3:5" x14ac:dyDescent="0.25">
      <c r="C7171" t="s">
        <v>13033</v>
      </c>
      <c r="D7171" t="s">
        <v>13034</v>
      </c>
      <c r="E7171" t="str">
        <f>HYPERLINK("https://patents.google.com/patent/US20130081885A1/en")</f>
        <v>https://patents.google.com/patent/US20130081885A1/en</v>
      </c>
    </row>
    <row r="7172" spans="3:5" x14ac:dyDescent="0.25">
      <c r="C7172" t="s">
        <v>12384</v>
      </c>
      <c r="D7172" t="s">
        <v>13035</v>
      </c>
      <c r="E7172" t="str">
        <f>HYPERLINK("https://patents.google.com/patent/WO2014147494A1/en")</f>
        <v>https://patents.google.com/patent/WO2014147494A1/en</v>
      </c>
    </row>
    <row r="7173" spans="3:5" x14ac:dyDescent="0.25">
      <c r="C7173" t="s">
        <v>13036</v>
      </c>
      <c r="D7173" t="s">
        <v>13037</v>
      </c>
      <c r="E7173" t="str">
        <f>HYPERLINK("https://patents.google.com/patent/FR2862602A1/en")</f>
        <v>https://patents.google.com/patent/FR2862602A1/en</v>
      </c>
    </row>
    <row r="7174" spans="3:5" x14ac:dyDescent="0.25">
      <c r="C7174" t="s">
        <v>13038</v>
      </c>
      <c r="D7174" t="s">
        <v>13039</v>
      </c>
      <c r="E7174" t="str">
        <f>HYPERLINK("https://patents.google.com/patent/US20150312776A1/en")</f>
        <v>https://patents.google.com/patent/US20150312776A1/en</v>
      </c>
    </row>
    <row r="7175" spans="3:5" x14ac:dyDescent="0.25">
      <c r="C7175" t="s">
        <v>7917</v>
      </c>
      <c r="D7175" t="s">
        <v>13040</v>
      </c>
      <c r="E7175" t="str">
        <f>HYPERLINK("https://patents.google.com/patent/WO2008131446A2/en")</f>
        <v>https://patents.google.com/patent/WO2008131446A2/en</v>
      </c>
    </row>
    <row r="7176" spans="3:5" x14ac:dyDescent="0.25">
      <c r="C7176" t="s">
        <v>13041</v>
      </c>
      <c r="D7176" t="s">
        <v>13042</v>
      </c>
      <c r="E7176" t="str">
        <f>HYPERLINK("https://patents.google.com/patent/JP2006244488A/en")</f>
        <v>https://patents.google.com/patent/JP2006244488A/en</v>
      </c>
    </row>
    <row r="7177" spans="3:5" x14ac:dyDescent="0.25">
      <c r="C7177" t="s">
        <v>13043</v>
      </c>
      <c r="D7177" t="s">
        <v>13044</v>
      </c>
      <c r="E7177" t="str">
        <f>HYPERLINK("https://patents.google.com/patent/WO2014195660A1/en")</f>
        <v>https://patents.google.com/patent/WO2014195660A1/en</v>
      </c>
    </row>
    <row r="7178" spans="3:5" x14ac:dyDescent="0.25">
      <c r="C7178" t="s">
        <v>13045</v>
      </c>
      <c r="D7178" t="s">
        <v>13046</v>
      </c>
      <c r="E7178" t="str">
        <f>HYPERLINK("https://patents.google.com/patent/CN103501309A/en")</f>
        <v>https://patents.google.com/patent/CN103501309A/en</v>
      </c>
    </row>
    <row r="7179" spans="3:5" x14ac:dyDescent="0.25">
      <c r="C7179" t="s">
        <v>13047</v>
      </c>
      <c r="D7179" t="s">
        <v>13048</v>
      </c>
      <c r="E7179" t="str">
        <f>HYPERLINK("https://patents.google.com/patent/CN102367980A/en")</f>
        <v>https://patents.google.com/patent/CN102367980A/en</v>
      </c>
    </row>
    <row r="7180" spans="3:5" x14ac:dyDescent="0.25">
      <c r="C7180" t="s">
        <v>13049</v>
      </c>
      <c r="D7180" t="s">
        <v>13050</v>
      </c>
      <c r="E7180" t="str">
        <f>HYPERLINK("https://patents.google.com/patent/US20170093952A1/en")</f>
        <v>https://patents.google.com/patent/US20170093952A1/en</v>
      </c>
    </row>
    <row r="7181" spans="3:5" x14ac:dyDescent="0.25">
      <c r="C7181" t="s">
        <v>12400</v>
      </c>
      <c r="D7181" t="s">
        <v>13051</v>
      </c>
      <c r="E7181" t="str">
        <f>HYPERLINK("https://patents.google.com/patent/WO2014005067A1/en")</f>
        <v>https://patents.google.com/patent/WO2014005067A1/en</v>
      </c>
    </row>
    <row r="7182" spans="3:5" x14ac:dyDescent="0.25">
      <c r="C7182" t="s">
        <v>13052</v>
      </c>
      <c r="D7182" t="s">
        <v>13053</v>
      </c>
      <c r="E7182" t="str">
        <f>HYPERLINK("https://patents.google.com/patent/US20140263516A1/en")</f>
        <v>https://patents.google.com/patent/US20140263516A1/en</v>
      </c>
    </row>
    <row r="7183" spans="3:5" x14ac:dyDescent="0.25">
      <c r="C7183" t="s">
        <v>13054</v>
      </c>
      <c r="D7183" t="s">
        <v>13055</v>
      </c>
      <c r="E7183" t="str">
        <f>HYPERLINK("https://patents.google.com/patent/US20170013810A1/en")</f>
        <v>https://patents.google.com/patent/US20170013810A1/en</v>
      </c>
    </row>
    <row r="7184" spans="3:5" x14ac:dyDescent="0.25">
      <c r="C7184" t="s">
        <v>13056</v>
      </c>
      <c r="D7184" t="s">
        <v>13057</v>
      </c>
      <c r="E7184" t="str">
        <f>HYPERLINK("https://patents.google.com/patent/CN205931263U/en")</f>
        <v>https://patents.google.com/patent/CN205931263U/en</v>
      </c>
    </row>
    <row r="7185" spans="1:5" x14ac:dyDescent="0.25">
      <c r="C7185" t="s">
        <v>13058</v>
      </c>
      <c r="D7185" t="s">
        <v>13059</v>
      </c>
      <c r="E7185" t="str">
        <f>HYPERLINK("https://patents.google.com/patent/CN102562473A/en")</f>
        <v>https://patents.google.com/patent/CN102562473A/en</v>
      </c>
    </row>
    <row r="7186" spans="1:5" x14ac:dyDescent="0.25">
      <c r="C7186" t="s">
        <v>13060</v>
      </c>
      <c r="D7186" t="s">
        <v>13061</v>
      </c>
      <c r="E7186" t="str">
        <f>HYPERLINK("https://patents.google.com/patent/CN106081112B/en")</f>
        <v>https://patents.google.com/patent/CN106081112B/en</v>
      </c>
    </row>
    <row r="7187" spans="1:5" x14ac:dyDescent="0.25">
      <c r="C7187" t="s">
        <v>13062</v>
      </c>
      <c r="D7187" t="s">
        <v>13063</v>
      </c>
      <c r="E7187" t="str">
        <f>HYPERLINK("https://patents.google.com/patent/EP2947908A1/en")</f>
        <v>https://patents.google.com/patent/EP2947908A1/en</v>
      </c>
    </row>
    <row r="7188" spans="1:5" x14ac:dyDescent="0.25">
      <c r="C7188" t="s">
        <v>13064</v>
      </c>
      <c r="D7188" t="s">
        <v>13065</v>
      </c>
      <c r="E7188" t="str">
        <f>HYPERLINK("https://patents.google.com/patent/US20160099791A1/en")</f>
        <v>https://patents.google.com/patent/US20160099791A1/en</v>
      </c>
    </row>
    <row r="7189" spans="1:5" x14ac:dyDescent="0.25">
      <c r="C7189" t="s">
        <v>13066</v>
      </c>
      <c r="D7189" t="s">
        <v>13067</v>
      </c>
      <c r="E7189" t="str">
        <f>HYPERLINK("https://patents.google.com/patent/DE3615208A1/en")</f>
        <v>https://patents.google.com/patent/DE3615208A1/en</v>
      </c>
    </row>
    <row r="7190" spans="1:5" x14ac:dyDescent="0.25">
      <c r="C7190" t="s">
        <v>13068</v>
      </c>
      <c r="D7190" t="s">
        <v>13069</v>
      </c>
      <c r="E7190" t="str">
        <f>HYPERLINK("https://patents.google.com/patent/CN204923270U/en")</f>
        <v>https://patents.google.com/patent/CN204923270U/en</v>
      </c>
    </row>
    <row r="7191" spans="1:5" x14ac:dyDescent="0.25">
      <c r="C7191" t="s">
        <v>13070</v>
      </c>
      <c r="D7191" t="s">
        <v>13071</v>
      </c>
      <c r="E7191" t="str">
        <f>HYPERLINK("https://patents.google.com/patent/CN104052813A/en")</f>
        <v>https://patents.google.com/patent/CN104052813A/en</v>
      </c>
    </row>
    <row r="7192" spans="1:5" x14ac:dyDescent="0.25">
      <c r="A7192" t="s">
        <v>1337</v>
      </c>
      <c r="B7192">
        <v>595</v>
      </c>
    </row>
    <row r="7193" spans="1:5" x14ac:dyDescent="0.25">
      <c r="C7193" t="s">
        <v>13072</v>
      </c>
      <c r="D7193" t="s">
        <v>13073</v>
      </c>
      <c r="E7193" t="str">
        <f>HYPERLINK("https://patents.google.com/patent/US6826267B2/en")</f>
        <v>https://patents.google.com/patent/US6826267B2/en</v>
      </c>
    </row>
    <row r="7194" spans="1:5" x14ac:dyDescent="0.25">
      <c r="C7194" t="s">
        <v>13074</v>
      </c>
      <c r="D7194" t="s">
        <v>13075</v>
      </c>
      <c r="E7194" t="str">
        <f>HYPERLINK("https://patents.google.com/patent/US6353406B1/en")</f>
        <v>https://patents.google.com/patent/US6353406B1/en</v>
      </c>
    </row>
    <row r="7195" spans="1:5" x14ac:dyDescent="0.25">
      <c r="C7195" t="s">
        <v>13076</v>
      </c>
      <c r="D7195" t="s">
        <v>13077</v>
      </c>
      <c r="E7195" t="str">
        <f>HYPERLINK("https://patents.google.com/patent/US6947571B1/en")</f>
        <v>https://patents.google.com/patent/US6947571B1/en</v>
      </c>
    </row>
    <row r="7196" spans="1:5" x14ac:dyDescent="0.25">
      <c r="C7196" t="s">
        <v>13078</v>
      </c>
      <c r="D7196" t="s">
        <v>13079</v>
      </c>
      <c r="E7196" t="str">
        <f>HYPERLINK("https://patents.google.com/patent/US7844687B1/en")</f>
        <v>https://patents.google.com/patent/US7844687B1/en</v>
      </c>
    </row>
    <row r="7197" spans="1:5" x14ac:dyDescent="0.25">
      <c r="C7197" t="s">
        <v>13080</v>
      </c>
      <c r="D7197" t="s">
        <v>13081</v>
      </c>
      <c r="E7197" t="str">
        <f>HYPERLINK("https://patents.google.com/patent/US7353114B1/en")</f>
        <v>https://patents.google.com/patent/US7353114B1/en</v>
      </c>
    </row>
    <row r="7198" spans="1:5" x14ac:dyDescent="0.25">
      <c r="C7198" t="s">
        <v>7680</v>
      </c>
      <c r="D7198" t="s">
        <v>13082</v>
      </c>
      <c r="E7198" t="str">
        <f>HYPERLINK("https://patents.google.com/patent/US5877819A/en")</f>
        <v>https://patents.google.com/patent/US5877819A/en</v>
      </c>
    </row>
    <row r="7199" spans="1:5" x14ac:dyDescent="0.25">
      <c r="C7199" t="s">
        <v>13083</v>
      </c>
      <c r="D7199" t="s">
        <v>13084</v>
      </c>
      <c r="E7199" t="str">
        <f>HYPERLINK("https://patents.google.com/patent/US7792325B2/en")</f>
        <v>https://patents.google.com/patent/US7792325B2/en</v>
      </c>
    </row>
    <row r="7200" spans="1:5" x14ac:dyDescent="0.25">
      <c r="C7200" t="s">
        <v>13085</v>
      </c>
      <c r="D7200" t="s">
        <v>13086</v>
      </c>
      <c r="E7200" t="str">
        <f>HYPERLINK("https://patents.google.com/patent/US5629607A/en")</f>
        <v>https://patents.google.com/patent/US5629607A/en</v>
      </c>
    </row>
    <row r="7201" spans="3:5" x14ac:dyDescent="0.25">
      <c r="C7201" t="s">
        <v>13087</v>
      </c>
      <c r="D7201" t="s">
        <v>13088</v>
      </c>
      <c r="E7201" t="str">
        <f>HYPERLINK("https://patents.google.com/patent/US7933929B1/en")</f>
        <v>https://patents.google.com/patent/US7933929B1/en</v>
      </c>
    </row>
    <row r="7202" spans="3:5" x14ac:dyDescent="0.25">
      <c r="C7202" t="s">
        <v>13089</v>
      </c>
      <c r="D7202" t="s">
        <v>13090</v>
      </c>
      <c r="E7202" t="str">
        <f>HYPERLINK("https://patents.google.com/patent/US7414988B2/en")</f>
        <v>https://patents.google.com/patent/US7414988B2/en</v>
      </c>
    </row>
    <row r="7203" spans="3:5" x14ac:dyDescent="0.25">
      <c r="C7203" t="s">
        <v>13091</v>
      </c>
      <c r="D7203" t="s">
        <v>13092</v>
      </c>
      <c r="E7203" t="str">
        <f>HYPERLINK("https://patents.google.com/patent/US6892083B2/en")</f>
        <v>https://patents.google.com/patent/US6892083B2/en</v>
      </c>
    </row>
    <row r="7204" spans="3:5" x14ac:dyDescent="0.25">
      <c r="C7204" t="s">
        <v>13093</v>
      </c>
      <c r="D7204" t="s">
        <v>13094</v>
      </c>
      <c r="E7204" t="str">
        <f>HYPERLINK("https://patents.google.com/patent/US7024369B1/en")</f>
        <v>https://patents.google.com/patent/US7024369B1/en</v>
      </c>
    </row>
    <row r="7205" spans="3:5" x14ac:dyDescent="0.25">
      <c r="C7205" t="s">
        <v>13095</v>
      </c>
      <c r="D7205" t="s">
        <v>13096</v>
      </c>
      <c r="E7205" t="str">
        <f>HYPERLINK("https://patents.google.com/patent/US7313467B2/en")</f>
        <v>https://patents.google.com/patent/US7313467B2/en</v>
      </c>
    </row>
    <row r="7206" spans="3:5" x14ac:dyDescent="0.25">
      <c r="C7206" t="s">
        <v>13097</v>
      </c>
      <c r="D7206" t="s">
        <v>13098</v>
      </c>
      <c r="E7206" t="str">
        <f>HYPERLINK("https://patents.google.com/patent/US7832207B2/en")</f>
        <v>https://patents.google.com/patent/US7832207B2/en</v>
      </c>
    </row>
    <row r="7207" spans="3:5" x14ac:dyDescent="0.25">
      <c r="C7207" t="s">
        <v>13099</v>
      </c>
      <c r="D7207" t="s">
        <v>13100</v>
      </c>
      <c r="E7207" t="str">
        <f>HYPERLINK("https://patents.google.com/patent/US6565000B2/en")</f>
        <v>https://patents.google.com/patent/US6565000B2/en</v>
      </c>
    </row>
    <row r="7208" spans="3:5" x14ac:dyDescent="0.25">
      <c r="C7208" t="s">
        <v>13101</v>
      </c>
      <c r="D7208" t="s">
        <v>13102</v>
      </c>
      <c r="E7208" t="str">
        <f>HYPERLINK("https://patents.google.com/patent/US5319301A/en")</f>
        <v>https://patents.google.com/patent/US5319301A/en</v>
      </c>
    </row>
    <row r="7209" spans="3:5" x14ac:dyDescent="0.25">
      <c r="C7209" t="s">
        <v>13103</v>
      </c>
      <c r="D7209" t="s">
        <v>13104</v>
      </c>
      <c r="E7209" t="str">
        <f>HYPERLINK("https://patents.google.com/patent/US6262871B1/en")</f>
        <v>https://patents.google.com/patent/US6262871B1/en</v>
      </c>
    </row>
    <row r="7210" spans="3:5" x14ac:dyDescent="0.25">
      <c r="C7210" t="s">
        <v>5188</v>
      </c>
      <c r="D7210" t="s">
        <v>13105</v>
      </c>
      <c r="E7210" t="str">
        <f>HYPERLINK("https://patents.google.com/patent/US7134011B2/en")</f>
        <v>https://patents.google.com/patent/US7134011B2/en</v>
      </c>
    </row>
    <row r="7211" spans="3:5" x14ac:dyDescent="0.25">
      <c r="C7211" t="s">
        <v>13106</v>
      </c>
      <c r="D7211" t="s">
        <v>13107</v>
      </c>
      <c r="E7211" t="str">
        <f>HYPERLINK("https://patents.google.com/patent/US5304212A/en")</f>
        <v>https://patents.google.com/patent/US5304212A/en</v>
      </c>
    </row>
    <row r="7212" spans="3:5" x14ac:dyDescent="0.25">
      <c r="C7212" t="s">
        <v>13108</v>
      </c>
      <c r="D7212" t="s">
        <v>13109</v>
      </c>
      <c r="E7212" t="str">
        <f>HYPERLINK("https://patents.google.com/patent/US6812824B1/en")</f>
        <v>https://patents.google.com/patent/US6812824B1/en</v>
      </c>
    </row>
    <row r="7213" spans="3:5" x14ac:dyDescent="0.25">
      <c r="C7213" t="s">
        <v>13110</v>
      </c>
      <c r="D7213" t="s">
        <v>13111</v>
      </c>
      <c r="E7213" t="str">
        <f>HYPERLINK("https://patents.google.com/patent/US6895084B1/en")</f>
        <v>https://patents.google.com/patent/US6895084B1/en</v>
      </c>
    </row>
    <row r="7214" spans="3:5" x14ac:dyDescent="0.25">
      <c r="C7214" t="s">
        <v>13112</v>
      </c>
      <c r="D7214" t="s">
        <v>13113</v>
      </c>
      <c r="E7214" t="str">
        <f>HYPERLINK("https://patents.google.com/patent/US7344284B2/en")</f>
        <v>https://patents.google.com/patent/US7344284B2/en</v>
      </c>
    </row>
    <row r="7215" spans="3:5" x14ac:dyDescent="0.25">
      <c r="C7215" t="s">
        <v>13114</v>
      </c>
      <c r="D7215" t="s">
        <v>13115</v>
      </c>
      <c r="E7215" t="str">
        <f>HYPERLINK("https://patents.google.com/patent/US7650210B2/en")</f>
        <v>https://patents.google.com/patent/US7650210B2/en</v>
      </c>
    </row>
    <row r="7216" spans="3:5" x14ac:dyDescent="0.25">
      <c r="C7216" t="s">
        <v>13116</v>
      </c>
      <c r="D7216" t="s">
        <v>13117</v>
      </c>
      <c r="E7216" t="str">
        <f>HYPERLINK("https://patents.google.com/patent/US7630802B2/en")</f>
        <v>https://patents.google.com/patent/US7630802B2/en</v>
      </c>
    </row>
    <row r="7217" spans="3:5" x14ac:dyDescent="0.25">
      <c r="C7217" t="s">
        <v>13118</v>
      </c>
      <c r="D7217" t="s">
        <v>13119</v>
      </c>
      <c r="E7217" t="str">
        <f>HYPERLINK("https://patents.google.com/patent/US8027752B2/en")</f>
        <v>https://patents.google.com/patent/US8027752B2/en</v>
      </c>
    </row>
    <row r="7218" spans="3:5" x14ac:dyDescent="0.25">
      <c r="C7218" t="s">
        <v>13120</v>
      </c>
      <c r="D7218" t="s">
        <v>13121</v>
      </c>
      <c r="E7218" t="str">
        <f>HYPERLINK("https://patents.google.com/patent/US6650869B2/en")</f>
        <v>https://patents.google.com/patent/US6650869B2/en</v>
      </c>
    </row>
    <row r="7219" spans="3:5" x14ac:dyDescent="0.25">
      <c r="C7219" t="s">
        <v>13122</v>
      </c>
      <c r="D7219" t="s">
        <v>13123</v>
      </c>
      <c r="E7219" t="str">
        <f>HYPERLINK("https://patents.google.com/patent/US7874155B2/en")</f>
        <v>https://patents.google.com/patent/US7874155B2/en</v>
      </c>
    </row>
    <row r="7220" spans="3:5" x14ac:dyDescent="0.25">
      <c r="C7220" t="s">
        <v>13124</v>
      </c>
      <c r="D7220" t="s">
        <v>13125</v>
      </c>
      <c r="E7220" t="str">
        <f>HYPERLINK("https://patents.google.com/patent/US4735935A/en")</f>
        <v>https://patents.google.com/patent/US4735935A/en</v>
      </c>
    </row>
    <row r="7221" spans="3:5" x14ac:dyDescent="0.25">
      <c r="C7221" t="s">
        <v>13126</v>
      </c>
      <c r="D7221" t="s">
        <v>13127</v>
      </c>
      <c r="E7221" t="str">
        <f>HYPERLINK("https://patents.google.com/patent/US5315232A/en")</f>
        <v>https://patents.google.com/patent/US5315232A/en</v>
      </c>
    </row>
    <row r="7222" spans="3:5" x14ac:dyDescent="0.25">
      <c r="C7222" t="s">
        <v>13128</v>
      </c>
      <c r="D7222" t="s">
        <v>13129</v>
      </c>
      <c r="E7222" t="str">
        <f>HYPERLINK("https://patents.google.com/patent/US7920102B2/en")</f>
        <v>https://patents.google.com/patent/US7920102B2/en</v>
      </c>
    </row>
    <row r="7223" spans="3:5" x14ac:dyDescent="0.25">
      <c r="C7223" t="s">
        <v>13130</v>
      </c>
      <c r="D7223" t="s">
        <v>13131</v>
      </c>
      <c r="E7223" t="str">
        <f>HYPERLINK("https://patents.google.com/patent/US4917890A/en")</f>
        <v>https://patents.google.com/patent/US4917890A/en</v>
      </c>
    </row>
    <row r="7224" spans="3:5" x14ac:dyDescent="0.25">
      <c r="C7224" t="s">
        <v>13132</v>
      </c>
      <c r="D7224" t="s">
        <v>13133</v>
      </c>
      <c r="E7224" t="str">
        <f>HYPERLINK("https://patents.google.com/patent/US7408453B2/en")</f>
        <v>https://patents.google.com/patent/US7408453B2/en</v>
      </c>
    </row>
    <row r="7225" spans="3:5" x14ac:dyDescent="0.25">
      <c r="C7225" t="s">
        <v>13134</v>
      </c>
      <c r="D7225" t="s">
        <v>13135</v>
      </c>
      <c r="E7225" t="str">
        <f>HYPERLINK("https://patents.google.com/patent/US7231922B2/en")</f>
        <v>https://patents.google.com/patent/US7231922B2/en</v>
      </c>
    </row>
    <row r="7226" spans="3:5" x14ac:dyDescent="0.25">
      <c r="C7226" t="s">
        <v>13136</v>
      </c>
      <c r="D7226" t="s">
        <v>13137</v>
      </c>
      <c r="E7226" t="str">
        <f>HYPERLINK("https://patents.google.com/patent/US8019501B2/en")</f>
        <v>https://patents.google.com/patent/US8019501B2/en</v>
      </c>
    </row>
    <row r="7227" spans="3:5" x14ac:dyDescent="0.25">
      <c r="C7227" t="s">
        <v>13138</v>
      </c>
      <c r="D7227" t="s">
        <v>13139</v>
      </c>
      <c r="E7227" t="str">
        <f>HYPERLINK("https://patents.google.com/patent/US7379800B2/en")</f>
        <v>https://patents.google.com/patent/US7379800B2/en</v>
      </c>
    </row>
    <row r="7228" spans="3:5" x14ac:dyDescent="0.25">
      <c r="C7228" t="s">
        <v>13140</v>
      </c>
      <c r="D7228" t="s">
        <v>13141</v>
      </c>
      <c r="E7228" t="str">
        <f>HYPERLINK("https://patents.google.com/patent/US7164661B2/en")</f>
        <v>https://patents.google.com/patent/US7164661B2/en</v>
      </c>
    </row>
    <row r="7229" spans="3:5" x14ac:dyDescent="0.25">
      <c r="C7229" t="s">
        <v>13142</v>
      </c>
      <c r="D7229" t="s">
        <v>13143</v>
      </c>
      <c r="E7229" t="str">
        <f>HYPERLINK("https://patents.google.com/patent/US4966892A/en")</f>
        <v>https://patents.google.com/patent/US4966892A/en</v>
      </c>
    </row>
    <row r="7230" spans="3:5" x14ac:dyDescent="0.25">
      <c r="C7230" t="s">
        <v>13144</v>
      </c>
      <c r="D7230" t="s">
        <v>13145</v>
      </c>
      <c r="E7230" t="str">
        <f>HYPERLINK("https://patents.google.com/patent/US7527288B2/en")</f>
        <v>https://patents.google.com/patent/US7527288B2/en</v>
      </c>
    </row>
    <row r="7231" spans="3:5" x14ac:dyDescent="0.25">
      <c r="C7231" t="s">
        <v>13146</v>
      </c>
      <c r="D7231" t="s">
        <v>13147</v>
      </c>
      <c r="E7231" t="str">
        <f>HYPERLINK("https://patents.google.com/patent/US6970189B1/en")</f>
        <v>https://patents.google.com/patent/US6970189B1/en</v>
      </c>
    </row>
    <row r="7232" spans="3:5" x14ac:dyDescent="0.25">
      <c r="C7232" t="s">
        <v>13148</v>
      </c>
      <c r="D7232" t="s">
        <v>13149</v>
      </c>
      <c r="E7232" t="str">
        <f>HYPERLINK("https://patents.google.com/patent/US7178720B1/en")</f>
        <v>https://patents.google.com/patent/US7178720B1/en</v>
      </c>
    </row>
    <row r="7233" spans="3:5" x14ac:dyDescent="0.25">
      <c r="C7233" t="s">
        <v>13150</v>
      </c>
      <c r="D7233" t="s">
        <v>13151</v>
      </c>
      <c r="E7233" t="str">
        <f>HYPERLINK("https://patents.google.com/patent/US5661349A/en")</f>
        <v>https://patents.google.com/patent/US5661349A/en</v>
      </c>
    </row>
    <row r="7234" spans="3:5" x14ac:dyDescent="0.25">
      <c r="C7234" t="s">
        <v>13152</v>
      </c>
      <c r="D7234" t="s">
        <v>13153</v>
      </c>
      <c r="E7234" t="str">
        <f>HYPERLINK("https://patents.google.com/patent/US5176133A/en")</f>
        <v>https://patents.google.com/patent/US5176133A/en</v>
      </c>
    </row>
    <row r="7235" spans="3:5" x14ac:dyDescent="0.25">
      <c r="C7235" t="s">
        <v>9731</v>
      </c>
      <c r="D7235" t="s">
        <v>13154</v>
      </c>
      <c r="E7235" t="str">
        <f>HYPERLINK("https://patents.google.com/patent/US8512150B2/en")</f>
        <v>https://patents.google.com/patent/US8512150B2/en</v>
      </c>
    </row>
    <row r="7236" spans="3:5" x14ac:dyDescent="0.25">
      <c r="C7236" t="s">
        <v>13155</v>
      </c>
      <c r="D7236" t="s">
        <v>13156</v>
      </c>
      <c r="E7236" t="str">
        <f>HYPERLINK("https://patents.google.com/patent/US6173897B1/en")</f>
        <v>https://patents.google.com/patent/US6173897B1/en</v>
      </c>
    </row>
    <row r="7237" spans="3:5" x14ac:dyDescent="0.25">
      <c r="C7237" t="s">
        <v>13157</v>
      </c>
      <c r="D7237" t="s">
        <v>13158</v>
      </c>
      <c r="E7237" t="str">
        <f>HYPERLINK("https://patents.google.com/patent/US7170632B1/en")</f>
        <v>https://patents.google.com/patent/US7170632B1/en</v>
      </c>
    </row>
    <row r="7238" spans="3:5" x14ac:dyDescent="0.25">
      <c r="C7238" t="s">
        <v>13159</v>
      </c>
      <c r="D7238" t="s">
        <v>13160</v>
      </c>
      <c r="E7238" t="str">
        <f>HYPERLINK("https://patents.google.com/patent/US6870567B2/en")</f>
        <v>https://patents.google.com/patent/US6870567B2/en</v>
      </c>
    </row>
    <row r="7239" spans="3:5" x14ac:dyDescent="0.25">
      <c r="C7239" t="s">
        <v>13161</v>
      </c>
      <c r="D7239" t="s">
        <v>13162</v>
      </c>
      <c r="E7239" t="str">
        <f>HYPERLINK("https://patents.google.com/patent/US8369264B2/en")</f>
        <v>https://patents.google.com/patent/US8369264B2/en</v>
      </c>
    </row>
    <row r="7240" spans="3:5" x14ac:dyDescent="0.25">
      <c r="C7240" t="s">
        <v>13163</v>
      </c>
      <c r="D7240" t="s">
        <v>13164</v>
      </c>
      <c r="E7240" t="str">
        <f>HYPERLINK("https://patents.google.com/patent/US6987741B2/en")</f>
        <v>https://patents.google.com/patent/US6987741B2/en</v>
      </c>
    </row>
    <row r="7241" spans="3:5" x14ac:dyDescent="0.25">
      <c r="C7241" t="s">
        <v>13165</v>
      </c>
      <c r="D7241" t="s">
        <v>13166</v>
      </c>
      <c r="E7241" t="str">
        <f>HYPERLINK("https://patents.google.com/patent/US7592910B2/en")</f>
        <v>https://patents.google.com/patent/US7592910B2/en</v>
      </c>
    </row>
    <row r="7242" spans="3:5" x14ac:dyDescent="0.25">
      <c r="C7242" t="s">
        <v>13167</v>
      </c>
      <c r="D7242" t="s">
        <v>13168</v>
      </c>
      <c r="E7242" t="str">
        <f>HYPERLINK("https://patents.google.com/patent/US7285048B2/en")</f>
        <v>https://patents.google.com/patent/US7285048B2/en</v>
      </c>
    </row>
    <row r="7243" spans="3:5" x14ac:dyDescent="0.25">
      <c r="C7243" t="s">
        <v>13169</v>
      </c>
      <c r="D7243" t="s">
        <v>13170</v>
      </c>
      <c r="E7243" t="str">
        <f>HYPERLINK("https://patents.google.com/patent/US7786864B1/en")</f>
        <v>https://patents.google.com/patent/US7786864B1/en</v>
      </c>
    </row>
    <row r="7244" spans="3:5" x14ac:dyDescent="0.25">
      <c r="C7244" t="s">
        <v>13171</v>
      </c>
      <c r="D7244" t="s">
        <v>13172</v>
      </c>
      <c r="E7244" t="str">
        <f>HYPERLINK("https://patents.google.com/patent/US7904434B2/en")</f>
        <v>https://patents.google.com/patent/US7904434B2/en</v>
      </c>
    </row>
    <row r="7245" spans="3:5" x14ac:dyDescent="0.25">
      <c r="C7245" t="s">
        <v>13173</v>
      </c>
      <c r="D7245" t="s">
        <v>13174</v>
      </c>
      <c r="E7245" t="str">
        <f>HYPERLINK("https://patents.google.com/patent/US6989859B2/en")</f>
        <v>https://patents.google.com/patent/US6989859B2/en</v>
      </c>
    </row>
    <row r="7246" spans="3:5" x14ac:dyDescent="0.25">
      <c r="C7246" t="s">
        <v>13175</v>
      </c>
      <c r="D7246" t="s">
        <v>13176</v>
      </c>
      <c r="E7246" t="str">
        <f>HYPERLINK("https://patents.google.com/patent/US7876914B2/en")</f>
        <v>https://patents.google.com/patent/US7876914B2/en</v>
      </c>
    </row>
    <row r="7247" spans="3:5" x14ac:dyDescent="0.25">
      <c r="C7247" t="s">
        <v>13177</v>
      </c>
      <c r="D7247" t="s">
        <v>13178</v>
      </c>
      <c r="E7247" t="str">
        <f>HYPERLINK("https://patents.google.com/patent/US6505002B2/en")</f>
        <v>https://patents.google.com/patent/US6505002B2/en</v>
      </c>
    </row>
    <row r="7248" spans="3:5" x14ac:dyDescent="0.25">
      <c r="C7248" t="s">
        <v>13179</v>
      </c>
      <c r="D7248" t="s">
        <v>13180</v>
      </c>
      <c r="E7248" t="str">
        <f>HYPERLINK("https://patents.google.com/patent/US8024084B2/en")</f>
        <v>https://patents.google.com/patent/US8024084B2/en</v>
      </c>
    </row>
    <row r="7249" spans="3:5" x14ac:dyDescent="0.25">
      <c r="C7249" t="s">
        <v>13181</v>
      </c>
      <c r="D7249" t="s">
        <v>13182</v>
      </c>
      <c r="E7249" t="str">
        <f>HYPERLINK("https://patents.google.com/patent/US3800705A/en")</f>
        <v>https://patents.google.com/patent/US3800705A/en</v>
      </c>
    </row>
    <row r="7250" spans="3:5" x14ac:dyDescent="0.25">
      <c r="C7250" t="s">
        <v>13183</v>
      </c>
      <c r="D7250" t="s">
        <v>13184</v>
      </c>
      <c r="E7250" t="str">
        <f>HYPERLINK("https://patents.google.com/patent/US7549327B2/en")</f>
        <v>https://patents.google.com/patent/US7549327B2/en</v>
      </c>
    </row>
    <row r="7251" spans="3:5" x14ac:dyDescent="0.25">
      <c r="C7251" t="s">
        <v>13185</v>
      </c>
      <c r="D7251" t="s">
        <v>13186</v>
      </c>
      <c r="E7251" t="str">
        <f>HYPERLINK("https://patents.google.com/patent/US6109636A/en")</f>
        <v>https://patents.google.com/patent/US6109636A/en</v>
      </c>
    </row>
    <row r="7252" spans="3:5" x14ac:dyDescent="0.25">
      <c r="C7252" t="s">
        <v>13187</v>
      </c>
      <c r="D7252" t="s">
        <v>13188</v>
      </c>
      <c r="E7252" t="str">
        <f>HYPERLINK("https://patents.google.com/patent/US6441782B2/en")</f>
        <v>https://patents.google.com/patent/US6441782B2/en</v>
      </c>
    </row>
    <row r="7253" spans="3:5" x14ac:dyDescent="0.25">
      <c r="C7253" t="s">
        <v>13189</v>
      </c>
      <c r="D7253" t="s">
        <v>13190</v>
      </c>
      <c r="E7253" t="str">
        <f>HYPERLINK("https://patents.google.com/patent/US7051022B1/en")</f>
        <v>https://patents.google.com/patent/US7051022B1/en</v>
      </c>
    </row>
    <row r="7254" spans="3:5" x14ac:dyDescent="0.25">
      <c r="C7254" t="s">
        <v>13142</v>
      </c>
      <c r="D7254" t="s">
        <v>13191</v>
      </c>
      <c r="E7254" t="str">
        <f>HYPERLINK("https://patents.google.com/patent/US4959214A/en")</f>
        <v>https://patents.google.com/patent/US4959214A/en</v>
      </c>
    </row>
    <row r="7255" spans="3:5" x14ac:dyDescent="0.25">
      <c r="C7255" t="s">
        <v>13192</v>
      </c>
      <c r="D7255" t="s">
        <v>13193</v>
      </c>
      <c r="E7255" t="str">
        <f>HYPERLINK("https://patents.google.com/patent/US5929576A/en")</f>
        <v>https://patents.google.com/patent/US5929576A/en</v>
      </c>
    </row>
    <row r="7256" spans="3:5" x14ac:dyDescent="0.25">
      <c r="C7256" t="s">
        <v>13194</v>
      </c>
      <c r="D7256" t="s">
        <v>13195</v>
      </c>
      <c r="E7256" t="str">
        <f>HYPERLINK("https://patents.google.com/patent/US6845907B1/en")</f>
        <v>https://patents.google.com/patent/US6845907B1/en</v>
      </c>
    </row>
    <row r="7257" spans="3:5" x14ac:dyDescent="0.25">
      <c r="C7257" t="s">
        <v>13196</v>
      </c>
      <c r="D7257" t="s">
        <v>13197</v>
      </c>
      <c r="E7257" t="str">
        <f>HYPERLINK("https://patents.google.com/patent/US7880594B2/en")</f>
        <v>https://patents.google.com/patent/US7880594B2/en</v>
      </c>
    </row>
    <row r="7258" spans="3:5" x14ac:dyDescent="0.25">
      <c r="C7258" t="s">
        <v>13198</v>
      </c>
      <c r="D7258" t="s">
        <v>13199</v>
      </c>
      <c r="E7258" t="str">
        <f>HYPERLINK("https://patents.google.com/patent/US20010042002A1/en")</f>
        <v>https://patents.google.com/patent/US20010042002A1/en</v>
      </c>
    </row>
    <row r="7259" spans="3:5" x14ac:dyDescent="0.25">
      <c r="C7259" t="s">
        <v>13200</v>
      </c>
      <c r="D7259" t="s">
        <v>13201</v>
      </c>
      <c r="E7259" t="str">
        <f>HYPERLINK("https://patents.google.com/patent/US20050192999A1/en")</f>
        <v>https://patents.google.com/patent/US20050192999A1/en</v>
      </c>
    </row>
    <row r="7260" spans="3:5" x14ac:dyDescent="0.25">
      <c r="C7260" t="s">
        <v>13202</v>
      </c>
      <c r="D7260" t="s">
        <v>13203</v>
      </c>
      <c r="E7260" t="str">
        <f>HYPERLINK("https://patents.google.com/patent/US20030013438A1/en")</f>
        <v>https://patents.google.com/patent/US20030013438A1/en</v>
      </c>
    </row>
    <row r="7261" spans="3:5" x14ac:dyDescent="0.25">
      <c r="C7261" t="s">
        <v>13204</v>
      </c>
      <c r="D7261" t="s">
        <v>13205</v>
      </c>
      <c r="E7261" t="str">
        <f>HYPERLINK("https://patents.google.com/patent/US20090157513A1/en")</f>
        <v>https://patents.google.com/patent/US20090157513A1/en</v>
      </c>
    </row>
    <row r="7262" spans="3:5" x14ac:dyDescent="0.25">
      <c r="C7262" t="s">
        <v>13206</v>
      </c>
      <c r="D7262" t="s">
        <v>13207</v>
      </c>
      <c r="E7262" t="str">
        <f>HYPERLINK("https://patents.google.com/patent/US20030007648A1/en")</f>
        <v>https://patents.google.com/patent/US20030007648A1/en</v>
      </c>
    </row>
    <row r="7263" spans="3:5" x14ac:dyDescent="0.25">
      <c r="C7263" t="s">
        <v>13208</v>
      </c>
      <c r="D7263" t="s">
        <v>13209</v>
      </c>
      <c r="E7263" t="str">
        <f>HYPERLINK("https://patents.google.com/patent/US20110018704A1/en")</f>
        <v>https://patents.google.com/patent/US20110018704A1/en</v>
      </c>
    </row>
    <row r="7264" spans="3:5" x14ac:dyDescent="0.25">
      <c r="C7264" t="s">
        <v>13210</v>
      </c>
      <c r="D7264" t="s">
        <v>13211</v>
      </c>
      <c r="E7264" t="str">
        <f>HYPERLINK("https://patents.google.com/patent/US20080125959A1/en")</f>
        <v>https://patents.google.com/patent/US20080125959A1/en</v>
      </c>
    </row>
    <row r="7265" spans="3:5" x14ac:dyDescent="0.25">
      <c r="C7265" t="s">
        <v>13212</v>
      </c>
      <c r="D7265" t="s">
        <v>13213</v>
      </c>
      <c r="E7265" t="str">
        <f>HYPERLINK("https://patents.google.com/patent/US20060284839A1/en")</f>
        <v>https://patents.google.com/patent/US20060284839A1/en</v>
      </c>
    </row>
    <row r="7266" spans="3:5" x14ac:dyDescent="0.25">
      <c r="C7266" t="s">
        <v>13214</v>
      </c>
      <c r="D7266" t="s">
        <v>13215</v>
      </c>
      <c r="E7266" t="str">
        <f>HYPERLINK("https://patents.google.com/patent/US20080140278A1/en")</f>
        <v>https://patents.google.com/patent/US20080140278A1/en</v>
      </c>
    </row>
    <row r="7267" spans="3:5" x14ac:dyDescent="0.25">
      <c r="C7267" t="s">
        <v>10138</v>
      </c>
      <c r="D7267" t="s">
        <v>13216</v>
      </c>
      <c r="E7267" t="str">
        <f>HYPERLINK("https://patents.google.com/patent/US20020055906A1/en")</f>
        <v>https://patents.google.com/patent/US20020055906A1/en</v>
      </c>
    </row>
    <row r="7268" spans="3:5" x14ac:dyDescent="0.25">
      <c r="C7268" t="s">
        <v>13217</v>
      </c>
      <c r="D7268" t="s">
        <v>13218</v>
      </c>
      <c r="E7268" t="str">
        <f>HYPERLINK("https://patents.google.com/patent/US20080086240A1/en")</f>
        <v>https://patents.google.com/patent/US20080086240A1/en</v>
      </c>
    </row>
    <row r="7269" spans="3:5" x14ac:dyDescent="0.25">
      <c r="C7269" t="s">
        <v>13219</v>
      </c>
      <c r="D7269" t="s">
        <v>13220</v>
      </c>
      <c r="E7269" t="str">
        <f>HYPERLINK("https://patents.google.com/patent/US20120271712A1/en")</f>
        <v>https://patents.google.com/patent/US20120271712A1/en</v>
      </c>
    </row>
    <row r="7270" spans="3:5" x14ac:dyDescent="0.25">
      <c r="C7270" t="s">
        <v>13221</v>
      </c>
      <c r="D7270" t="s">
        <v>13222</v>
      </c>
      <c r="E7270" t="str">
        <f>HYPERLINK("https://patents.google.com/patent/US20030055779A1/en")</f>
        <v>https://patents.google.com/patent/US20030055779A1/en</v>
      </c>
    </row>
    <row r="7271" spans="3:5" x14ac:dyDescent="0.25">
      <c r="C7271" t="s">
        <v>13223</v>
      </c>
      <c r="D7271" t="s">
        <v>13224</v>
      </c>
      <c r="E7271" t="str">
        <f>HYPERLINK("https://patents.google.com/patent/US20080140416A1/en")</f>
        <v>https://patents.google.com/patent/US20080140416A1/en</v>
      </c>
    </row>
    <row r="7272" spans="3:5" x14ac:dyDescent="0.25">
      <c r="C7272" t="s">
        <v>13225</v>
      </c>
      <c r="D7272" t="s">
        <v>13226</v>
      </c>
      <c r="E7272" t="str">
        <f>HYPERLINK("https://patents.google.com/patent/US20110130135A1/en")</f>
        <v>https://patents.google.com/patent/US20110130135A1/en</v>
      </c>
    </row>
    <row r="7273" spans="3:5" x14ac:dyDescent="0.25">
      <c r="C7273" t="s">
        <v>13227</v>
      </c>
      <c r="D7273" t="s">
        <v>13228</v>
      </c>
      <c r="E7273" t="str">
        <f>HYPERLINK("https://patents.google.com/patent/US20020044691A1/en")</f>
        <v>https://patents.google.com/patent/US20020044691A1/en</v>
      </c>
    </row>
    <row r="7274" spans="3:5" x14ac:dyDescent="0.25">
      <c r="C7274" t="s">
        <v>13229</v>
      </c>
      <c r="D7274" t="s">
        <v>13230</v>
      </c>
      <c r="E7274" t="str">
        <f>HYPERLINK("https://patents.google.com/patent/US20070205881A1/en")</f>
        <v>https://patents.google.com/patent/US20070205881A1/en</v>
      </c>
    </row>
    <row r="7275" spans="3:5" x14ac:dyDescent="0.25">
      <c r="C7275" t="s">
        <v>13231</v>
      </c>
      <c r="D7275" t="s">
        <v>13232</v>
      </c>
      <c r="E7275" t="str">
        <f>HYPERLINK("https://patents.google.com/patent/US20080270240A1/en")</f>
        <v>https://patents.google.com/patent/US20080270240A1/en</v>
      </c>
    </row>
    <row r="7276" spans="3:5" x14ac:dyDescent="0.25">
      <c r="C7276" t="s">
        <v>13233</v>
      </c>
      <c r="D7276" t="s">
        <v>13234</v>
      </c>
      <c r="E7276" t="str">
        <f>HYPERLINK("https://patents.google.com/patent/US20110299422A1/en")</f>
        <v>https://patents.google.com/patent/US20110299422A1/en</v>
      </c>
    </row>
    <row r="7277" spans="3:5" x14ac:dyDescent="0.25">
      <c r="C7277" t="s">
        <v>13235</v>
      </c>
      <c r="D7277" t="s">
        <v>13236</v>
      </c>
      <c r="E7277" t="str">
        <f>HYPERLINK("https://patents.google.com/patent/US20110275364A1/en")</f>
        <v>https://patents.google.com/patent/US20110275364A1/en</v>
      </c>
    </row>
    <row r="7278" spans="3:5" x14ac:dyDescent="0.25">
      <c r="C7278" t="s">
        <v>13237</v>
      </c>
      <c r="D7278" t="s">
        <v>13238</v>
      </c>
      <c r="E7278" t="str">
        <f>HYPERLINK("https://patents.google.com/patent/US20050097808A1/en")</f>
        <v>https://patents.google.com/patent/US20050097808A1/en</v>
      </c>
    </row>
    <row r="7279" spans="3:5" x14ac:dyDescent="0.25">
      <c r="C7279" t="s">
        <v>13239</v>
      </c>
      <c r="D7279" t="s">
        <v>13240</v>
      </c>
      <c r="E7279" t="str">
        <f>HYPERLINK("https://patents.google.com/patent/US20110258556A1/en")</f>
        <v>https://patents.google.com/patent/US20110258556A1/en</v>
      </c>
    </row>
    <row r="7280" spans="3:5" x14ac:dyDescent="0.25">
      <c r="C7280" t="s">
        <v>13241</v>
      </c>
      <c r="D7280" t="s">
        <v>13242</v>
      </c>
      <c r="E7280" t="str">
        <f>HYPERLINK("https://patents.google.com/patent/US20100253596A1/en")</f>
        <v>https://patents.google.com/patent/US20100253596A1/en</v>
      </c>
    </row>
    <row r="7281" spans="3:5" x14ac:dyDescent="0.25">
      <c r="C7281" t="s">
        <v>13243</v>
      </c>
      <c r="D7281" t="s">
        <v>13244</v>
      </c>
      <c r="E7281" t="str">
        <f>HYPERLINK("https://patents.google.com/patent/US20140300274A1/en")</f>
        <v>https://patents.google.com/patent/US20140300274A1/en</v>
      </c>
    </row>
    <row r="7282" spans="3:5" x14ac:dyDescent="0.25">
      <c r="C7282" t="s">
        <v>13245</v>
      </c>
      <c r="D7282" t="s">
        <v>13246</v>
      </c>
      <c r="E7282" t="str">
        <f>HYPERLINK("https://patents.google.com/patent/US20080154928A1/en")</f>
        <v>https://patents.google.com/patent/US20080154928A1/en</v>
      </c>
    </row>
    <row r="7283" spans="3:5" x14ac:dyDescent="0.25">
      <c r="C7283" t="s">
        <v>13247</v>
      </c>
      <c r="D7283" t="s">
        <v>13248</v>
      </c>
      <c r="E7283" t="str">
        <f>HYPERLINK("https://patents.google.com/patent/US20130124449A1/en")</f>
        <v>https://patents.google.com/patent/US20130124449A1/en</v>
      </c>
    </row>
    <row r="7284" spans="3:5" x14ac:dyDescent="0.25">
      <c r="C7284" t="s">
        <v>13249</v>
      </c>
      <c r="D7284" t="s">
        <v>13250</v>
      </c>
      <c r="E7284" t="str">
        <f>HYPERLINK("https://patents.google.com/patent/US20090313299A1/en")</f>
        <v>https://patents.google.com/patent/US20090313299A1/en</v>
      </c>
    </row>
    <row r="7285" spans="3:5" x14ac:dyDescent="0.25">
      <c r="C7285" t="s">
        <v>13251</v>
      </c>
      <c r="D7285" t="s">
        <v>13252</v>
      </c>
      <c r="E7285" t="str">
        <f>HYPERLINK("https://patents.google.com/patent/US20020140732A1/en")</f>
        <v>https://patents.google.com/patent/US20020140732A1/en</v>
      </c>
    </row>
    <row r="7286" spans="3:5" x14ac:dyDescent="0.25">
      <c r="C7286" t="s">
        <v>13253</v>
      </c>
      <c r="D7286" t="s">
        <v>13254</v>
      </c>
      <c r="E7286" t="str">
        <f>HYPERLINK("https://patents.google.com/patent/US20030112878A1/en")</f>
        <v>https://patents.google.com/patent/US20030112878A1/en</v>
      </c>
    </row>
    <row r="7287" spans="3:5" x14ac:dyDescent="0.25">
      <c r="C7287" t="s">
        <v>13255</v>
      </c>
      <c r="D7287" t="s">
        <v>13256</v>
      </c>
      <c r="E7287" t="str">
        <f>HYPERLINK("https://patents.google.com/patent/US20110129210A1/en")</f>
        <v>https://patents.google.com/patent/US20110129210A1/en</v>
      </c>
    </row>
    <row r="7288" spans="3:5" x14ac:dyDescent="0.25">
      <c r="C7288" t="s">
        <v>13257</v>
      </c>
      <c r="D7288" t="s">
        <v>13258</v>
      </c>
      <c r="E7288" t="str">
        <f>HYPERLINK("https://patents.google.com/patent/US20080136581A1/en")</f>
        <v>https://patents.google.com/patent/US20080136581A1/en</v>
      </c>
    </row>
    <row r="7289" spans="3:5" x14ac:dyDescent="0.25">
      <c r="C7289" t="s">
        <v>13259</v>
      </c>
      <c r="D7289" t="s">
        <v>13260</v>
      </c>
      <c r="E7289" t="str">
        <f>HYPERLINK("https://patents.google.com/patent/US20030058810A1/en")</f>
        <v>https://patents.google.com/patent/US20030058810A1/en</v>
      </c>
    </row>
    <row r="7290" spans="3:5" x14ac:dyDescent="0.25">
      <c r="C7290" t="s">
        <v>13261</v>
      </c>
      <c r="D7290" t="s">
        <v>13262</v>
      </c>
      <c r="E7290" t="str">
        <f>HYPERLINK("https://patents.google.com/patent/US20070126561A1/en")</f>
        <v>https://patents.google.com/patent/US20070126561A1/en</v>
      </c>
    </row>
    <row r="7291" spans="3:5" x14ac:dyDescent="0.25">
      <c r="C7291" t="s">
        <v>13263</v>
      </c>
      <c r="D7291" t="s">
        <v>13264</v>
      </c>
      <c r="E7291" t="str">
        <f>HYPERLINK("https://patents.google.com/patent/US20100312464A1/en")</f>
        <v>https://patents.google.com/patent/US20100312464A1/en</v>
      </c>
    </row>
    <row r="7292" spans="3:5" x14ac:dyDescent="0.25">
      <c r="C7292" t="s">
        <v>13265</v>
      </c>
      <c r="D7292" t="s">
        <v>13266</v>
      </c>
      <c r="E7292" t="str">
        <f>HYPERLINK("https://patents.google.com/patent/US20020113881A1/en")</f>
        <v>https://patents.google.com/patent/US20020113881A1/en</v>
      </c>
    </row>
    <row r="7293" spans="3:5" x14ac:dyDescent="0.25">
      <c r="C7293" t="s">
        <v>13267</v>
      </c>
      <c r="D7293" t="s">
        <v>13268</v>
      </c>
      <c r="E7293" t="str">
        <f>HYPERLINK("https://patents.google.com/patent/US20110099199A1/en")</f>
        <v>https://patents.google.com/patent/US20110099199A1/en</v>
      </c>
    </row>
    <row r="7294" spans="3:5" x14ac:dyDescent="0.25">
      <c r="C7294" t="s">
        <v>13269</v>
      </c>
      <c r="D7294" t="s">
        <v>13270</v>
      </c>
      <c r="E7294" t="str">
        <f>HYPERLINK("https://patents.google.com/patent/US20090037142A1/en")</f>
        <v>https://patents.google.com/patent/US20090037142A1/en</v>
      </c>
    </row>
    <row r="7295" spans="3:5" x14ac:dyDescent="0.25">
      <c r="C7295" t="s">
        <v>13271</v>
      </c>
      <c r="D7295" t="s">
        <v>13272</v>
      </c>
      <c r="E7295" t="str">
        <f>HYPERLINK("https://patents.google.com/patent/US20070156312A1/en")</f>
        <v>https://patents.google.com/patent/US20070156312A1/en</v>
      </c>
    </row>
    <row r="7296" spans="3:5" x14ac:dyDescent="0.25">
      <c r="C7296" t="s">
        <v>13273</v>
      </c>
      <c r="D7296" t="s">
        <v>13274</v>
      </c>
      <c r="E7296" t="str">
        <f>HYPERLINK("https://patents.google.com/patent/US20140028200A1/en")</f>
        <v>https://patents.google.com/patent/US20140028200A1/en</v>
      </c>
    </row>
    <row r="7297" spans="3:5" x14ac:dyDescent="0.25">
      <c r="C7297" t="s">
        <v>13275</v>
      </c>
      <c r="D7297" t="s">
        <v>13276</v>
      </c>
      <c r="E7297" t="str">
        <f>HYPERLINK("https://patents.google.com/patent/US20020118967A1/en")</f>
        <v>https://patents.google.com/patent/US20020118967A1/en</v>
      </c>
    </row>
    <row r="7298" spans="3:5" x14ac:dyDescent="0.25">
      <c r="C7298" t="s">
        <v>13277</v>
      </c>
      <c r="D7298" t="s">
        <v>13278</v>
      </c>
      <c r="E7298" t="str">
        <f>HYPERLINK("https://patents.google.com/patent/US20110296823A1/en")</f>
        <v>https://patents.google.com/patent/US20110296823A1/en</v>
      </c>
    </row>
    <row r="7299" spans="3:5" x14ac:dyDescent="0.25">
      <c r="C7299" t="s">
        <v>13279</v>
      </c>
      <c r="D7299" t="s">
        <v>13280</v>
      </c>
      <c r="E7299" t="str">
        <f>HYPERLINK("https://patents.google.com/patent/US20090012847A1/en")</f>
        <v>https://patents.google.com/patent/US20090012847A1/en</v>
      </c>
    </row>
    <row r="7300" spans="3:5" x14ac:dyDescent="0.25">
      <c r="C7300" t="s">
        <v>13281</v>
      </c>
      <c r="D7300" t="s">
        <v>13282</v>
      </c>
      <c r="E7300" t="str">
        <f>HYPERLINK("https://patents.google.com/patent/US20120209514A1/en")</f>
        <v>https://patents.google.com/patent/US20120209514A1/en</v>
      </c>
    </row>
    <row r="7301" spans="3:5" x14ac:dyDescent="0.25">
      <c r="C7301" t="s">
        <v>13283</v>
      </c>
      <c r="D7301" t="s">
        <v>13284</v>
      </c>
      <c r="E7301" t="str">
        <f>HYPERLINK("https://patents.google.com/patent/US20080284363A1/en")</f>
        <v>https://patents.google.com/patent/US20080284363A1/en</v>
      </c>
    </row>
    <row r="7302" spans="3:5" x14ac:dyDescent="0.25">
      <c r="C7302" t="s">
        <v>13285</v>
      </c>
      <c r="D7302" t="s">
        <v>13286</v>
      </c>
      <c r="E7302" t="str">
        <f>HYPERLINK("https://patents.google.com/patent/US3945432A/en")</f>
        <v>https://patents.google.com/patent/US3945432A/en</v>
      </c>
    </row>
    <row r="7303" spans="3:5" x14ac:dyDescent="0.25">
      <c r="C7303" t="s">
        <v>13287</v>
      </c>
      <c r="D7303" t="s">
        <v>13288</v>
      </c>
      <c r="E7303" t="str">
        <f>HYPERLINK("https://patents.google.com/patent/US7143065B1/en")</f>
        <v>https://patents.google.com/patent/US7143065B1/en</v>
      </c>
    </row>
    <row r="7304" spans="3:5" x14ac:dyDescent="0.25">
      <c r="C7304" t="s">
        <v>13289</v>
      </c>
      <c r="D7304" t="s">
        <v>13290</v>
      </c>
      <c r="E7304" t="str">
        <f>HYPERLINK("https://patents.google.com/patent/US20110227531A1/en")</f>
        <v>https://patents.google.com/patent/US20110227531A1/en</v>
      </c>
    </row>
    <row r="7305" spans="3:5" x14ac:dyDescent="0.25">
      <c r="C7305" t="s">
        <v>13291</v>
      </c>
      <c r="D7305" t="s">
        <v>13292</v>
      </c>
      <c r="E7305" t="str">
        <f>HYPERLINK("https://patents.google.com/patent/US20070007331A1/en")</f>
        <v>https://patents.google.com/patent/US20070007331A1/en</v>
      </c>
    </row>
    <row r="7306" spans="3:5" x14ac:dyDescent="0.25">
      <c r="C7306" t="s">
        <v>13293</v>
      </c>
      <c r="D7306" t="s">
        <v>13294</v>
      </c>
      <c r="E7306" t="str">
        <f>HYPERLINK("https://patents.google.com/patent/US20010043573A1/en")</f>
        <v>https://patents.google.com/patent/US20010043573A1/en</v>
      </c>
    </row>
    <row r="7307" spans="3:5" x14ac:dyDescent="0.25">
      <c r="C7307" t="s">
        <v>13295</v>
      </c>
      <c r="D7307" t="s">
        <v>13296</v>
      </c>
      <c r="E7307" t="str">
        <f>HYPERLINK("https://patents.google.com/patent/US20130339891A1/en")</f>
        <v>https://patents.google.com/patent/US20130339891A1/en</v>
      </c>
    </row>
    <row r="7308" spans="3:5" x14ac:dyDescent="0.25">
      <c r="C7308" t="s">
        <v>13297</v>
      </c>
      <c r="D7308" t="s">
        <v>13298</v>
      </c>
      <c r="E7308" t="str">
        <f>HYPERLINK("https://patents.google.com/patent/US20080049976A1/en")</f>
        <v>https://patents.google.com/patent/US20080049976A1/en</v>
      </c>
    </row>
    <row r="7309" spans="3:5" x14ac:dyDescent="0.25">
      <c r="C7309" t="s">
        <v>13299</v>
      </c>
      <c r="D7309" t="s">
        <v>13300</v>
      </c>
      <c r="E7309" t="str">
        <f>HYPERLINK("https://patents.google.com/patent/US20100117693A1/en")</f>
        <v>https://patents.google.com/patent/US20100117693A1/en</v>
      </c>
    </row>
    <row r="7310" spans="3:5" x14ac:dyDescent="0.25">
      <c r="C7310" t="s">
        <v>13301</v>
      </c>
      <c r="D7310" t="s">
        <v>13302</v>
      </c>
      <c r="E7310" t="str">
        <f>HYPERLINK("https://patents.google.com/patent/US20060192879A1/en")</f>
        <v>https://patents.google.com/patent/US20060192879A1/en</v>
      </c>
    </row>
    <row r="7311" spans="3:5" x14ac:dyDescent="0.25">
      <c r="C7311" t="s">
        <v>13303</v>
      </c>
      <c r="D7311" t="s">
        <v>13304</v>
      </c>
      <c r="E7311" t="str">
        <f>HYPERLINK("https://patents.google.com/patent/US20080143489A1/en")</f>
        <v>https://patents.google.com/patent/US20080143489A1/en</v>
      </c>
    </row>
    <row r="7312" spans="3:5" x14ac:dyDescent="0.25">
      <c r="C7312" t="s">
        <v>13305</v>
      </c>
      <c r="D7312" t="s">
        <v>13306</v>
      </c>
      <c r="E7312" t="str">
        <f>HYPERLINK("https://patents.google.com/patent/US20140285429A1/en")</f>
        <v>https://patents.google.com/patent/US20140285429A1/en</v>
      </c>
    </row>
    <row r="7313" spans="3:5" x14ac:dyDescent="0.25">
      <c r="C7313" t="s">
        <v>13307</v>
      </c>
      <c r="D7313" t="s">
        <v>13308</v>
      </c>
      <c r="E7313" t="str">
        <f>HYPERLINK("https://patents.google.com/patent/US7463582B2/en")</f>
        <v>https://patents.google.com/patent/US7463582B2/en</v>
      </c>
    </row>
    <row r="7314" spans="3:5" x14ac:dyDescent="0.25">
      <c r="C7314" t="s">
        <v>13309</v>
      </c>
      <c r="D7314" t="s">
        <v>13310</v>
      </c>
      <c r="E7314" t="str">
        <f>HYPERLINK("https://patents.google.com/patent/US20130202274A1/en")</f>
        <v>https://patents.google.com/patent/US20130202274A1/en</v>
      </c>
    </row>
    <row r="7315" spans="3:5" x14ac:dyDescent="0.25">
      <c r="C7315" t="s">
        <v>13311</v>
      </c>
      <c r="D7315" t="s">
        <v>13312</v>
      </c>
      <c r="E7315" t="str">
        <f>HYPERLINK("https://patents.google.com/patent/US20130346139A1/en")</f>
        <v>https://patents.google.com/patent/US20130346139A1/en</v>
      </c>
    </row>
    <row r="7316" spans="3:5" x14ac:dyDescent="0.25">
      <c r="C7316" t="s">
        <v>13313</v>
      </c>
      <c r="D7316" t="s">
        <v>13314</v>
      </c>
      <c r="E7316" t="str">
        <f>HYPERLINK("https://patents.google.com/patent/US20050279035A1/en")</f>
        <v>https://patents.google.com/patent/US20050279035A1/en</v>
      </c>
    </row>
    <row r="7317" spans="3:5" x14ac:dyDescent="0.25">
      <c r="C7317" t="s">
        <v>13315</v>
      </c>
      <c r="D7317" t="s">
        <v>13316</v>
      </c>
      <c r="E7317" t="str">
        <f>HYPERLINK("https://patents.google.com/patent/US20100174671A1/en")</f>
        <v>https://patents.google.com/patent/US20100174671A1/en</v>
      </c>
    </row>
    <row r="7318" spans="3:5" x14ac:dyDescent="0.25">
      <c r="C7318" t="s">
        <v>13317</v>
      </c>
      <c r="D7318" t="s">
        <v>13318</v>
      </c>
      <c r="E7318" t="str">
        <f>HYPERLINK("https://patents.google.com/patent/US20090012927A1/en")</f>
        <v>https://patents.google.com/patent/US20090012927A1/en</v>
      </c>
    </row>
    <row r="7319" spans="3:5" x14ac:dyDescent="0.25">
      <c r="C7319" t="s">
        <v>13319</v>
      </c>
      <c r="D7319" t="s">
        <v>13320</v>
      </c>
      <c r="E7319" t="str">
        <f>HYPERLINK("https://patents.google.com/patent/US20090012848A1/en")</f>
        <v>https://patents.google.com/patent/US20090012848A1/en</v>
      </c>
    </row>
    <row r="7320" spans="3:5" x14ac:dyDescent="0.25">
      <c r="C7320" t="s">
        <v>13321</v>
      </c>
      <c r="D7320" t="s">
        <v>13322</v>
      </c>
      <c r="E7320" t="str">
        <f>HYPERLINK("https://patents.google.com/patent/US20140162664A1/en")</f>
        <v>https://patents.google.com/patent/US20140162664A1/en</v>
      </c>
    </row>
    <row r="7321" spans="3:5" x14ac:dyDescent="0.25">
      <c r="C7321" t="s">
        <v>13323</v>
      </c>
      <c r="D7321" t="s">
        <v>13324</v>
      </c>
      <c r="E7321" t="str">
        <f>HYPERLINK("https://patents.google.com/patent/US20100268423A1/en")</f>
        <v>https://patents.google.com/patent/US20100268423A1/en</v>
      </c>
    </row>
    <row r="7322" spans="3:5" x14ac:dyDescent="0.25">
      <c r="C7322" t="s">
        <v>13325</v>
      </c>
      <c r="D7322" t="s">
        <v>13326</v>
      </c>
      <c r="E7322" t="str">
        <f>HYPERLINK("https://patents.google.com/patent/US20080140415A1/en")</f>
        <v>https://patents.google.com/patent/US20080140415A1/en</v>
      </c>
    </row>
    <row r="7323" spans="3:5" x14ac:dyDescent="0.25">
      <c r="C7323" t="s">
        <v>13327</v>
      </c>
      <c r="D7323" t="s">
        <v>13328</v>
      </c>
      <c r="E7323" t="str">
        <f>HYPERLINK("https://patents.google.com/patent/WO2002026024A1/en")</f>
        <v>https://patents.google.com/patent/WO2002026024A1/en</v>
      </c>
    </row>
    <row r="7324" spans="3:5" x14ac:dyDescent="0.25">
      <c r="C7324" t="s">
        <v>13329</v>
      </c>
      <c r="D7324" t="s">
        <v>13330</v>
      </c>
      <c r="E7324" t="str">
        <f>HYPERLINK("https://patents.google.com/patent/US20040136125A1/en")</f>
        <v>https://patents.google.com/patent/US20040136125A1/en</v>
      </c>
    </row>
    <row r="7325" spans="3:5" x14ac:dyDescent="0.25">
      <c r="C7325" t="s">
        <v>13331</v>
      </c>
      <c r="D7325" t="s">
        <v>13332</v>
      </c>
      <c r="E7325" t="str">
        <f>HYPERLINK("https://patents.google.com/patent/US6862732B1/en")</f>
        <v>https://patents.google.com/patent/US6862732B1/en</v>
      </c>
    </row>
    <row r="7326" spans="3:5" x14ac:dyDescent="0.25">
      <c r="C7326" t="s">
        <v>13333</v>
      </c>
      <c r="D7326" t="s">
        <v>13334</v>
      </c>
      <c r="E7326" t="str">
        <f>HYPERLINK("https://patents.google.com/patent/US20080119966A1/en")</f>
        <v>https://patents.google.com/patent/US20080119966A1/en</v>
      </c>
    </row>
    <row r="7327" spans="3:5" x14ac:dyDescent="0.25">
      <c r="C7327" t="s">
        <v>13335</v>
      </c>
      <c r="D7327" t="s">
        <v>13336</v>
      </c>
      <c r="E7327" t="str">
        <f>HYPERLINK("https://patents.google.com/patent/US7533079B2/en")</f>
        <v>https://patents.google.com/patent/US7533079B2/en</v>
      </c>
    </row>
    <row r="7328" spans="3:5" x14ac:dyDescent="0.25">
      <c r="C7328" t="s">
        <v>13108</v>
      </c>
      <c r="D7328" t="s">
        <v>13337</v>
      </c>
      <c r="E7328" t="str">
        <f>HYPERLINK("https://patents.google.com/patent/WO2000052498A1/en")</f>
        <v>https://patents.google.com/patent/WO2000052498A1/en</v>
      </c>
    </row>
    <row r="7329" spans="3:5" x14ac:dyDescent="0.25">
      <c r="C7329" t="s">
        <v>13338</v>
      </c>
      <c r="D7329" t="s">
        <v>13339</v>
      </c>
      <c r="E7329" t="str">
        <f>HYPERLINK("https://patents.google.com/patent/WO1998043618A2/en")</f>
        <v>https://patents.google.com/patent/WO1998043618A2/en</v>
      </c>
    </row>
    <row r="7330" spans="3:5" x14ac:dyDescent="0.25">
      <c r="C7330" t="s">
        <v>13340</v>
      </c>
      <c r="D7330" t="s">
        <v>13341</v>
      </c>
      <c r="E7330" t="str">
        <f>HYPERLINK("https://patents.google.com/patent/JP2005126384A/en")</f>
        <v>https://patents.google.com/patent/JP2005126384A/en</v>
      </c>
    </row>
    <row r="7331" spans="3:5" x14ac:dyDescent="0.25">
      <c r="C7331" t="s">
        <v>13342</v>
      </c>
      <c r="D7331" t="s">
        <v>13343</v>
      </c>
      <c r="E7331" t="str">
        <f>HYPERLINK("https://patents.google.com/patent/KR20070119018A/en")</f>
        <v>https://patents.google.com/patent/KR20070119018A/en</v>
      </c>
    </row>
    <row r="7332" spans="3:5" x14ac:dyDescent="0.25">
      <c r="C7332" t="s">
        <v>13344</v>
      </c>
      <c r="D7332" t="s">
        <v>13345</v>
      </c>
      <c r="E7332" t="str">
        <f>HYPERLINK("https://patents.google.com/patent/US7217878B2/en")</f>
        <v>https://patents.google.com/patent/US7217878B2/en</v>
      </c>
    </row>
    <row r="7333" spans="3:5" x14ac:dyDescent="0.25">
      <c r="C7333" t="s">
        <v>13346</v>
      </c>
      <c r="D7333" t="s">
        <v>13347</v>
      </c>
      <c r="E7333" t="str">
        <f>HYPERLINK("https://patents.google.com/patent/JP2000167233A/en")</f>
        <v>https://patents.google.com/patent/JP2000167233A/en</v>
      </c>
    </row>
    <row r="7334" spans="3:5" x14ac:dyDescent="0.25">
      <c r="C7334" t="s">
        <v>13348</v>
      </c>
      <c r="D7334" t="s">
        <v>13349</v>
      </c>
      <c r="E7334" t="str">
        <f>HYPERLINK("https://patents.google.com/patent/CN1656661A/en")</f>
        <v>https://patents.google.com/patent/CN1656661A/en</v>
      </c>
    </row>
    <row r="7335" spans="3:5" x14ac:dyDescent="0.25">
      <c r="C7335" t="s">
        <v>13350</v>
      </c>
      <c r="D7335" t="s">
        <v>13351</v>
      </c>
      <c r="E7335" t="str">
        <f>HYPERLINK("https://patents.google.com/patent/US20080115414A1/en")</f>
        <v>https://patents.google.com/patent/US20080115414A1/en</v>
      </c>
    </row>
    <row r="7336" spans="3:5" x14ac:dyDescent="0.25">
      <c r="C7336" t="s">
        <v>13352</v>
      </c>
      <c r="D7336" t="s">
        <v>13353</v>
      </c>
      <c r="E7336" t="str">
        <f>HYPERLINK("https://patents.google.com/patent/US20040108350A1/en")</f>
        <v>https://patents.google.com/patent/US20040108350A1/en</v>
      </c>
    </row>
    <row r="7337" spans="3:5" x14ac:dyDescent="0.25">
      <c r="C7337" t="s">
        <v>13354</v>
      </c>
      <c r="D7337" t="s">
        <v>13355</v>
      </c>
      <c r="E7337" t="str">
        <f>HYPERLINK("https://patents.google.com/patent/US6965581B2/en")</f>
        <v>https://patents.google.com/patent/US6965581B2/en</v>
      </c>
    </row>
    <row r="7338" spans="3:5" x14ac:dyDescent="0.25">
      <c r="C7338" t="s">
        <v>13356</v>
      </c>
      <c r="D7338" t="s">
        <v>13357</v>
      </c>
      <c r="E7338" t="str">
        <f>HYPERLINK("https://patents.google.com/patent/US20120098927A1/en")</f>
        <v>https://patents.google.com/patent/US20120098927A1/en</v>
      </c>
    </row>
    <row r="7339" spans="3:5" x14ac:dyDescent="0.25">
      <c r="C7339" t="s">
        <v>13358</v>
      </c>
      <c r="D7339" t="s">
        <v>13359</v>
      </c>
      <c r="E7339" t="str">
        <f>HYPERLINK("https://patents.google.com/patent/US20100012696A1/en")</f>
        <v>https://patents.google.com/patent/US20100012696A1/en</v>
      </c>
    </row>
    <row r="7340" spans="3:5" x14ac:dyDescent="0.25">
      <c r="C7340" t="s">
        <v>13360</v>
      </c>
      <c r="D7340" t="s">
        <v>13361</v>
      </c>
      <c r="E7340" t="str">
        <f>HYPERLINK("https://patents.google.com/patent/JP2010072828A/en")</f>
        <v>https://patents.google.com/patent/JP2010072828A/en</v>
      </c>
    </row>
    <row r="7341" spans="3:5" x14ac:dyDescent="0.25">
      <c r="C7341" t="s">
        <v>13362</v>
      </c>
      <c r="D7341" t="s">
        <v>13363</v>
      </c>
      <c r="E7341" t="str">
        <f>HYPERLINK("https://patents.google.com/patent/JP2002334162A/en")</f>
        <v>https://patents.google.com/patent/JP2002334162A/en</v>
      </c>
    </row>
    <row r="7342" spans="3:5" x14ac:dyDescent="0.25">
      <c r="C7342" t="s">
        <v>13364</v>
      </c>
      <c r="D7342" t="s">
        <v>13365</v>
      </c>
      <c r="E7342" t="str">
        <f>HYPERLINK("https://patents.google.com/patent/US20130325323A1/en")</f>
        <v>https://patents.google.com/patent/US20130325323A1/en</v>
      </c>
    </row>
    <row r="7343" spans="3:5" x14ac:dyDescent="0.25">
      <c r="C7343" t="s">
        <v>13366</v>
      </c>
      <c r="D7343" t="s">
        <v>13367</v>
      </c>
      <c r="E7343" t="str">
        <f>HYPERLINK("https://patents.google.com/patent/EP0543683A1/en")</f>
        <v>https://patents.google.com/patent/EP0543683A1/en</v>
      </c>
    </row>
    <row r="7344" spans="3:5" x14ac:dyDescent="0.25">
      <c r="C7344" t="s">
        <v>13368</v>
      </c>
      <c r="D7344" t="s">
        <v>13369</v>
      </c>
      <c r="E7344" t="str">
        <f>HYPERLINK("https://patents.google.com/patent/JP2007520313A/en")</f>
        <v>https://patents.google.com/patent/JP2007520313A/en</v>
      </c>
    </row>
    <row r="7345" spans="3:5" x14ac:dyDescent="0.25">
      <c r="C7345" t="s">
        <v>13370</v>
      </c>
      <c r="D7345" t="s">
        <v>13371</v>
      </c>
      <c r="E7345" t="str">
        <f>HYPERLINK("https://patents.google.com/patent/JP2004309836A/en")</f>
        <v>https://patents.google.com/patent/JP2004309836A/en</v>
      </c>
    </row>
    <row r="7346" spans="3:5" x14ac:dyDescent="0.25">
      <c r="C7346" t="s">
        <v>13074</v>
      </c>
      <c r="D7346" t="s">
        <v>13372</v>
      </c>
      <c r="E7346" t="str">
        <f>HYPERLINK("https://patents.google.com/patent/WO1999067737A1/en")</f>
        <v>https://patents.google.com/patent/WO1999067737A1/en</v>
      </c>
    </row>
    <row r="7347" spans="3:5" x14ac:dyDescent="0.25">
      <c r="C7347" t="s">
        <v>13373</v>
      </c>
      <c r="D7347" t="s">
        <v>13374</v>
      </c>
      <c r="E7347" t="str">
        <f>HYPERLINK("https://patents.google.com/patent/WO2004039735A1/en")</f>
        <v>https://patents.google.com/patent/WO2004039735A1/en</v>
      </c>
    </row>
    <row r="7348" spans="3:5" x14ac:dyDescent="0.25">
      <c r="C7348" t="s">
        <v>13375</v>
      </c>
      <c r="D7348" t="s">
        <v>13376</v>
      </c>
      <c r="E7348" t="str">
        <f>HYPERLINK("https://patents.google.com/patent/US7991672B2/en")</f>
        <v>https://patents.google.com/patent/US7991672B2/en</v>
      </c>
    </row>
    <row r="7349" spans="3:5" x14ac:dyDescent="0.25">
      <c r="C7349" t="s">
        <v>13377</v>
      </c>
      <c r="D7349" t="s">
        <v>13378</v>
      </c>
      <c r="E7349" t="str">
        <f>HYPERLINK("https://patents.google.com/patent/US4679729A/en")</f>
        <v>https://patents.google.com/patent/US4679729A/en</v>
      </c>
    </row>
    <row r="7350" spans="3:5" x14ac:dyDescent="0.25">
      <c r="C7350" t="s">
        <v>13379</v>
      </c>
      <c r="D7350" t="s">
        <v>13380</v>
      </c>
      <c r="E7350" t="str">
        <f>HYPERLINK("https://patents.google.com/patent/JP2002024113A/en")</f>
        <v>https://patents.google.com/patent/JP2002024113A/en</v>
      </c>
    </row>
    <row r="7351" spans="3:5" x14ac:dyDescent="0.25">
      <c r="C7351" t="s">
        <v>13381</v>
      </c>
      <c r="D7351" t="s">
        <v>13382</v>
      </c>
      <c r="E7351" t="str">
        <f>HYPERLINK("https://patents.google.com/patent/US20100114664A1/en")</f>
        <v>https://patents.google.com/patent/US20100114664A1/en</v>
      </c>
    </row>
    <row r="7352" spans="3:5" x14ac:dyDescent="0.25">
      <c r="C7352" t="s">
        <v>13383</v>
      </c>
      <c r="D7352" t="s">
        <v>13384</v>
      </c>
      <c r="E7352" t="str">
        <f>HYPERLINK("https://patents.google.com/patent/US20100175824A1/en")</f>
        <v>https://patents.google.com/patent/US20100175824A1/en</v>
      </c>
    </row>
    <row r="7353" spans="3:5" x14ac:dyDescent="0.25">
      <c r="C7353" t="s">
        <v>13385</v>
      </c>
      <c r="D7353" t="s">
        <v>13386</v>
      </c>
      <c r="E7353" t="str">
        <f>HYPERLINK("https://patents.google.com/patent/US20090197551A1/en")</f>
        <v>https://patents.google.com/patent/US20090197551A1/en</v>
      </c>
    </row>
    <row r="7354" spans="3:5" x14ac:dyDescent="0.25">
      <c r="C7354" t="s">
        <v>13387</v>
      </c>
      <c r="D7354" t="s">
        <v>13388</v>
      </c>
      <c r="E7354" t="str">
        <f>HYPERLINK("https://patents.google.com/patent/US20150082172A1/en")</f>
        <v>https://patents.google.com/patent/US20150082172A1/en</v>
      </c>
    </row>
    <row r="7355" spans="3:5" x14ac:dyDescent="0.25">
      <c r="C7355" t="s">
        <v>13389</v>
      </c>
      <c r="D7355" t="s">
        <v>13390</v>
      </c>
      <c r="E7355" t="str">
        <f>HYPERLINK("https://patents.google.com/patent/US20070298895A1/en")</f>
        <v>https://patents.google.com/patent/US20070298895A1/en</v>
      </c>
    </row>
    <row r="7356" spans="3:5" x14ac:dyDescent="0.25">
      <c r="C7356" t="s">
        <v>13391</v>
      </c>
      <c r="D7356" t="s">
        <v>13392</v>
      </c>
      <c r="E7356" t="str">
        <f>HYPERLINK("https://patents.google.com/patent/US20130237304A1/en")</f>
        <v>https://patents.google.com/patent/US20130237304A1/en</v>
      </c>
    </row>
    <row r="7357" spans="3:5" x14ac:dyDescent="0.25">
      <c r="C7357" t="s">
        <v>13393</v>
      </c>
      <c r="D7357" t="s">
        <v>13394</v>
      </c>
      <c r="E7357" t="str">
        <f>HYPERLINK("https://patents.google.com/patent/US20020009058A1/en")</f>
        <v>https://patents.google.com/patent/US20020009058A1/en</v>
      </c>
    </row>
    <row r="7358" spans="3:5" x14ac:dyDescent="0.25">
      <c r="C7358" t="s">
        <v>13311</v>
      </c>
      <c r="D7358" t="s">
        <v>13395</v>
      </c>
      <c r="E7358" t="str">
        <f>HYPERLINK("https://patents.google.com/patent/US9098876B2/en")</f>
        <v>https://patents.google.com/patent/US9098876B2/en</v>
      </c>
    </row>
    <row r="7359" spans="3:5" x14ac:dyDescent="0.25">
      <c r="C7359" t="s">
        <v>13396</v>
      </c>
      <c r="D7359" t="s">
        <v>13397</v>
      </c>
      <c r="E7359" t="str">
        <f>HYPERLINK("https://patents.google.com/patent/US7131149B2/en")</f>
        <v>https://patents.google.com/patent/US7131149B2/en</v>
      </c>
    </row>
    <row r="7360" spans="3:5" x14ac:dyDescent="0.25">
      <c r="C7360" t="s">
        <v>13398</v>
      </c>
      <c r="D7360" t="s">
        <v>13399</v>
      </c>
      <c r="E7360" t="str">
        <f>HYPERLINK("https://patents.google.com/patent/US20130278755A1/en")</f>
        <v>https://patents.google.com/patent/US20130278755A1/en</v>
      </c>
    </row>
    <row r="7361" spans="3:5" x14ac:dyDescent="0.25">
      <c r="C7361" t="s">
        <v>13013</v>
      </c>
      <c r="D7361" t="s">
        <v>13400</v>
      </c>
      <c r="E7361" t="str">
        <f>HYPERLINK("https://patents.google.com/patent/US8923186B1/en")</f>
        <v>https://patents.google.com/patent/US8923186B1/en</v>
      </c>
    </row>
    <row r="7362" spans="3:5" x14ac:dyDescent="0.25">
      <c r="C7362" t="s">
        <v>13401</v>
      </c>
      <c r="D7362" t="s">
        <v>13402</v>
      </c>
      <c r="E7362" t="str">
        <f>HYPERLINK("https://patents.google.com/patent/CN1184498A/en")</f>
        <v>https://patents.google.com/patent/CN1184498A/en</v>
      </c>
    </row>
    <row r="7363" spans="3:5" x14ac:dyDescent="0.25">
      <c r="C7363" t="s">
        <v>13403</v>
      </c>
      <c r="D7363" t="s">
        <v>13404</v>
      </c>
      <c r="E7363" t="str">
        <f>HYPERLINK("https://patents.google.com/patent/US20120214571A1/en")</f>
        <v>https://patents.google.com/patent/US20120214571A1/en</v>
      </c>
    </row>
    <row r="7364" spans="3:5" x14ac:dyDescent="0.25">
      <c r="C7364" t="s">
        <v>8048</v>
      </c>
      <c r="D7364" t="s">
        <v>13405</v>
      </c>
      <c r="E7364" t="str">
        <f>HYPERLINK("https://patents.google.com/patent/EP1923830A2/en")</f>
        <v>https://patents.google.com/patent/EP1923830A2/en</v>
      </c>
    </row>
    <row r="7365" spans="3:5" x14ac:dyDescent="0.25">
      <c r="C7365" t="s">
        <v>13406</v>
      </c>
      <c r="D7365" t="s">
        <v>13407</v>
      </c>
      <c r="E7365" t="str">
        <f>HYPERLINK("https://patents.google.com/patent/JP2008035472A/en")</f>
        <v>https://patents.google.com/patent/JP2008035472A/en</v>
      </c>
    </row>
    <row r="7366" spans="3:5" x14ac:dyDescent="0.25">
      <c r="C7366" t="s">
        <v>13313</v>
      </c>
      <c r="D7366" t="s">
        <v>13408</v>
      </c>
      <c r="E7366" t="str">
        <f>HYPERLINK("https://patents.google.com/patent/US20090031642A1/en")</f>
        <v>https://patents.google.com/patent/US20090031642A1/en</v>
      </c>
    </row>
    <row r="7367" spans="3:5" x14ac:dyDescent="0.25">
      <c r="C7367" t="s">
        <v>13409</v>
      </c>
      <c r="D7367" t="s">
        <v>13410</v>
      </c>
      <c r="E7367" t="str">
        <f>HYPERLINK("https://patents.google.com/patent/CN101519953A/en")</f>
        <v>https://patents.google.com/patent/CN101519953A/en</v>
      </c>
    </row>
    <row r="7368" spans="3:5" x14ac:dyDescent="0.25">
      <c r="C7368" t="s">
        <v>13411</v>
      </c>
      <c r="D7368" t="s">
        <v>13412</v>
      </c>
      <c r="E7368" t="str">
        <f>HYPERLINK("https://patents.google.com/patent/US6517092B2/en")</f>
        <v>https://patents.google.com/patent/US6517092B2/en</v>
      </c>
    </row>
    <row r="7369" spans="3:5" x14ac:dyDescent="0.25">
      <c r="C7369" t="s">
        <v>11826</v>
      </c>
      <c r="D7369" t="s">
        <v>13413</v>
      </c>
      <c r="E7369" t="str">
        <f>HYPERLINK("https://patents.google.com/patent/US20160357187A1/en")</f>
        <v>https://patents.google.com/patent/US20160357187A1/en</v>
      </c>
    </row>
    <row r="7370" spans="3:5" x14ac:dyDescent="0.25">
      <c r="C7370" t="s">
        <v>13414</v>
      </c>
      <c r="D7370" t="s">
        <v>13415</v>
      </c>
      <c r="E7370" t="str">
        <f>HYPERLINK("https://patents.google.com/patent/US4918470A/en")</f>
        <v>https://patents.google.com/patent/US4918470A/en</v>
      </c>
    </row>
    <row r="7371" spans="3:5" x14ac:dyDescent="0.25">
      <c r="C7371" t="s">
        <v>13416</v>
      </c>
      <c r="D7371" t="s">
        <v>13417</v>
      </c>
      <c r="E7371" t="str">
        <f>HYPERLINK("https://patents.google.com/patent/CN101674461A/en")</f>
        <v>https://patents.google.com/patent/CN101674461A/en</v>
      </c>
    </row>
    <row r="7372" spans="3:5" x14ac:dyDescent="0.25">
      <c r="C7372" t="s">
        <v>13418</v>
      </c>
      <c r="D7372" t="s">
        <v>13419</v>
      </c>
      <c r="E7372" t="str">
        <f>HYPERLINK("https://patents.google.com/patent/CN1484120A/en")</f>
        <v>https://patents.google.com/patent/CN1484120A/en</v>
      </c>
    </row>
    <row r="7373" spans="3:5" x14ac:dyDescent="0.25">
      <c r="C7373" t="s">
        <v>13420</v>
      </c>
      <c r="D7373" t="s">
        <v>13421</v>
      </c>
      <c r="E7373" t="str">
        <f>HYPERLINK("https://patents.google.com/patent/CN103398417A/en")</f>
        <v>https://patents.google.com/patent/CN103398417A/en</v>
      </c>
    </row>
    <row r="7374" spans="3:5" x14ac:dyDescent="0.25">
      <c r="C7374" t="s">
        <v>13422</v>
      </c>
      <c r="D7374" t="s">
        <v>13423</v>
      </c>
      <c r="E7374" t="str">
        <f>HYPERLINK("https://patents.google.com/patent/DE102005032764A1/en")</f>
        <v>https://patents.google.com/patent/DE102005032764A1/en</v>
      </c>
    </row>
    <row r="7375" spans="3:5" x14ac:dyDescent="0.25">
      <c r="C7375" t="s">
        <v>13424</v>
      </c>
      <c r="D7375" t="s">
        <v>13425</v>
      </c>
      <c r="E7375" t="str">
        <f>HYPERLINK("https://patents.google.com/patent/WO2006046234A2/en")</f>
        <v>https://patents.google.com/patent/WO2006046234A2/en</v>
      </c>
    </row>
    <row r="7376" spans="3:5" x14ac:dyDescent="0.25">
      <c r="C7376" t="s">
        <v>13426</v>
      </c>
      <c r="D7376" t="s">
        <v>13427</v>
      </c>
      <c r="E7376" t="str">
        <f>HYPERLINK("https://patents.google.com/patent/JP2008538825A/en")</f>
        <v>https://patents.google.com/patent/JP2008538825A/en</v>
      </c>
    </row>
    <row r="7377" spans="3:5" x14ac:dyDescent="0.25">
      <c r="C7377" t="s">
        <v>13428</v>
      </c>
      <c r="D7377" t="s">
        <v>13429</v>
      </c>
      <c r="E7377" t="str">
        <f>HYPERLINK("https://patents.google.com/patent/CN102926012A/en")</f>
        <v>https://patents.google.com/patent/CN102926012A/en</v>
      </c>
    </row>
    <row r="7378" spans="3:5" x14ac:dyDescent="0.25">
      <c r="C7378" t="s">
        <v>13430</v>
      </c>
      <c r="D7378" t="s">
        <v>13431</v>
      </c>
      <c r="E7378" t="str">
        <f>HYPERLINK("https://patents.google.com/patent/CN103402173A/en")</f>
        <v>https://patents.google.com/patent/CN103402173A/en</v>
      </c>
    </row>
    <row r="7379" spans="3:5" x14ac:dyDescent="0.25">
      <c r="C7379" t="s">
        <v>13432</v>
      </c>
      <c r="D7379" t="s">
        <v>13433</v>
      </c>
      <c r="E7379" t="str">
        <f>HYPERLINK("https://patents.google.com/patent/JP2009176130A/en")</f>
        <v>https://patents.google.com/patent/JP2009176130A/en</v>
      </c>
    </row>
    <row r="7380" spans="3:5" x14ac:dyDescent="0.25">
      <c r="C7380" t="s">
        <v>13434</v>
      </c>
      <c r="D7380" t="s">
        <v>13435</v>
      </c>
      <c r="E7380" t="str">
        <f>HYPERLINK("https://patents.google.com/patent/US7219623B2/en")</f>
        <v>https://patents.google.com/patent/US7219623B2/en</v>
      </c>
    </row>
    <row r="7381" spans="3:5" x14ac:dyDescent="0.25">
      <c r="C7381" t="s">
        <v>13436</v>
      </c>
      <c r="D7381" t="s">
        <v>13437</v>
      </c>
      <c r="E7381" t="str">
        <f>HYPERLINK("https://patents.google.com/patent/US20170018184A1/en")</f>
        <v>https://patents.google.com/patent/US20170018184A1/en</v>
      </c>
    </row>
    <row r="7382" spans="3:5" x14ac:dyDescent="0.25">
      <c r="C7382" t="s">
        <v>13438</v>
      </c>
      <c r="D7382" t="s">
        <v>13439</v>
      </c>
      <c r="E7382" t="str">
        <f>HYPERLINK("https://patents.google.com/patent/US3685874A/en")</f>
        <v>https://patents.google.com/patent/US3685874A/en</v>
      </c>
    </row>
    <row r="7383" spans="3:5" x14ac:dyDescent="0.25">
      <c r="C7383" t="s">
        <v>13440</v>
      </c>
      <c r="D7383" t="s">
        <v>13441</v>
      </c>
      <c r="E7383" t="str">
        <f>HYPERLINK("https://patents.google.com/patent/WO2000011590A1/en")</f>
        <v>https://patents.google.com/patent/WO2000011590A1/en</v>
      </c>
    </row>
    <row r="7384" spans="3:5" x14ac:dyDescent="0.25">
      <c r="C7384" t="s">
        <v>13442</v>
      </c>
      <c r="D7384" t="s">
        <v>13443</v>
      </c>
      <c r="E7384" t="str">
        <f>HYPERLINK("https://patents.google.com/patent/CN201173566Y/en")</f>
        <v>https://patents.google.com/patent/CN201173566Y/en</v>
      </c>
    </row>
    <row r="7385" spans="3:5" x14ac:dyDescent="0.25">
      <c r="C7385" t="s">
        <v>12963</v>
      </c>
      <c r="D7385" t="s">
        <v>13444</v>
      </c>
      <c r="E7385" t="str">
        <f>HYPERLINK("https://patents.google.com/patent/WO2014031899A1/en")</f>
        <v>https://patents.google.com/patent/WO2014031899A1/en</v>
      </c>
    </row>
    <row r="7386" spans="3:5" x14ac:dyDescent="0.25">
      <c r="C7386" t="s">
        <v>13445</v>
      </c>
      <c r="D7386" t="s">
        <v>13446</v>
      </c>
      <c r="E7386" t="str">
        <f>HYPERLINK("https://patents.google.com/patent/CN207627905U/en")</f>
        <v>https://patents.google.com/patent/CN207627905U/en</v>
      </c>
    </row>
    <row r="7387" spans="3:5" x14ac:dyDescent="0.25">
      <c r="C7387" t="s">
        <v>13447</v>
      </c>
      <c r="D7387" t="s">
        <v>13448</v>
      </c>
      <c r="E7387" t="str">
        <f>HYPERLINK("https://patents.google.com/patent/CN101450255A/en")</f>
        <v>https://patents.google.com/patent/CN101450255A/en</v>
      </c>
    </row>
    <row r="7388" spans="3:5" x14ac:dyDescent="0.25">
      <c r="C7388" t="s">
        <v>6440</v>
      </c>
      <c r="D7388" t="s">
        <v>13449</v>
      </c>
      <c r="E7388" t="str">
        <f>HYPERLINK("https://patents.google.com/patent/US9418115B2/en")</f>
        <v>https://patents.google.com/patent/US9418115B2/en</v>
      </c>
    </row>
    <row r="7389" spans="3:5" x14ac:dyDescent="0.25">
      <c r="C7389" t="s">
        <v>13450</v>
      </c>
      <c r="D7389" t="s">
        <v>13451</v>
      </c>
      <c r="E7389" t="str">
        <f>HYPERLINK("https://patents.google.com/patent/CN202201094U/en")</f>
        <v>https://patents.google.com/patent/CN202201094U/en</v>
      </c>
    </row>
    <row r="7390" spans="3:5" x14ac:dyDescent="0.25">
      <c r="C7390" t="s">
        <v>5171</v>
      </c>
      <c r="D7390" t="s">
        <v>13452</v>
      </c>
      <c r="E7390" t="str">
        <f>HYPERLINK("https://patents.google.com/patent/CA2695014C/en")</f>
        <v>https://patents.google.com/patent/CA2695014C/en</v>
      </c>
    </row>
    <row r="7391" spans="3:5" x14ac:dyDescent="0.25">
      <c r="C7391" t="s">
        <v>13453</v>
      </c>
      <c r="D7391" t="s">
        <v>13454</v>
      </c>
      <c r="E7391" t="str">
        <f>HYPERLINK("https://patents.google.com/patent/US20090048569A1/en")</f>
        <v>https://patents.google.com/patent/US20090048569A1/en</v>
      </c>
    </row>
    <row r="7392" spans="3:5" x14ac:dyDescent="0.25">
      <c r="C7392" t="s">
        <v>13455</v>
      </c>
      <c r="D7392" t="s">
        <v>13456</v>
      </c>
      <c r="E7392" t="str">
        <f>HYPERLINK("https://patents.google.com/patent/RU2410283C1/en")</f>
        <v>https://patents.google.com/patent/RU2410283C1/en</v>
      </c>
    </row>
    <row r="7393" spans="3:5" x14ac:dyDescent="0.25">
      <c r="C7393" t="s">
        <v>13457</v>
      </c>
      <c r="D7393" t="s">
        <v>13458</v>
      </c>
      <c r="E7393" t="str">
        <f>HYPERLINK("https://patents.google.com/patent/RU2399549C1/en")</f>
        <v>https://patents.google.com/patent/RU2399549C1/en</v>
      </c>
    </row>
    <row r="7394" spans="3:5" x14ac:dyDescent="0.25">
      <c r="C7394" t="s">
        <v>13459</v>
      </c>
      <c r="D7394" t="s">
        <v>13460</v>
      </c>
      <c r="E7394" t="str">
        <f>HYPERLINK("https://patents.google.com/patent/CN202608977U/en")</f>
        <v>https://patents.google.com/patent/CN202608977U/en</v>
      </c>
    </row>
    <row r="7395" spans="3:5" x14ac:dyDescent="0.25">
      <c r="C7395" t="s">
        <v>13461</v>
      </c>
      <c r="D7395" t="s">
        <v>13462</v>
      </c>
      <c r="E7395" t="str">
        <f>HYPERLINK("https://patents.google.com/patent/KR100303640B1/en")</f>
        <v>https://patents.google.com/patent/KR100303640B1/en</v>
      </c>
    </row>
    <row r="7396" spans="3:5" x14ac:dyDescent="0.25">
      <c r="C7396" t="s">
        <v>13463</v>
      </c>
      <c r="D7396" t="s">
        <v>13464</v>
      </c>
      <c r="E7396" t="str">
        <f>HYPERLINK("https://patents.google.com/patent/US4412649A/en")</f>
        <v>https://patents.google.com/patent/US4412649A/en</v>
      </c>
    </row>
    <row r="7397" spans="3:5" x14ac:dyDescent="0.25">
      <c r="C7397" t="s">
        <v>13465</v>
      </c>
      <c r="D7397" t="s">
        <v>13466</v>
      </c>
      <c r="E7397" t="str">
        <f>HYPERLINK("https://patents.google.com/patent/FR2552160A1/en")</f>
        <v>https://patents.google.com/patent/FR2552160A1/en</v>
      </c>
    </row>
    <row r="7398" spans="3:5" x14ac:dyDescent="0.25">
      <c r="C7398" t="s">
        <v>13467</v>
      </c>
      <c r="D7398" t="s">
        <v>13468</v>
      </c>
      <c r="E7398" t="str">
        <f>HYPERLINK("https://patents.google.com/patent/CN104349127A/en")</f>
        <v>https://patents.google.com/patent/CN104349127A/en</v>
      </c>
    </row>
    <row r="7399" spans="3:5" x14ac:dyDescent="0.25">
      <c r="C7399" t="s">
        <v>13469</v>
      </c>
      <c r="D7399" t="s">
        <v>13470</v>
      </c>
      <c r="E7399" t="str">
        <f>HYPERLINK("https://patents.google.com/patent/KR101248395B1/en")</f>
        <v>https://patents.google.com/patent/KR101248395B1/en</v>
      </c>
    </row>
    <row r="7400" spans="3:5" x14ac:dyDescent="0.25">
      <c r="C7400" t="s">
        <v>13471</v>
      </c>
      <c r="D7400" t="s">
        <v>13472</v>
      </c>
      <c r="E7400" t="str">
        <f>HYPERLINK("https://patents.google.com/patent/CN205322947U/en")</f>
        <v>https://patents.google.com/patent/CN205322947U/en</v>
      </c>
    </row>
    <row r="7401" spans="3:5" x14ac:dyDescent="0.25">
      <c r="C7401" t="s">
        <v>13473</v>
      </c>
      <c r="D7401" t="s">
        <v>13474</v>
      </c>
      <c r="E7401" t="str">
        <f>HYPERLINK("https://patents.google.com/patent/CN107826218A/en")</f>
        <v>https://patents.google.com/patent/CN107826218A/en</v>
      </c>
    </row>
    <row r="7402" spans="3:5" x14ac:dyDescent="0.25">
      <c r="C7402" t="s">
        <v>13475</v>
      </c>
      <c r="D7402" t="s">
        <v>13476</v>
      </c>
      <c r="E7402" t="str">
        <f>HYPERLINK("https://patents.google.com/patent/US10102546B2/en")</f>
        <v>https://patents.google.com/patent/US10102546B2/en</v>
      </c>
    </row>
    <row r="7403" spans="3:5" x14ac:dyDescent="0.25">
      <c r="C7403" t="s">
        <v>8725</v>
      </c>
      <c r="D7403" t="s">
        <v>13477</v>
      </c>
      <c r="E7403" t="str">
        <f>HYPERLINK("https://patents.google.com/patent/WO2017218878A1/en")</f>
        <v>https://patents.google.com/patent/WO2017218878A1/en</v>
      </c>
    </row>
    <row r="7404" spans="3:5" x14ac:dyDescent="0.25">
      <c r="C7404" t="s">
        <v>13478</v>
      </c>
      <c r="D7404" t="s">
        <v>13479</v>
      </c>
      <c r="E7404" t="str">
        <f>HYPERLINK("https://patents.google.com/patent/BE507361A/en")</f>
        <v>https://patents.google.com/patent/BE507361A/en</v>
      </c>
    </row>
    <row r="7405" spans="3:5" x14ac:dyDescent="0.25">
      <c r="C7405" t="s">
        <v>13480</v>
      </c>
      <c r="D7405" t="s">
        <v>13481</v>
      </c>
      <c r="E7405" t="str">
        <f>HYPERLINK("https://patents.google.com/patent/FR2464369A1/en")</f>
        <v>https://patents.google.com/patent/FR2464369A1/en</v>
      </c>
    </row>
    <row r="7406" spans="3:5" x14ac:dyDescent="0.25">
      <c r="C7406" t="s">
        <v>13482</v>
      </c>
      <c r="D7406" t="s">
        <v>13483</v>
      </c>
      <c r="E7406" t="str">
        <f>HYPERLINK("https://patents.google.com/patent/US20180053121A1/en")</f>
        <v>https://patents.google.com/patent/US20180053121A1/en</v>
      </c>
    </row>
    <row r="7407" spans="3:5" x14ac:dyDescent="0.25">
      <c r="C7407" t="s">
        <v>8693</v>
      </c>
      <c r="D7407" t="s">
        <v>13484</v>
      </c>
      <c r="E7407" t="str">
        <f>HYPERLINK("https://patents.google.com/patent/US20180159444A1/en")</f>
        <v>https://patents.google.com/patent/US20180159444A1/en</v>
      </c>
    </row>
    <row r="7408" spans="3:5" x14ac:dyDescent="0.25">
      <c r="C7408" t="s">
        <v>13485</v>
      </c>
      <c r="D7408" t="s">
        <v>13486</v>
      </c>
      <c r="E7408" t="str">
        <f>HYPERLINK("https://patents.google.com/patent/WO2006088550A2/en")</f>
        <v>https://patents.google.com/patent/WO2006088550A2/en</v>
      </c>
    </row>
    <row r="7409" spans="1:5" x14ac:dyDescent="0.25">
      <c r="A7409" t="s">
        <v>1338</v>
      </c>
      <c r="B7409">
        <v>622</v>
      </c>
    </row>
    <row r="7410" spans="1:5" x14ac:dyDescent="0.25">
      <c r="C7410" t="s">
        <v>13487</v>
      </c>
      <c r="D7410" t="s">
        <v>13488</v>
      </c>
      <c r="E7410" t="str">
        <f>HYPERLINK("https://patents.google.com/patent/CN204611993U/en")</f>
        <v>https://patents.google.com/patent/CN204611993U/en</v>
      </c>
    </row>
    <row r="7411" spans="1:5" x14ac:dyDescent="0.25">
      <c r="C7411" t="s">
        <v>13489</v>
      </c>
      <c r="D7411" t="s">
        <v>13490</v>
      </c>
      <c r="E7411" t="str">
        <f>HYPERLINK("https://patents.google.com/patent/US20120242852A1/en")</f>
        <v>https://patents.google.com/patent/US20120242852A1/en</v>
      </c>
    </row>
    <row r="7412" spans="1:5" x14ac:dyDescent="0.25">
      <c r="C7412" t="s">
        <v>13491</v>
      </c>
      <c r="D7412" t="s">
        <v>13492</v>
      </c>
      <c r="E7412" t="str">
        <f>HYPERLINK("https://patents.google.com/patent/US7620370B2/en")</f>
        <v>https://patents.google.com/patent/US7620370B2/en</v>
      </c>
    </row>
    <row r="7413" spans="1:5" x14ac:dyDescent="0.25">
      <c r="C7413" t="s">
        <v>13493</v>
      </c>
      <c r="D7413" t="s">
        <v>13494</v>
      </c>
      <c r="E7413" t="str">
        <f>HYPERLINK("https://patents.google.com/patent/KR20100071775A/en")</f>
        <v>https://patents.google.com/patent/KR20100071775A/en</v>
      </c>
    </row>
    <row r="7414" spans="1:5" x14ac:dyDescent="0.25">
      <c r="C7414" t="s">
        <v>13495</v>
      </c>
      <c r="D7414" t="s">
        <v>13496</v>
      </c>
      <c r="E7414" t="str">
        <f>HYPERLINK("https://patents.google.com/patent/US7343226B2/en")</f>
        <v>https://patents.google.com/patent/US7343226B2/en</v>
      </c>
    </row>
    <row r="7415" spans="1:5" x14ac:dyDescent="0.25">
      <c r="C7415" t="s">
        <v>13497</v>
      </c>
      <c r="D7415" t="s">
        <v>13498</v>
      </c>
      <c r="E7415" t="str">
        <f>HYPERLINK("https://patents.google.com/patent/US9363761B2/en")</f>
        <v>https://patents.google.com/patent/US9363761B2/en</v>
      </c>
    </row>
    <row r="7416" spans="1:5" x14ac:dyDescent="0.25">
      <c r="C7416" t="s">
        <v>13499</v>
      </c>
      <c r="D7416" t="s">
        <v>13500</v>
      </c>
      <c r="E7416" t="str">
        <f>HYPERLINK("https://patents.google.com/patent/US6965303B2/en")</f>
        <v>https://patents.google.com/patent/US6965303B2/en</v>
      </c>
    </row>
    <row r="7417" spans="1:5" x14ac:dyDescent="0.25">
      <c r="C7417" t="s">
        <v>13501</v>
      </c>
      <c r="D7417" t="s">
        <v>13502</v>
      </c>
      <c r="E7417" t="str">
        <f>HYPERLINK("https://patents.google.com/patent/US7075414B2/en")</f>
        <v>https://patents.google.com/patent/US7075414B2/en</v>
      </c>
    </row>
    <row r="7418" spans="1:5" x14ac:dyDescent="0.25">
      <c r="C7418" t="s">
        <v>13503</v>
      </c>
      <c r="D7418" t="s">
        <v>13504</v>
      </c>
      <c r="E7418" t="str">
        <f>HYPERLINK("https://patents.google.com/patent/US7795877B2/en")</f>
        <v>https://patents.google.com/patent/US7795877B2/en</v>
      </c>
    </row>
    <row r="7419" spans="1:5" x14ac:dyDescent="0.25">
      <c r="C7419" t="s">
        <v>13505</v>
      </c>
      <c r="D7419" t="s">
        <v>13506</v>
      </c>
      <c r="E7419" t="str">
        <f>HYPERLINK("https://patents.google.com/patent/US7495719B2/en")</f>
        <v>https://patents.google.com/patent/US7495719B2/en</v>
      </c>
    </row>
    <row r="7420" spans="1:5" x14ac:dyDescent="0.25">
      <c r="C7420" t="s">
        <v>13507</v>
      </c>
      <c r="D7420" t="s">
        <v>13508</v>
      </c>
      <c r="E7420" t="str">
        <f>HYPERLINK("https://patents.google.com/patent/US8106539B2/en")</f>
        <v>https://patents.google.com/patent/US8106539B2/en</v>
      </c>
    </row>
    <row r="7421" spans="1:5" x14ac:dyDescent="0.25">
      <c r="C7421" t="s">
        <v>13509</v>
      </c>
      <c r="D7421" t="s">
        <v>13510</v>
      </c>
      <c r="E7421" t="str">
        <f>HYPERLINK("https://patents.google.com/patent/US7466225B2/en")</f>
        <v>https://patents.google.com/patent/US7466225B2/en</v>
      </c>
    </row>
    <row r="7422" spans="1:5" x14ac:dyDescent="0.25">
      <c r="C7422" t="s">
        <v>13511</v>
      </c>
      <c r="D7422" t="s">
        <v>13512</v>
      </c>
      <c r="E7422" t="str">
        <f>HYPERLINK("https://patents.google.com/patent/US9020555B2/en")</f>
        <v>https://patents.google.com/patent/US9020555B2/en</v>
      </c>
    </row>
    <row r="7423" spans="1:5" x14ac:dyDescent="0.25">
      <c r="C7423" t="s">
        <v>13513</v>
      </c>
      <c r="D7423" t="s">
        <v>13514</v>
      </c>
      <c r="E7423" t="str">
        <f>HYPERLINK("https://patents.google.com/patent/US6236365B1/en")</f>
        <v>https://patents.google.com/patent/US6236365B1/en</v>
      </c>
    </row>
    <row r="7424" spans="1:5" x14ac:dyDescent="0.25">
      <c r="C7424" t="s">
        <v>9013</v>
      </c>
      <c r="D7424" t="s">
        <v>13515</v>
      </c>
      <c r="E7424" t="str">
        <f>HYPERLINK("https://patents.google.com/patent/US8996188B2/en")</f>
        <v>https://patents.google.com/patent/US8996188B2/en</v>
      </c>
    </row>
    <row r="7425" spans="3:5" x14ac:dyDescent="0.25">
      <c r="C7425" t="s">
        <v>13516</v>
      </c>
      <c r="D7425" t="s">
        <v>13517</v>
      </c>
      <c r="E7425" t="str">
        <f>HYPERLINK("https://patents.google.com/patent/US8334901B1/en")</f>
        <v>https://patents.google.com/patent/US8334901B1/en</v>
      </c>
    </row>
    <row r="7426" spans="3:5" x14ac:dyDescent="0.25">
      <c r="C7426" t="s">
        <v>13518</v>
      </c>
      <c r="D7426" t="s">
        <v>13519</v>
      </c>
      <c r="E7426" t="str">
        <f>HYPERLINK("https://patents.google.com/patent/US6982960B2/en")</f>
        <v>https://patents.google.com/patent/US6982960B2/en</v>
      </c>
    </row>
    <row r="7427" spans="3:5" x14ac:dyDescent="0.25">
      <c r="C7427" t="s">
        <v>13520</v>
      </c>
      <c r="D7427" t="s">
        <v>13521</v>
      </c>
      <c r="E7427" t="str">
        <f>HYPERLINK("https://patents.google.com/patent/CN204507110U/en")</f>
        <v>https://patents.google.com/patent/CN204507110U/en</v>
      </c>
    </row>
    <row r="7428" spans="3:5" x14ac:dyDescent="0.25">
      <c r="C7428" t="s">
        <v>13522</v>
      </c>
      <c r="D7428" t="s">
        <v>13523</v>
      </c>
      <c r="E7428" t="str">
        <f>HYPERLINK("https://patents.google.com/patent/US7574179B2/en")</f>
        <v>https://patents.google.com/patent/US7574179B2/en</v>
      </c>
    </row>
    <row r="7429" spans="3:5" x14ac:dyDescent="0.25">
      <c r="C7429" t="s">
        <v>13524</v>
      </c>
      <c r="D7429" t="s">
        <v>13525</v>
      </c>
      <c r="E7429" t="str">
        <f>HYPERLINK("https://patents.google.com/patent/US6980090B2/en")</f>
        <v>https://patents.google.com/patent/US6980090B2/en</v>
      </c>
    </row>
    <row r="7430" spans="3:5" x14ac:dyDescent="0.25">
      <c r="C7430" t="s">
        <v>13526</v>
      </c>
      <c r="D7430" t="s">
        <v>13527</v>
      </c>
      <c r="E7430" t="str">
        <f>HYPERLINK("https://patents.google.com/patent/US5262259A/en")</f>
        <v>https://patents.google.com/patent/US5262259A/en</v>
      </c>
    </row>
    <row r="7431" spans="3:5" x14ac:dyDescent="0.25">
      <c r="C7431" t="s">
        <v>13528</v>
      </c>
      <c r="D7431" t="s">
        <v>13529</v>
      </c>
      <c r="E7431" t="str">
        <f>HYPERLINK("https://patents.google.com/patent/US5329768A/en")</f>
        <v>https://patents.google.com/patent/US5329768A/en</v>
      </c>
    </row>
    <row r="7432" spans="3:5" x14ac:dyDescent="0.25">
      <c r="C7432" t="s">
        <v>13530</v>
      </c>
      <c r="D7432" t="s">
        <v>13531</v>
      </c>
      <c r="E7432" t="str">
        <f>HYPERLINK("https://patents.google.com/patent/US6640111B1/en")</f>
        <v>https://patents.google.com/patent/US6640111B1/en</v>
      </c>
    </row>
    <row r="7433" spans="3:5" x14ac:dyDescent="0.25">
      <c r="C7433" t="s">
        <v>13532</v>
      </c>
      <c r="D7433" t="s">
        <v>13533</v>
      </c>
      <c r="E7433" t="str">
        <f>HYPERLINK("https://patents.google.com/patent/US9401863B2/en")</f>
        <v>https://patents.google.com/patent/US9401863B2/en</v>
      </c>
    </row>
    <row r="7434" spans="3:5" x14ac:dyDescent="0.25">
      <c r="C7434" t="s">
        <v>13534</v>
      </c>
      <c r="D7434" t="s">
        <v>13535</v>
      </c>
      <c r="E7434" t="str">
        <f>HYPERLINK("https://patents.google.com/patent/US7813451B2/en")</f>
        <v>https://patents.google.com/patent/US7813451B2/en</v>
      </c>
    </row>
    <row r="7435" spans="3:5" x14ac:dyDescent="0.25">
      <c r="C7435" t="s">
        <v>13536</v>
      </c>
      <c r="D7435" t="s">
        <v>13537</v>
      </c>
      <c r="E7435" t="str">
        <f>HYPERLINK("https://patents.google.com/patent/KR20120059751A/en")</f>
        <v>https://patents.google.com/patent/KR20120059751A/en</v>
      </c>
    </row>
    <row r="7436" spans="3:5" x14ac:dyDescent="0.25">
      <c r="C7436" t="s">
        <v>9731</v>
      </c>
      <c r="D7436" t="s">
        <v>13538</v>
      </c>
      <c r="E7436" t="str">
        <f>HYPERLINK("https://patents.google.com/patent/US8366550B2/en")</f>
        <v>https://patents.google.com/patent/US8366550B2/en</v>
      </c>
    </row>
    <row r="7437" spans="3:5" x14ac:dyDescent="0.25">
      <c r="C7437" t="s">
        <v>13509</v>
      </c>
      <c r="D7437" t="s">
        <v>13539</v>
      </c>
      <c r="E7437" t="str">
        <f>HYPERLINK("https://patents.google.com/patent/US7064654B2/en")</f>
        <v>https://patents.google.com/patent/US7064654B2/en</v>
      </c>
    </row>
    <row r="7438" spans="3:5" x14ac:dyDescent="0.25">
      <c r="C7438" t="s">
        <v>13540</v>
      </c>
      <c r="D7438" t="s">
        <v>13541</v>
      </c>
      <c r="E7438" t="str">
        <f>HYPERLINK("https://patents.google.com/patent/CN104617633A/en")</f>
        <v>https://patents.google.com/patent/CN104617633A/en</v>
      </c>
    </row>
    <row r="7439" spans="3:5" x14ac:dyDescent="0.25">
      <c r="C7439" t="s">
        <v>13542</v>
      </c>
      <c r="D7439" t="s">
        <v>13543</v>
      </c>
      <c r="E7439" t="str">
        <f>HYPERLINK("https://patents.google.com/patent/US8457502B2/en")</f>
        <v>https://patents.google.com/patent/US8457502B2/en</v>
      </c>
    </row>
    <row r="7440" spans="3:5" x14ac:dyDescent="0.25">
      <c r="C7440" t="s">
        <v>13544</v>
      </c>
      <c r="D7440" t="s">
        <v>13545</v>
      </c>
      <c r="E7440" t="str">
        <f>HYPERLINK("https://patents.google.com/patent/US8432438B2/en")</f>
        <v>https://patents.google.com/patent/US8432438B2/en</v>
      </c>
    </row>
    <row r="7441" spans="3:5" x14ac:dyDescent="0.25">
      <c r="C7441" t="s">
        <v>13546</v>
      </c>
      <c r="D7441" t="s">
        <v>13547</v>
      </c>
      <c r="E7441" t="str">
        <f>HYPERLINK("https://patents.google.com/patent/US7804280B2/en")</f>
        <v>https://patents.google.com/patent/US7804280B2/en</v>
      </c>
    </row>
    <row r="7442" spans="3:5" x14ac:dyDescent="0.25">
      <c r="C7442" t="s">
        <v>13548</v>
      </c>
      <c r="D7442" t="s">
        <v>13549</v>
      </c>
      <c r="E7442" t="str">
        <f>HYPERLINK("https://patents.google.com/patent/US5146750A/en")</f>
        <v>https://patents.google.com/patent/US5146750A/en</v>
      </c>
    </row>
    <row r="7443" spans="3:5" x14ac:dyDescent="0.25">
      <c r="C7443" t="s">
        <v>13550</v>
      </c>
      <c r="D7443" t="s">
        <v>13551</v>
      </c>
      <c r="E7443" t="str">
        <f>HYPERLINK("https://patents.google.com/patent/US8334898B1/en")</f>
        <v>https://patents.google.com/patent/US8334898B1/en</v>
      </c>
    </row>
    <row r="7444" spans="3:5" x14ac:dyDescent="0.25">
      <c r="C7444" t="s">
        <v>13552</v>
      </c>
      <c r="D7444" t="s">
        <v>13553</v>
      </c>
      <c r="E7444" t="str">
        <f>HYPERLINK("https://patents.google.com/patent/US8445826B2/en")</f>
        <v>https://patents.google.com/patent/US8445826B2/en</v>
      </c>
    </row>
    <row r="7445" spans="3:5" x14ac:dyDescent="0.25">
      <c r="C7445" t="s">
        <v>13554</v>
      </c>
      <c r="D7445" t="s">
        <v>13555</v>
      </c>
      <c r="E7445" t="str">
        <f>HYPERLINK("https://patents.google.com/patent/US6511756B1/en")</f>
        <v>https://patents.google.com/patent/US6511756B1/en</v>
      </c>
    </row>
    <row r="7446" spans="3:5" x14ac:dyDescent="0.25">
      <c r="C7446" t="s">
        <v>13556</v>
      </c>
      <c r="D7446" t="s">
        <v>13557</v>
      </c>
      <c r="E7446" t="str">
        <f>HYPERLINK("https://patents.google.com/patent/US3923697A/en")</f>
        <v>https://patents.google.com/patent/US3923697A/en</v>
      </c>
    </row>
    <row r="7447" spans="3:5" x14ac:dyDescent="0.25">
      <c r="C7447" t="s">
        <v>13558</v>
      </c>
      <c r="D7447" t="s">
        <v>13559</v>
      </c>
      <c r="E7447" t="str">
        <f>HYPERLINK("https://patents.google.com/patent/US8920332B2/en")</f>
        <v>https://patents.google.com/patent/US8920332B2/en</v>
      </c>
    </row>
    <row r="7448" spans="3:5" x14ac:dyDescent="0.25">
      <c r="C7448" t="s">
        <v>13560</v>
      </c>
      <c r="D7448" t="s">
        <v>13561</v>
      </c>
      <c r="E7448" t="str">
        <f>HYPERLINK("https://patents.google.com/patent/US8226474B2/en")</f>
        <v>https://patents.google.com/patent/US8226474B2/en</v>
      </c>
    </row>
    <row r="7449" spans="3:5" x14ac:dyDescent="0.25">
      <c r="C7449" t="s">
        <v>13562</v>
      </c>
      <c r="D7449" t="s">
        <v>13563</v>
      </c>
      <c r="E7449" t="str">
        <f>HYPERLINK("https://patents.google.com/patent/US7703291B2/en")</f>
        <v>https://patents.google.com/patent/US7703291B2/en</v>
      </c>
    </row>
    <row r="7450" spans="3:5" x14ac:dyDescent="0.25">
      <c r="C7450" t="s">
        <v>13564</v>
      </c>
      <c r="D7450" t="s">
        <v>13565</v>
      </c>
      <c r="E7450" t="str">
        <f>HYPERLINK("https://patents.google.com/patent/CN1033166A/en")</f>
        <v>https://patents.google.com/patent/CN1033166A/en</v>
      </c>
    </row>
    <row r="7451" spans="3:5" x14ac:dyDescent="0.25">
      <c r="C7451" t="s">
        <v>13566</v>
      </c>
      <c r="D7451" t="s">
        <v>13567</v>
      </c>
      <c r="E7451" t="str">
        <f>HYPERLINK("https://patents.google.com/patent/US3999040A/en")</f>
        <v>https://patents.google.com/patent/US3999040A/en</v>
      </c>
    </row>
    <row r="7452" spans="3:5" x14ac:dyDescent="0.25">
      <c r="C7452" t="s">
        <v>13568</v>
      </c>
      <c r="D7452" t="s">
        <v>13569</v>
      </c>
      <c r="E7452" t="str">
        <f>HYPERLINK("https://patents.google.com/patent/US5584286A/en")</f>
        <v>https://patents.google.com/patent/US5584286A/en</v>
      </c>
    </row>
    <row r="7453" spans="3:5" x14ac:dyDescent="0.25">
      <c r="C7453" t="s">
        <v>13570</v>
      </c>
      <c r="D7453" t="s">
        <v>13571</v>
      </c>
      <c r="E7453" t="str">
        <f>HYPERLINK("https://patents.google.com/patent/US6661203B2/en")</f>
        <v>https://patents.google.com/patent/US6661203B2/en</v>
      </c>
    </row>
    <row r="7454" spans="3:5" x14ac:dyDescent="0.25">
      <c r="C7454" t="s">
        <v>13572</v>
      </c>
      <c r="D7454" t="s">
        <v>13573</v>
      </c>
      <c r="E7454" t="str">
        <f>HYPERLINK("https://patents.google.com/patent/US20150021990A1/en")</f>
        <v>https://patents.google.com/patent/US20150021990A1/en</v>
      </c>
    </row>
    <row r="7455" spans="3:5" x14ac:dyDescent="0.25">
      <c r="C7455" t="s">
        <v>13574</v>
      </c>
      <c r="D7455" t="s">
        <v>13575</v>
      </c>
      <c r="E7455" t="str">
        <f>HYPERLINK("https://patents.google.com/patent/US8436896B2/en")</f>
        <v>https://patents.google.com/patent/US8436896B2/en</v>
      </c>
    </row>
    <row r="7456" spans="3:5" x14ac:dyDescent="0.25">
      <c r="C7456" t="s">
        <v>13576</v>
      </c>
      <c r="D7456" t="s">
        <v>13577</v>
      </c>
      <c r="E7456" t="str">
        <f>HYPERLINK("https://patents.google.com/patent/US20090299788A1/en")</f>
        <v>https://patents.google.com/patent/US20090299788A1/en</v>
      </c>
    </row>
    <row r="7457" spans="3:5" x14ac:dyDescent="0.25">
      <c r="C7457" t="s">
        <v>13578</v>
      </c>
      <c r="D7457" t="s">
        <v>13579</v>
      </c>
      <c r="E7457" t="str">
        <f>HYPERLINK("https://patents.google.com/patent/US20100124930A1/en")</f>
        <v>https://patents.google.com/patent/US20100124930A1/en</v>
      </c>
    </row>
    <row r="7458" spans="3:5" x14ac:dyDescent="0.25">
      <c r="C7458" t="s">
        <v>13580</v>
      </c>
      <c r="D7458" t="s">
        <v>13581</v>
      </c>
      <c r="E7458" t="str">
        <f>HYPERLINK("https://patents.google.com/patent/US8942995B1/en")</f>
        <v>https://patents.google.com/patent/US8942995B1/en</v>
      </c>
    </row>
    <row r="7459" spans="3:5" x14ac:dyDescent="0.25">
      <c r="C7459" t="s">
        <v>13582</v>
      </c>
      <c r="D7459" t="s">
        <v>13583</v>
      </c>
      <c r="E7459" t="str">
        <f>HYPERLINK("https://patents.google.com/patent/US7103923B2/en")</f>
        <v>https://patents.google.com/patent/US7103923B2/en</v>
      </c>
    </row>
    <row r="7460" spans="3:5" x14ac:dyDescent="0.25">
      <c r="C7460" t="s">
        <v>13584</v>
      </c>
      <c r="D7460" t="s">
        <v>13585</v>
      </c>
      <c r="E7460" t="str">
        <f>HYPERLINK("https://patents.google.com/patent/US20130328770A1/en")</f>
        <v>https://patents.google.com/patent/US20130328770A1/en</v>
      </c>
    </row>
    <row r="7461" spans="3:5" x14ac:dyDescent="0.25">
      <c r="C7461" t="s">
        <v>13586</v>
      </c>
      <c r="D7461" t="s">
        <v>13587</v>
      </c>
      <c r="E7461" t="str">
        <f>HYPERLINK("https://patents.google.com/patent/US7912279B2/en")</f>
        <v>https://patents.google.com/patent/US7912279B2/en</v>
      </c>
    </row>
    <row r="7462" spans="3:5" x14ac:dyDescent="0.25">
      <c r="C7462" t="s">
        <v>13495</v>
      </c>
      <c r="D7462" t="s">
        <v>13588</v>
      </c>
      <c r="E7462" t="str">
        <f>HYPERLINK("https://patents.google.com/patent/US20070043478A1/en")</f>
        <v>https://patents.google.com/patent/US20070043478A1/en</v>
      </c>
    </row>
    <row r="7463" spans="3:5" x14ac:dyDescent="0.25">
      <c r="C7463" t="s">
        <v>13589</v>
      </c>
      <c r="D7463" t="s">
        <v>13590</v>
      </c>
      <c r="E7463" t="str">
        <f>HYPERLINK("https://patents.google.com/patent/US20110001436A1/en")</f>
        <v>https://patents.google.com/patent/US20110001436A1/en</v>
      </c>
    </row>
    <row r="7464" spans="3:5" x14ac:dyDescent="0.25">
      <c r="C7464" t="s">
        <v>13591</v>
      </c>
      <c r="D7464" t="s">
        <v>13592</v>
      </c>
      <c r="E7464" t="str">
        <f>HYPERLINK("https://patents.google.com/patent/US20100301774A1/en")</f>
        <v>https://patents.google.com/patent/US20100301774A1/en</v>
      </c>
    </row>
    <row r="7465" spans="3:5" x14ac:dyDescent="0.25">
      <c r="C7465" t="s">
        <v>13593</v>
      </c>
      <c r="D7465" t="s">
        <v>13594</v>
      </c>
      <c r="E7465" t="str">
        <f>HYPERLINK("https://patents.google.com/patent/US20100296285A1/en")</f>
        <v>https://patents.google.com/patent/US20100296285A1/en</v>
      </c>
    </row>
    <row r="7466" spans="3:5" x14ac:dyDescent="0.25">
      <c r="C7466" t="s">
        <v>13595</v>
      </c>
      <c r="D7466" t="s">
        <v>13596</v>
      </c>
      <c r="E7466" t="str">
        <f>HYPERLINK("https://patents.google.com/patent/US20030069648A1/en")</f>
        <v>https://patents.google.com/patent/US20030069648A1/en</v>
      </c>
    </row>
    <row r="7467" spans="3:5" x14ac:dyDescent="0.25">
      <c r="C7467" t="s">
        <v>13597</v>
      </c>
      <c r="D7467" t="s">
        <v>13598</v>
      </c>
      <c r="E7467" t="str">
        <f>HYPERLINK("https://patents.google.com/patent/US20100295482A1/en")</f>
        <v>https://patents.google.com/patent/US20100295482A1/en</v>
      </c>
    </row>
    <row r="7468" spans="3:5" x14ac:dyDescent="0.25">
      <c r="C7468" t="s">
        <v>13599</v>
      </c>
      <c r="D7468" t="s">
        <v>13600</v>
      </c>
      <c r="E7468" t="str">
        <f>HYPERLINK("https://patents.google.com/patent/US20100061326A1/en")</f>
        <v>https://patents.google.com/patent/US20100061326A1/en</v>
      </c>
    </row>
    <row r="7469" spans="3:5" x14ac:dyDescent="0.25">
      <c r="C7469" t="s">
        <v>13601</v>
      </c>
      <c r="D7469" t="s">
        <v>13602</v>
      </c>
      <c r="E7469" t="str">
        <f>HYPERLINK("https://patents.google.com/patent/US20100259931A1/en")</f>
        <v>https://patents.google.com/patent/US20100259931A1/en</v>
      </c>
    </row>
    <row r="7470" spans="3:5" x14ac:dyDescent="0.25">
      <c r="C7470" t="s">
        <v>13603</v>
      </c>
      <c r="D7470" t="s">
        <v>13604</v>
      </c>
      <c r="E7470" t="str">
        <f>HYPERLINK("https://patents.google.com/patent/US20110001438A1/en")</f>
        <v>https://patents.google.com/patent/US20110001438A1/en</v>
      </c>
    </row>
    <row r="7471" spans="3:5" x14ac:dyDescent="0.25">
      <c r="C7471" t="s">
        <v>13605</v>
      </c>
      <c r="D7471" t="s">
        <v>13606</v>
      </c>
      <c r="E7471" t="str">
        <f>HYPERLINK("https://patents.google.com/patent/US20100066822A1/en")</f>
        <v>https://patents.google.com/patent/US20100066822A1/en</v>
      </c>
    </row>
    <row r="7472" spans="3:5" x14ac:dyDescent="0.25">
      <c r="C7472" t="s">
        <v>13607</v>
      </c>
      <c r="D7472" t="s">
        <v>13608</v>
      </c>
      <c r="E7472" t="str">
        <f>HYPERLINK("https://patents.google.com/patent/US20080102957A1/en")</f>
        <v>https://patents.google.com/patent/US20080102957A1/en</v>
      </c>
    </row>
    <row r="7473" spans="3:5" x14ac:dyDescent="0.25">
      <c r="C7473" t="s">
        <v>13609</v>
      </c>
      <c r="D7473" t="s">
        <v>13610</v>
      </c>
      <c r="E7473" t="str">
        <f>HYPERLINK("https://patents.google.com/patent/US20100270933A1/en")</f>
        <v>https://patents.google.com/patent/US20100270933A1/en</v>
      </c>
    </row>
    <row r="7474" spans="3:5" x14ac:dyDescent="0.25">
      <c r="C7474" t="s">
        <v>13611</v>
      </c>
      <c r="D7474" t="s">
        <v>13612</v>
      </c>
      <c r="E7474" t="str">
        <f>HYPERLINK("https://patents.google.com/patent/US20090030530A1/en")</f>
        <v>https://patents.google.com/patent/US20090030530A1/en</v>
      </c>
    </row>
    <row r="7475" spans="3:5" x14ac:dyDescent="0.25">
      <c r="C7475" t="s">
        <v>9820</v>
      </c>
      <c r="D7475" t="s">
        <v>13613</v>
      </c>
      <c r="E7475" t="str">
        <f>HYPERLINK("https://patents.google.com/patent/US20070174467A1/en")</f>
        <v>https://patents.google.com/patent/US20070174467A1/en</v>
      </c>
    </row>
    <row r="7476" spans="3:5" x14ac:dyDescent="0.25">
      <c r="C7476" t="s">
        <v>13614</v>
      </c>
      <c r="D7476" t="s">
        <v>13615</v>
      </c>
      <c r="E7476" t="str">
        <f>HYPERLINK("https://patents.google.com/patent/US20100264846A1/en")</f>
        <v>https://patents.google.com/patent/US20100264846A1/en</v>
      </c>
    </row>
    <row r="7477" spans="3:5" x14ac:dyDescent="0.25">
      <c r="C7477" t="s">
        <v>13616</v>
      </c>
      <c r="D7477" t="s">
        <v>13617</v>
      </c>
      <c r="E7477" t="str">
        <f>HYPERLINK("https://patents.google.com/patent/US20070201540A1/en")</f>
        <v>https://patents.google.com/patent/US20070201540A1/en</v>
      </c>
    </row>
    <row r="7478" spans="3:5" x14ac:dyDescent="0.25">
      <c r="C7478" t="s">
        <v>13618</v>
      </c>
      <c r="D7478" t="s">
        <v>13619</v>
      </c>
      <c r="E7478" t="str">
        <f>HYPERLINK("https://patents.google.com/patent/US20130015946A1/en")</f>
        <v>https://patents.google.com/patent/US20130015946A1/en</v>
      </c>
    </row>
    <row r="7479" spans="3:5" x14ac:dyDescent="0.25">
      <c r="C7479" t="s">
        <v>13620</v>
      </c>
      <c r="D7479" t="s">
        <v>13621</v>
      </c>
      <c r="E7479" t="str">
        <f>HYPERLINK("https://patents.google.com/patent/US20140278229A1/en")</f>
        <v>https://patents.google.com/patent/US20140278229A1/en</v>
      </c>
    </row>
    <row r="7480" spans="3:5" x14ac:dyDescent="0.25">
      <c r="C7480" t="s">
        <v>13622</v>
      </c>
      <c r="D7480" t="s">
        <v>13623</v>
      </c>
      <c r="E7480" t="str">
        <f>HYPERLINK("https://patents.google.com/patent/US20080008116A1/en")</f>
        <v>https://patents.google.com/patent/US20080008116A1/en</v>
      </c>
    </row>
    <row r="7481" spans="3:5" x14ac:dyDescent="0.25">
      <c r="C7481" t="s">
        <v>13624</v>
      </c>
      <c r="D7481" t="s">
        <v>13625</v>
      </c>
      <c r="E7481" t="str">
        <f>HYPERLINK("https://patents.google.com/patent/US20030120555A1/en")</f>
        <v>https://patents.google.com/patent/US20030120555A1/en</v>
      </c>
    </row>
    <row r="7482" spans="3:5" x14ac:dyDescent="0.25">
      <c r="C7482" t="s">
        <v>13626</v>
      </c>
      <c r="D7482" t="s">
        <v>13627</v>
      </c>
      <c r="E7482" t="str">
        <f>HYPERLINK("https://patents.google.com/patent/US20140005809A1/en")</f>
        <v>https://patents.google.com/patent/US20140005809A1/en</v>
      </c>
    </row>
    <row r="7483" spans="3:5" x14ac:dyDescent="0.25">
      <c r="C7483" t="s">
        <v>13628</v>
      </c>
      <c r="D7483" t="s">
        <v>13629</v>
      </c>
      <c r="E7483" t="str">
        <f>HYPERLINK("https://patents.google.com/patent/US20020027894A1/en")</f>
        <v>https://patents.google.com/patent/US20020027894A1/en</v>
      </c>
    </row>
    <row r="7484" spans="3:5" x14ac:dyDescent="0.25">
      <c r="C7484" t="s">
        <v>13630</v>
      </c>
      <c r="D7484" t="s">
        <v>13631</v>
      </c>
      <c r="E7484" t="str">
        <f>HYPERLINK("https://patents.google.com/patent/US20140316305A1/en")</f>
        <v>https://patents.google.com/patent/US20140316305A1/en</v>
      </c>
    </row>
    <row r="7485" spans="3:5" x14ac:dyDescent="0.25">
      <c r="C7485" t="s">
        <v>13632</v>
      </c>
      <c r="D7485" t="s">
        <v>13633</v>
      </c>
      <c r="E7485" t="str">
        <f>HYPERLINK("https://patents.google.com/patent/US20100301770A1/en")</f>
        <v>https://patents.google.com/patent/US20100301770A1/en</v>
      </c>
    </row>
    <row r="7486" spans="3:5" x14ac:dyDescent="0.25">
      <c r="C7486" t="s">
        <v>13634</v>
      </c>
      <c r="D7486" t="s">
        <v>13635</v>
      </c>
      <c r="E7486" t="str">
        <f>HYPERLINK("https://patents.google.com/patent/US20100295475A1/en")</f>
        <v>https://patents.google.com/patent/US20100295475A1/en</v>
      </c>
    </row>
    <row r="7487" spans="3:5" x14ac:dyDescent="0.25">
      <c r="C7487" t="s">
        <v>13636</v>
      </c>
      <c r="D7487" t="s">
        <v>13637</v>
      </c>
      <c r="E7487" t="str">
        <f>HYPERLINK("https://patents.google.com/patent/US20090086672A1/en")</f>
        <v>https://patents.google.com/patent/US20090086672A1/en</v>
      </c>
    </row>
    <row r="7488" spans="3:5" x14ac:dyDescent="0.25">
      <c r="C7488" t="s">
        <v>13638</v>
      </c>
      <c r="D7488" t="s">
        <v>13639</v>
      </c>
      <c r="E7488" t="str">
        <f>HYPERLINK("https://patents.google.com/patent/US20100295474A1/en")</f>
        <v>https://patents.google.com/patent/US20100295474A1/en</v>
      </c>
    </row>
    <row r="7489" spans="3:5" x14ac:dyDescent="0.25">
      <c r="C7489" t="s">
        <v>13640</v>
      </c>
      <c r="D7489" t="s">
        <v>13641</v>
      </c>
      <c r="E7489" t="str">
        <f>HYPERLINK("https://patents.google.com/patent/US20100301769A1/en")</f>
        <v>https://patents.google.com/patent/US20100301769A1/en</v>
      </c>
    </row>
    <row r="7490" spans="3:5" x14ac:dyDescent="0.25">
      <c r="C7490" t="s">
        <v>13642</v>
      </c>
      <c r="D7490" t="s">
        <v>13643</v>
      </c>
      <c r="E7490" t="str">
        <f>HYPERLINK("https://patents.google.com/patent/US20100301773A1/en")</f>
        <v>https://patents.google.com/patent/US20100301773A1/en</v>
      </c>
    </row>
    <row r="7491" spans="3:5" x14ac:dyDescent="0.25">
      <c r="C7491" t="s">
        <v>13644</v>
      </c>
      <c r="D7491" t="s">
        <v>13645</v>
      </c>
      <c r="E7491" t="str">
        <f>HYPERLINK("https://patents.google.com/patent/US20100301771A1/en")</f>
        <v>https://patents.google.com/patent/US20100301771A1/en</v>
      </c>
    </row>
    <row r="7492" spans="3:5" x14ac:dyDescent="0.25">
      <c r="C7492" t="s">
        <v>13646</v>
      </c>
      <c r="D7492" t="s">
        <v>13647</v>
      </c>
      <c r="E7492" t="str">
        <f>HYPERLINK("https://patents.google.com/patent/US20120143383A1/en")</f>
        <v>https://patents.google.com/patent/US20120143383A1/en</v>
      </c>
    </row>
    <row r="7493" spans="3:5" x14ac:dyDescent="0.25">
      <c r="C7493" t="s">
        <v>13648</v>
      </c>
      <c r="D7493" t="s">
        <v>13649</v>
      </c>
      <c r="E7493" t="str">
        <f>HYPERLINK("https://patents.google.com/patent/US20100301768A1/en")</f>
        <v>https://patents.google.com/patent/US20100301768A1/en</v>
      </c>
    </row>
    <row r="7494" spans="3:5" x14ac:dyDescent="0.25">
      <c r="C7494" t="s">
        <v>13650</v>
      </c>
      <c r="D7494" t="s">
        <v>13651</v>
      </c>
      <c r="E7494" t="str">
        <f>HYPERLINK("https://patents.google.com/patent/US20050041746A1/en")</f>
        <v>https://patents.google.com/patent/US20050041746A1/en</v>
      </c>
    </row>
    <row r="7495" spans="3:5" x14ac:dyDescent="0.25">
      <c r="C7495" t="s">
        <v>13652</v>
      </c>
      <c r="D7495" t="s">
        <v>13653</v>
      </c>
      <c r="E7495" t="str">
        <f>HYPERLINK("https://patents.google.com/patent/US20090237564A1/en")</f>
        <v>https://patents.google.com/patent/US20090237564A1/en</v>
      </c>
    </row>
    <row r="7496" spans="3:5" x14ac:dyDescent="0.25">
      <c r="C7496" t="s">
        <v>13654</v>
      </c>
      <c r="D7496" t="s">
        <v>13655</v>
      </c>
      <c r="E7496" t="str">
        <f>HYPERLINK("https://patents.google.com/patent/US20110082598A1/en")</f>
        <v>https://patents.google.com/patent/US20110082598A1/en</v>
      </c>
    </row>
    <row r="7497" spans="3:5" x14ac:dyDescent="0.25">
      <c r="C7497" t="s">
        <v>13656</v>
      </c>
      <c r="D7497" t="s">
        <v>13657</v>
      </c>
      <c r="E7497" t="str">
        <f>HYPERLINK("https://patents.google.com/patent/US20030052869A1/en")</f>
        <v>https://patents.google.com/patent/US20030052869A1/en</v>
      </c>
    </row>
    <row r="7498" spans="3:5" x14ac:dyDescent="0.25">
      <c r="C7498" t="s">
        <v>13658</v>
      </c>
      <c r="D7498" t="s">
        <v>13659</v>
      </c>
      <c r="E7498" t="str">
        <f>HYPERLINK("https://patents.google.com/patent/EP1347584A2/en")</f>
        <v>https://patents.google.com/patent/EP1347584A2/en</v>
      </c>
    </row>
    <row r="7499" spans="3:5" x14ac:dyDescent="0.25">
      <c r="C7499" t="s">
        <v>13660</v>
      </c>
      <c r="D7499" t="s">
        <v>13661</v>
      </c>
      <c r="E7499" t="str">
        <f>HYPERLINK("https://patents.google.com/patent/US20130046635A1/en")</f>
        <v>https://patents.google.com/patent/US20130046635A1/en</v>
      </c>
    </row>
    <row r="7500" spans="3:5" x14ac:dyDescent="0.25">
      <c r="C7500" t="s">
        <v>13662</v>
      </c>
      <c r="D7500" t="s">
        <v>13663</v>
      </c>
      <c r="E7500" t="str">
        <f>HYPERLINK("https://patents.google.com/patent/US20050085267A1/en")</f>
        <v>https://patents.google.com/patent/US20050085267A1/en</v>
      </c>
    </row>
    <row r="7501" spans="3:5" x14ac:dyDescent="0.25">
      <c r="C7501" t="s">
        <v>13664</v>
      </c>
      <c r="D7501" t="s">
        <v>13665</v>
      </c>
      <c r="E7501" t="str">
        <f>HYPERLINK("https://patents.google.com/patent/US20010052681A1/en")</f>
        <v>https://patents.google.com/patent/US20010052681A1/en</v>
      </c>
    </row>
    <row r="7502" spans="3:5" x14ac:dyDescent="0.25">
      <c r="C7502" t="s">
        <v>13666</v>
      </c>
      <c r="D7502" t="s">
        <v>13667</v>
      </c>
      <c r="E7502" t="str">
        <f>HYPERLINK("https://patents.google.com/patent/US20070062513A1/en")</f>
        <v>https://patents.google.com/patent/US20070062513A1/en</v>
      </c>
    </row>
    <row r="7503" spans="3:5" x14ac:dyDescent="0.25">
      <c r="C7503" t="s">
        <v>13668</v>
      </c>
      <c r="D7503" t="s">
        <v>13669</v>
      </c>
      <c r="E7503" t="str">
        <f>HYPERLINK("https://patents.google.com/patent/US20140266939A1/en")</f>
        <v>https://patents.google.com/patent/US20140266939A1/en</v>
      </c>
    </row>
    <row r="7504" spans="3:5" x14ac:dyDescent="0.25">
      <c r="C7504" t="s">
        <v>13670</v>
      </c>
      <c r="D7504" t="s">
        <v>13671</v>
      </c>
      <c r="E7504" t="str">
        <f>HYPERLINK("https://patents.google.com/patent/US20100295473A1/en")</f>
        <v>https://patents.google.com/patent/US20100295473A1/en</v>
      </c>
    </row>
    <row r="7505" spans="3:5" x14ac:dyDescent="0.25">
      <c r="C7505" t="s">
        <v>13672</v>
      </c>
      <c r="D7505" t="s">
        <v>13673</v>
      </c>
      <c r="E7505" t="str">
        <f>HYPERLINK("https://patents.google.com/patent/US20090022362A1/en")</f>
        <v>https://patents.google.com/patent/US20090022362A1/en</v>
      </c>
    </row>
    <row r="7506" spans="3:5" x14ac:dyDescent="0.25">
      <c r="C7506" t="s">
        <v>13674</v>
      </c>
      <c r="D7506" t="s">
        <v>13675</v>
      </c>
      <c r="E7506" t="str">
        <f>HYPERLINK("https://patents.google.com/patent/US20040211182A1/en")</f>
        <v>https://patents.google.com/patent/US20040211182A1/en</v>
      </c>
    </row>
    <row r="7507" spans="3:5" x14ac:dyDescent="0.25">
      <c r="C7507" t="s">
        <v>13676</v>
      </c>
      <c r="D7507" t="s">
        <v>13677</v>
      </c>
      <c r="E7507" t="str">
        <f>HYPERLINK("https://patents.google.com/patent/US20050094585A1/en")</f>
        <v>https://patents.google.com/patent/US20050094585A1/en</v>
      </c>
    </row>
    <row r="7508" spans="3:5" x14ac:dyDescent="0.25">
      <c r="C7508" t="s">
        <v>13678</v>
      </c>
      <c r="D7508" t="s">
        <v>13679</v>
      </c>
      <c r="E7508" t="str">
        <f>HYPERLINK("https://patents.google.com/patent/US20050063865A1/en")</f>
        <v>https://patents.google.com/patent/US20050063865A1/en</v>
      </c>
    </row>
    <row r="7509" spans="3:5" x14ac:dyDescent="0.25">
      <c r="C7509" t="s">
        <v>13680</v>
      </c>
      <c r="D7509" t="s">
        <v>13681</v>
      </c>
      <c r="E7509" t="str">
        <f>HYPERLINK("https://patents.google.com/patent/KR200251636Y1/en")</f>
        <v>https://patents.google.com/patent/KR200251636Y1/en</v>
      </c>
    </row>
    <row r="7510" spans="3:5" x14ac:dyDescent="0.25">
      <c r="C7510" t="s">
        <v>13682</v>
      </c>
      <c r="D7510" t="s">
        <v>13683</v>
      </c>
      <c r="E7510" t="str">
        <f>HYPERLINK("https://patents.google.com/patent/US20120227926A1/en")</f>
        <v>https://patents.google.com/patent/US20120227926A1/en</v>
      </c>
    </row>
    <row r="7511" spans="3:5" x14ac:dyDescent="0.25">
      <c r="C7511" t="s">
        <v>13684</v>
      </c>
      <c r="D7511" t="s">
        <v>13685</v>
      </c>
      <c r="E7511" t="str">
        <f>HYPERLINK("https://patents.google.com/patent/US20150100991A1/en")</f>
        <v>https://patents.google.com/patent/US20150100991A1/en</v>
      </c>
    </row>
    <row r="7512" spans="3:5" x14ac:dyDescent="0.25">
      <c r="C7512" t="s">
        <v>13686</v>
      </c>
      <c r="D7512" t="s">
        <v>13687</v>
      </c>
      <c r="E7512" t="str">
        <f>HYPERLINK("https://patents.google.com/patent/US20050084031A1/en")</f>
        <v>https://patents.google.com/patent/US20050084031A1/en</v>
      </c>
    </row>
    <row r="7513" spans="3:5" x14ac:dyDescent="0.25">
      <c r="C7513" t="s">
        <v>13688</v>
      </c>
      <c r="D7513" t="s">
        <v>13689</v>
      </c>
      <c r="E7513" t="str">
        <f>HYPERLINK("https://patents.google.com/patent/US20130026945A1/en")</f>
        <v>https://patents.google.com/patent/US20130026945A1/en</v>
      </c>
    </row>
    <row r="7514" spans="3:5" x14ac:dyDescent="0.25">
      <c r="C7514" t="s">
        <v>13690</v>
      </c>
      <c r="D7514" t="s">
        <v>13691</v>
      </c>
      <c r="E7514" t="str">
        <f>HYPERLINK("https://patents.google.com/patent/US20140275850A1/en")</f>
        <v>https://patents.google.com/patent/US20140275850A1/en</v>
      </c>
    </row>
    <row r="7515" spans="3:5" x14ac:dyDescent="0.25">
      <c r="C7515" t="s">
        <v>13692</v>
      </c>
      <c r="D7515" t="s">
        <v>13693</v>
      </c>
      <c r="E7515" t="str">
        <f>HYPERLINK("https://patents.google.com/patent/US20090316585A1/en")</f>
        <v>https://patents.google.com/patent/US20090316585A1/en</v>
      </c>
    </row>
    <row r="7516" spans="3:5" x14ac:dyDescent="0.25">
      <c r="C7516" t="s">
        <v>13694</v>
      </c>
      <c r="D7516" t="s">
        <v>13695</v>
      </c>
      <c r="E7516" t="str">
        <f>HYPERLINK("https://patents.google.com/patent/US20140273858A1/en")</f>
        <v>https://patents.google.com/patent/US20140273858A1/en</v>
      </c>
    </row>
    <row r="7517" spans="3:5" x14ac:dyDescent="0.25">
      <c r="C7517" t="s">
        <v>13696</v>
      </c>
      <c r="D7517" t="s">
        <v>13697</v>
      </c>
      <c r="E7517" t="str">
        <f>HYPERLINK("https://patents.google.com/patent/US20090050591A1/en")</f>
        <v>https://patents.google.com/patent/US20090050591A1/en</v>
      </c>
    </row>
    <row r="7518" spans="3:5" x14ac:dyDescent="0.25">
      <c r="C7518" t="s">
        <v>13698</v>
      </c>
      <c r="D7518" t="s">
        <v>13699</v>
      </c>
      <c r="E7518" t="str">
        <f>HYPERLINK("https://patents.google.com/patent/US20050100076A1/en")</f>
        <v>https://patents.google.com/patent/US20050100076A1/en</v>
      </c>
    </row>
    <row r="7519" spans="3:5" x14ac:dyDescent="0.25">
      <c r="C7519" t="s">
        <v>13700</v>
      </c>
      <c r="D7519" t="s">
        <v>13701</v>
      </c>
      <c r="E7519" t="str">
        <f>HYPERLINK("https://patents.google.com/patent/US20100302779A1/en")</f>
        <v>https://patents.google.com/patent/US20100302779A1/en</v>
      </c>
    </row>
    <row r="7520" spans="3:5" x14ac:dyDescent="0.25">
      <c r="C7520" t="s">
        <v>13702</v>
      </c>
      <c r="D7520" t="s">
        <v>13703</v>
      </c>
      <c r="E7520" t="str">
        <f>HYPERLINK("https://patents.google.com/patent/US20120274775A1/en")</f>
        <v>https://patents.google.com/patent/US20120274775A1/en</v>
      </c>
    </row>
    <row r="7521" spans="3:5" x14ac:dyDescent="0.25">
      <c r="C7521" t="s">
        <v>13704</v>
      </c>
      <c r="D7521" t="s">
        <v>13705</v>
      </c>
      <c r="E7521" t="str">
        <f>HYPERLINK("https://patents.google.com/patent/US20100301834A1/en")</f>
        <v>https://patents.google.com/patent/US20100301834A1/en</v>
      </c>
    </row>
    <row r="7522" spans="3:5" x14ac:dyDescent="0.25">
      <c r="C7522" t="s">
        <v>13706</v>
      </c>
      <c r="D7522" t="s">
        <v>13707</v>
      </c>
      <c r="E7522" t="str">
        <f>HYPERLINK("https://patents.google.com/patent/US20130155991A1/en")</f>
        <v>https://patents.google.com/patent/US20130155991A1/en</v>
      </c>
    </row>
    <row r="7523" spans="3:5" x14ac:dyDescent="0.25">
      <c r="C7523" t="s">
        <v>13708</v>
      </c>
      <c r="D7523" t="s">
        <v>13709</v>
      </c>
      <c r="E7523" t="str">
        <f>HYPERLINK("https://patents.google.com/patent/US20060273999A1/en")</f>
        <v>https://patents.google.com/patent/US20060273999A1/en</v>
      </c>
    </row>
    <row r="7524" spans="3:5" x14ac:dyDescent="0.25">
      <c r="C7524" t="s">
        <v>13710</v>
      </c>
      <c r="D7524" t="s">
        <v>13711</v>
      </c>
      <c r="E7524" t="str">
        <f>HYPERLINK("https://patents.google.com/patent/US20050041136A1/en")</f>
        <v>https://patents.google.com/patent/US20050041136A1/en</v>
      </c>
    </row>
    <row r="7525" spans="3:5" x14ac:dyDescent="0.25">
      <c r="C7525" t="s">
        <v>13712</v>
      </c>
      <c r="D7525" t="s">
        <v>13713</v>
      </c>
      <c r="E7525" t="str">
        <f>HYPERLINK("https://patents.google.com/patent/US20090202235A1/en")</f>
        <v>https://patents.google.com/patent/US20090202235A1/en</v>
      </c>
    </row>
    <row r="7526" spans="3:5" x14ac:dyDescent="0.25">
      <c r="C7526" t="s">
        <v>13714</v>
      </c>
      <c r="D7526" t="s">
        <v>13715</v>
      </c>
      <c r="E7526" t="str">
        <f>HYPERLINK("https://patents.google.com/patent/US6430200B1/en")</f>
        <v>https://patents.google.com/patent/US6430200B1/en</v>
      </c>
    </row>
    <row r="7527" spans="3:5" x14ac:dyDescent="0.25">
      <c r="C7527" t="s">
        <v>13716</v>
      </c>
      <c r="D7527" t="s">
        <v>13717</v>
      </c>
      <c r="E7527" t="str">
        <f>HYPERLINK("https://patents.google.com/patent/US4064074A/en")</f>
        <v>https://patents.google.com/patent/US4064074A/en</v>
      </c>
    </row>
    <row r="7528" spans="3:5" x14ac:dyDescent="0.25">
      <c r="C7528" t="s">
        <v>13718</v>
      </c>
      <c r="D7528" t="s">
        <v>13719</v>
      </c>
      <c r="E7528" t="str">
        <f>HYPERLINK("https://patents.google.com/patent/US20130122807A1/en")</f>
        <v>https://patents.google.com/patent/US20130122807A1/en</v>
      </c>
    </row>
    <row r="7529" spans="3:5" x14ac:dyDescent="0.25">
      <c r="C7529" t="s">
        <v>13720</v>
      </c>
      <c r="D7529" t="s">
        <v>13721</v>
      </c>
      <c r="E7529" t="str">
        <f>HYPERLINK("https://patents.google.com/patent/US20140333729A1/en")</f>
        <v>https://patents.google.com/patent/US20140333729A1/en</v>
      </c>
    </row>
    <row r="7530" spans="3:5" x14ac:dyDescent="0.25">
      <c r="C7530" t="s">
        <v>13722</v>
      </c>
      <c r="D7530" t="s">
        <v>13723</v>
      </c>
      <c r="E7530" t="str">
        <f>HYPERLINK("https://patents.google.com/patent/US20130343252A1/en")</f>
        <v>https://patents.google.com/patent/US20130343252A1/en</v>
      </c>
    </row>
    <row r="7531" spans="3:5" x14ac:dyDescent="0.25">
      <c r="C7531" t="s">
        <v>13724</v>
      </c>
      <c r="D7531" t="s">
        <v>13725</v>
      </c>
      <c r="E7531" t="str">
        <f>HYPERLINK("https://patents.google.com/patent/US20070116306A1/en")</f>
        <v>https://patents.google.com/patent/US20070116306A1/en</v>
      </c>
    </row>
    <row r="7532" spans="3:5" x14ac:dyDescent="0.25">
      <c r="C7532" t="s">
        <v>13726</v>
      </c>
      <c r="D7532" t="s">
        <v>13727</v>
      </c>
      <c r="E7532" t="str">
        <f>HYPERLINK("https://patents.google.com/patent/US20160179096A1/en")</f>
        <v>https://patents.google.com/patent/US20160179096A1/en</v>
      </c>
    </row>
    <row r="7533" spans="3:5" x14ac:dyDescent="0.25">
      <c r="C7533" t="s">
        <v>13728</v>
      </c>
      <c r="D7533" t="s">
        <v>13729</v>
      </c>
      <c r="E7533" t="str">
        <f>HYPERLINK("https://patents.google.com/patent/US20090128529A1/en")</f>
        <v>https://patents.google.com/patent/US20090128529A1/en</v>
      </c>
    </row>
    <row r="7534" spans="3:5" x14ac:dyDescent="0.25">
      <c r="C7534" t="s">
        <v>13730</v>
      </c>
      <c r="D7534" t="s">
        <v>13731</v>
      </c>
      <c r="E7534" t="str">
        <f>HYPERLINK("https://patents.google.com/patent/US20080019569A1/en")</f>
        <v>https://patents.google.com/patent/US20080019569A1/en</v>
      </c>
    </row>
    <row r="7535" spans="3:5" x14ac:dyDescent="0.25">
      <c r="C7535" t="s">
        <v>13732</v>
      </c>
      <c r="D7535" t="s">
        <v>13733</v>
      </c>
      <c r="E7535" t="str">
        <f>HYPERLINK("https://patents.google.com/patent/US20150055623A1/en")</f>
        <v>https://patents.google.com/patent/US20150055623A1/en</v>
      </c>
    </row>
    <row r="7536" spans="3:5" x14ac:dyDescent="0.25">
      <c r="C7536" t="s">
        <v>13734</v>
      </c>
      <c r="D7536" t="s">
        <v>13735</v>
      </c>
      <c r="E7536" t="str">
        <f>HYPERLINK("https://patents.google.com/patent/US20080217400A1/en")</f>
        <v>https://patents.google.com/patent/US20080217400A1/en</v>
      </c>
    </row>
    <row r="7537" spans="3:5" x14ac:dyDescent="0.25">
      <c r="C7537" t="s">
        <v>13736</v>
      </c>
      <c r="D7537" t="s">
        <v>13737</v>
      </c>
      <c r="E7537" t="str">
        <f>HYPERLINK("https://patents.google.com/patent/US20050084033A1/en")</f>
        <v>https://patents.google.com/patent/US20050084033A1/en</v>
      </c>
    </row>
    <row r="7538" spans="3:5" x14ac:dyDescent="0.25">
      <c r="C7538" t="s">
        <v>13130</v>
      </c>
      <c r="D7538" t="s">
        <v>13738</v>
      </c>
      <c r="E7538" t="str">
        <f>HYPERLINK("https://patents.google.com/patent/EP0328775A1/en")</f>
        <v>https://patents.google.com/patent/EP0328775A1/en</v>
      </c>
    </row>
    <row r="7539" spans="3:5" x14ac:dyDescent="0.25">
      <c r="C7539" t="s">
        <v>13739</v>
      </c>
      <c r="D7539" t="s">
        <v>13740</v>
      </c>
      <c r="E7539" t="str">
        <f>HYPERLINK("https://patents.google.com/patent/US20130226320A1/en")</f>
        <v>https://patents.google.com/patent/US20130226320A1/en</v>
      </c>
    </row>
    <row r="7540" spans="3:5" x14ac:dyDescent="0.25">
      <c r="C7540" t="s">
        <v>13741</v>
      </c>
      <c r="D7540" t="s">
        <v>13742</v>
      </c>
      <c r="E7540" t="str">
        <f>HYPERLINK("https://patents.google.com/patent/US20110205389A1/en")</f>
        <v>https://patents.google.com/patent/US20110205389A1/en</v>
      </c>
    </row>
    <row r="7541" spans="3:5" x14ac:dyDescent="0.25">
      <c r="C7541" t="s">
        <v>13743</v>
      </c>
      <c r="D7541" t="s">
        <v>13744</v>
      </c>
      <c r="E7541" t="str">
        <f>HYPERLINK("https://patents.google.com/patent/US20150161370A1/en")</f>
        <v>https://patents.google.com/patent/US20150161370A1/en</v>
      </c>
    </row>
    <row r="7542" spans="3:5" x14ac:dyDescent="0.25">
      <c r="C7542" t="s">
        <v>13745</v>
      </c>
      <c r="D7542" t="s">
        <v>13746</v>
      </c>
      <c r="E7542" t="str">
        <f>HYPERLINK("https://patents.google.com/patent/US7349544B2/en")</f>
        <v>https://patents.google.com/patent/US7349544B2/en</v>
      </c>
    </row>
    <row r="7543" spans="3:5" x14ac:dyDescent="0.25">
      <c r="C7543" t="s">
        <v>13747</v>
      </c>
      <c r="D7543" t="s">
        <v>13748</v>
      </c>
      <c r="E7543" t="str">
        <f>HYPERLINK("https://patents.google.com/patent/KR20110028003A/en")</f>
        <v>https://patents.google.com/patent/KR20110028003A/en</v>
      </c>
    </row>
    <row r="7544" spans="3:5" x14ac:dyDescent="0.25">
      <c r="C7544" t="s">
        <v>13749</v>
      </c>
      <c r="D7544" t="s">
        <v>13750</v>
      </c>
      <c r="E7544" t="str">
        <f>HYPERLINK("https://patents.google.com/patent/US20140105136A1/en")</f>
        <v>https://patents.google.com/patent/US20140105136A1/en</v>
      </c>
    </row>
    <row r="7545" spans="3:5" x14ac:dyDescent="0.25">
      <c r="C7545" t="s">
        <v>13751</v>
      </c>
      <c r="D7545" t="s">
        <v>13752</v>
      </c>
      <c r="E7545" t="str">
        <f>HYPERLINK("https://patents.google.com/patent/US20120127977A1/en")</f>
        <v>https://patents.google.com/patent/US20120127977A1/en</v>
      </c>
    </row>
    <row r="7546" spans="3:5" x14ac:dyDescent="0.25">
      <c r="C7546" t="s">
        <v>13753</v>
      </c>
      <c r="D7546" t="s">
        <v>13754</v>
      </c>
      <c r="E7546" t="str">
        <f>HYPERLINK("https://patents.google.com/patent/US20100150027A1/en")</f>
        <v>https://patents.google.com/patent/US20100150027A1/en</v>
      </c>
    </row>
    <row r="7547" spans="3:5" x14ac:dyDescent="0.25">
      <c r="C7547" t="s">
        <v>13755</v>
      </c>
      <c r="D7547" t="s">
        <v>13756</v>
      </c>
      <c r="E7547" t="str">
        <f>HYPERLINK("https://patents.google.com/patent/CN201853320U/en")</f>
        <v>https://patents.google.com/patent/CN201853320U/en</v>
      </c>
    </row>
    <row r="7548" spans="3:5" x14ac:dyDescent="0.25">
      <c r="C7548" t="s">
        <v>13757</v>
      </c>
      <c r="D7548" t="s">
        <v>13758</v>
      </c>
      <c r="E7548" t="str">
        <f>HYPERLINK("https://patents.google.com/patent/US20130244624A1/en")</f>
        <v>https://patents.google.com/patent/US20130244624A1/en</v>
      </c>
    </row>
    <row r="7549" spans="3:5" x14ac:dyDescent="0.25">
      <c r="C7549" t="s">
        <v>13759</v>
      </c>
      <c r="D7549" t="s">
        <v>13760</v>
      </c>
      <c r="E7549" t="str">
        <f>HYPERLINK("https://patents.google.com/patent/US20140147627A1/en")</f>
        <v>https://patents.google.com/patent/US20140147627A1/en</v>
      </c>
    </row>
    <row r="7550" spans="3:5" x14ac:dyDescent="0.25">
      <c r="C7550" t="s">
        <v>13761</v>
      </c>
      <c r="D7550" t="s">
        <v>13762</v>
      </c>
      <c r="E7550" t="str">
        <f>HYPERLINK("https://patents.google.com/patent/US20060013444A1/en")</f>
        <v>https://patents.google.com/patent/US20060013444A1/en</v>
      </c>
    </row>
    <row r="7551" spans="3:5" x14ac:dyDescent="0.25">
      <c r="C7551" t="s">
        <v>13763</v>
      </c>
      <c r="D7551" t="s">
        <v>13764</v>
      </c>
      <c r="E7551" t="str">
        <f>HYPERLINK("https://patents.google.com/patent/US20060011718A1/en")</f>
        <v>https://patents.google.com/patent/US20060011718A1/en</v>
      </c>
    </row>
    <row r="7552" spans="3:5" x14ac:dyDescent="0.25">
      <c r="C7552" t="s">
        <v>13765</v>
      </c>
      <c r="D7552" t="s">
        <v>13766</v>
      </c>
      <c r="E7552" t="str">
        <f>HYPERLINK("https://patents.google.com/patent/US20060008122A1/en")</f>
        <v>https://patents.google.com/patent/US20060008122A1/en</v>
      </c>
    </row>
    <row r="7553" spans="3:5" x14ac:dyDescent="0.25">
      <c r="C7553" t="s">
        <v>13767</v>
      </c>
      <c r="D7553" t="s">
        <v>13768</v>
      </c>
      <c r="E7553" t="str">
        <f>HYPERLINK("https://patents.google.com/patent/US6310705B1/en")</f>
        <v>https://patents.google.com/patent/US6310705B1/en</v>
      </c>
    </row>
    <row r="7554" spans="3:5" x14ac:dyDescent="0.25">
      <c r="C7554" t="s">
        <v>13769</v>
      </c>
      <c r="D7554" t="s">
        <v>13770</v>
      </c>
      <c r="E7554" t="str">
        <f>HYPERLINK("https://patents.google.com/patent/US20120327218A1/en")</f>
        <v>https://patents.google.com/patent/US20120327218A1/en</v>
      </c>
    </row>
    <row r="7555" spans="3:5" x14ac:dyDescent="0.25">
      <c r="C7555" t="s">
        <v>13771</v>
      </c>
      <c r="D7555" t="s">
        <v>13772</v>
      </c>
      <c r="E7555" t="str">
        <f>HYPERLINK("https://patents.google.com/patent/US20030159802A1/en")</f>
        <v>https://patents.google.com/patent/US20030159802A1/en</v>
      </c>
    </row>
    <row r="7556" spans="3:5" x14ac:dyDescent="0.25">
      <c r="C7556" t="s">
        <v>13773</v>
      </c>
      <c r="D7556" t="s">
        <v>13774</v>
      </c>
      <c r="E7556" t="str">
        <f>HYPERLINK("https://patents.google.com/patent/US20140184577A1/en")</f>
        <v>https://patents.google.com/patent/US20140184577A1/en</v>
      </c>
    </row>
    <row r="7557" spans="3:5" x14ac:dyDescent="0.25">
      <c r="C7557" t="s">
        <v>13775</v>
      </c>
      <c r="D7557" t="s">
        <v>13776</v>
      </c>
      <c r="E7557" t="str">
        <f>HYPERLINK("https://patents.google.com/patent/US20140293829A1/en")</f>
        <v>https://patents.google.com/patent/US20140293829A1/en</v>
      </c>
    </row>
    <row r="7558" spans="3:5" x14ac:dyDescent="0.25">
      <c r="C7558" t="s">
        <v>13777</v>
      </c>
      <c r="D7558" t="s">
        <v>13778</v>
      </c>
      <c r="E7558" t="str">
        <f>HYPERLINK("https://patents.google.com/patent/US20120236173A1/en")</f>
        <v>https://patents.google.com/patent/US20120236173A1/en</v>
      </c>
    </row>
    <row r="7559" spans="3:5" x14ac:dyDescent="0.25">
      <c r="C7559" t="s">
        <v>13779</v>
      </c>
      <c r="D7559" t="s">
        <v>13780</v>
      </c>
      <c r="E7559" t="str">
        <f>HYPERLINK("https://patents.google.com/patent/US20070252435A1/en")</f>
        <v>https://patents.google.com/patent/US20070252435A1/en</v>
      </c>
    </row>
    <row r="7560" spans="3:5" x14ac:dyDescent="0.25">
      <c r="C7560" t="s">
        <v>13781</v>
      </c>
      <c r="D7560" t="s">
        <v>13782</v>
      </c>
      <c r="E7560" t="str">
        <f>HYPERLINK("https://patents.google.com/patent/US20110181786A1/en")</f>
        <v>https://patents.google.com/patent/US20110181786A1/en</v>
      </c>
    </row>
    <row r="7561" spans="3:5" x14ac:dyDescent="0.25">
      <c r="C7561" t="s">
        <v>13783</v>
      </c>
      <c r="D7561" t="s">
        <v>13784</v>
      </c>
      <c r="E7561" t="str">
        <f>HYPERLINK("https://patents.google.com/patent/JP2006263002A/en")</f>
        <v>https://patents.google.com/patent/JP2006263002A/en</v>
      </c>
    </row>
    <row r="7562" spans="3:5" x14ac:dyDescent="0.25">
      <c r="C7562" t="s">
        <v>13785</v>
      </c>
      <c r="D7562" t="s">
        <v>13786</v>
      </c>
      <c r="E7562" t="str">
        <f>HYPERLINK("https://patents.google.com/patent/DE102008003866A1/en")</f>
        <v>https://patents.google.com/patent/DE102008003866A1/en</v>
      </c>
    </row>
    <row r="7563" spans="3:5" x14ac:dyDescent="0.25">
      <c r="C7563" t="s">
        <v>13572</v>
      </c>
      <c r="D7563" t="s">
        <v>13787</v>
      </c>
      <c r="E7563" t="str">
        <f>HYPERLINK("https://patents.google.com/patent/WO2010057138A2/en")</f>
        <v>https://patents.google.com/patent/WO2010057138A2/en</v>
      </c>
    </row>
    <row r="7564" spans="3:5" x14ac:dyDescent="0.25">
      <c r="C7564" t="s">
        <v>13788</v>
      </c>
      <c r="D7564" t="s">
        <v>13789</v>
      </c>
      <c r="E7564" t="str">
        <f>HYPERLINK("https://patents.google.com/patent/US20130114486A1/en")</f>
        <v>https://patents.google.com/patent/US20130114486A1/en</v>
      </c>
    </row>
    <row r="7565" spans="3:5" x14ac:dyDescent="0.25">
      <c r="C7565" t="s">
        <v>13790</v>
      </c>
      <c r="D7565" t="s">
        <v>13791</v>
      </c>
      <c r="E7565" t="str">
        <f>HYPERLINK("https://patents.google.com/patent/US20140029431A1/en")</f>
        <v>https://patents.google.com/patent/US20140029431A1/en</v>
      </c>
    </row>
    <row r="7566" spans="3:5" x14ac:dyDescent="0.25">
      <c r="C7566" t="s">
        <v>13792</v>
      </c>
      <c r="D7566" t="s">
        <v>13793</v>
      </c>
      <c r="E7566" t="str">
        <f>HYPERLINK("https://patents.google.com/patent/WO2008007375A2/en")</f>
        <v>https://patents.google.com/patent/WO2008007375A2/en</v>
      </c>
    </row>
    <row r="7567" spans="3:5" x14ac:dyDescent="0.25">
      <c r="C7567" t="s">
        <v>13794</v>
      </c>
      <c r="D7567" t="s">
        <v>13795</v>
      </c>
      <c r="E7567" t="str">
        <f>HYPERLINK("https://patents.google.com/patent/US20130210409A1/en")</f>
        <v>https://patents.google.com/patent/US20130210409A1/en</v>
      </c>
    </row>
    <row r="7568" spans="3:5" x14ac:dyDescent="0.25">
      <c r="C7568" t="s">
        <v>13796</v>
      </c>
      <c r="D7568" t="s">
        <v>13797</v>
      </c>
      <c r="E7568" t="str">
        <f>HYPERLINK("https://patents.google.com/patent/US20160047890A1/en")</f>
        <v>https://patents.google.com/patent/US20160047890A1/en</v>
      </c>
    </row>
    <row r="7569" spans="3:5" x14ac:dyDescent="0.25">
      <c r="C7569" t="s">
        <v>13798</v>
      </c>
      <c r="D7569" t="s">
        <v>13799</v>
      </c>
      <c r="E7569" t="str">
        <f>HYPERLINK("https://patents.google.com/patent/US20050275942A1/en")</f>
        <v>https://patents.google.com/patent/US20050275942A1/en</v>
      </c>
    </row>
    <row r="7570" spans="3:5" x14ac:dyDescent="0.25">
      <c r="C7570" t="s">
        <v>13800</v>
      </c>
      <c r="D7570" t="s">
        <v>13801</v>
      </c>
      <c r="E7570" t="str">
        <f>HYPERLINK("https://patents.google.com/patent/US20130050165A1/en")</f>
        <v>https://patents.google.com/patent/US20130050165A1/en</v>
      </c>
    </row>
    <row r="7571" spans="3:5" x14ac:dyDescent="0.25">
      <c r="C7571" t="s">
        <v>13802</v>
      </c>
      <c r="D7571" t="s">
        <v>13803</v>
      </c>
      <c r="E7571" t="str">
        <f>HYPERLINK("https://patents.google.com/patent/JP2007529926A/en")</f>
        <v>https://patents.google.com/patent/JP2007529926A/en</v>
      </c>
    </row>
    <row r="7572" spans="3:5" x14ac:dyDescent="0.25">
      <c r="C7572" t="s">
        <v>13804</v>
      </c>
      <c r="D7572" t="s">
        <v>13805</v>
      </c>
      <c r="E7572" t="str">
        <f>HYPERLINK("https://patents.google.com/patent/US20120196528A1/en")</f>
        <v>https://patents.google.com/patent/US20120196528A1/en</v>
      </c>
    </row>
    <row r="7573" spans="3:5" x14ac:dyDescent="0.25">
      <c r="C7573" t="s">
        <v>13806</v>
      </c>
      <c r="D7573" t="s">
        <v>13807</v>
      </c>
      <c r="E7573" t="str">
        <f>HYPERLINK("https://patents.google.com/patent/WO2010028278A2/en")</f>
        <v>https://patents.google.com/patent/WO2010028278A2/en</v>
      </c>
    </row>
    <row r="7574" spans="3:5" x14ac:dyDescent="0.25">
      <c r="C7574" t="s">
        <v>13808</v>
      </c>
      <c r="D7574" t="s">
        <v>13809</v>
      </c>
      <c r="E7574" t="str">
        <f>HYPERLINK("https://patents.google.com/patent/US20140044372A1/en")</f>
        <v>https://patents.google.com/patent/US20140044372A1/en</v>
      </c>
    </row>
    <row r="7575" spans="3:5" x14ac:dyDescent="0.25">
      <c r="C7575" t="s">
        <v>13810</v>
      </c>
      <c r="D7575" t="s">
        <v>13811</v>
      </c>
      <c r="E7575" t="str">
        <f>HYPERLINK("https://patents.google.com/patent/US20080264080A1/en")</f>
        <v>https://patents.google.com/patent/US20080264080A1/en</v>
      </c>
    </row>
    <row r="7576" spans="3:5" x14ac:dyDescent="0.25">
      <c r="C7576" t="s">
        <v>13812</v>
      </c>
      <c r="D7576" t="s">
        <v>13813</v>
      </c>
      <c r="E7576" t="str">
        <f>HYPERLINK("https://patents.google.com/patent/US20160234706A1/en")</f>
        <v>https://patents.google.com/patent/US20160234706A1/en</v>
      </c>
    </row>
    <row r="7577" spans="3:5" x14ac:dyDescent="0.25">
      <c r="C7577" t="s">
        <v>13814</v>
      </c>
      <c r="D7577" t="s">
        <v>13815</v>
      </c>
      <c r="E7577" t="str">
        <f>HYPERLINK("https://patents.google.com/patent/US20150181491A1/en")</f>
        <v>https://patents.google.com/patent/US20150181491A1/en</v>
      </c>
    </row>
    <row r="7578" spans="3:5" x14ac:dyDescent="0.25">
      <c r="C7578" t="s">
        <v>13816</v>
      </c>
      <c r="D7578" t="s">
        <v>13817</v>
      </c>
      <c r="E7578" t="str">
        <f>HYPERLINK("https://patents.google.com/patent/US20140105046A1/en")</f>
        <v>https://patents.google.com/patent/US20140105046A1/en</v>
      </c>
    </row>
    <row r="7579" spans="3:5" x14ac:dyDescent="0.25">
      <c r="C7579" t="s">
        <v>13818</v>
      </c>
      <c r="D7579" t="s">
        <v>13819</v>
      </c>
      <c r="E7579" t="str">
        <f>HYPERLINK("https://patents.google.com/patent/WO2001060718A2/en")</f>
        <v>https://patents.google.com/patent/WO2001060718A2/en</v>
      </c>
    </row>
    <row r="7580" spans="3:5" x14ac:dyDescent="0.25">
      <c r="C7580" t="s">
        <v>13751</v>
      </c>
      <c r="D7580" t="s">
        <v>13820</v>
      </c>
      <c r="E7580" t="str">
        <f>HYPERLINK("https://patents.google.com/patent/US20130070751A1/en")</f>
        <v>https://patents.google.com/patent/US20130070751A1/en</v>
      </c>
    </row>
    <row r="7581" spans="3:5" x14ac:dyDescent="0.25">
      <c r="C7581" t="s">
        <v>13582</v>
      </c>
      <c r="D7581" t="s">
        <v>13821</v>
      </c>
      <c r="E7581" t="str">
        <f>HYPERLINK("https://patents.google.com/patent/US20070000025A1/en")</f>
        <v>https://patents.google.com/patent/US20070000025A1/en</v>
      </c>
    </row>
    <row r="7582" spans="3:5" x14ac:dyDescent="0.25">
      <c r="C7582" t="s">
        <v>13822</v>
      </c>
      <c r="D7582" t="s">
        <v>13823</v>
      </c>
      <c r="E7582" t="str">
        <f>HYPERLINK("https://patents.google.com/patent/US20130190658A1/en")</f>
        <v>https://patents.google.com/patent/US20130190658A1/en</v>
      </c>
    </row>
    <row r="7583" spans="3:5" x14ac:dyDescent="0.25">
      <c r="C7583" t="s">
        <v>13824</v>
      </c>
      <c r="D7583" t="s">
        <v>13825</v>
      </c>
      <c r="E7583" t="str">
        <f>HYPERLINK("https://patents.google.com/patent/EP2737779A1/en")</f>
        <v>https://patents.google.com/patent/EP2737779A1/en</v>
      </c>
    </row>
    <row r="7584" spans="3:5" x14ac:dyDescent="0.25">
      <c r="C7584" t="s">
        <v>13826</v>
      </c>
      <c r="D7584" t="s">
        <v>13827</v>
      </c>
      <c r="E7584" t="str">
        <f>HYPERLINK("https://patents.google.com/patent/US20130227055A1/en")</f>
        <v>https://patents.google.com/patent/US20130227055A1/en</v>
      </c>
    </row>
    <row r="7585" spans="3:5" x14ac:dyDescent="0.25">
      <c r="C7585" t="s">
        <v>13828</v>
      </c>
      <c r="D7585" t="s">
        <v>13829</v>
      </c>
      <c r="E7585" t="str">
        <f>HYPERLINK("https://patents.google.com/patent/US7325735B2/en")</f>
        <v>https://patents.google.com/patent/US7325735B2/en</v>
      </c>
    </row>
    <row r="7586" spans="3:5" x14ac:dyDescent="0.25">
      <c r="C7586" t="s">
        <v>13830</v>
      </c>
      <c r="D7586" t="s">
        <v>13831</v>
      </c>
      <c r="E7586" t="str">
        <f>HYPERLINK("https://patents.google.com/patent/JP2006083363A/en")</f>
        <v>https://patents.google.com/patent/JP2006083363A/en</v>
      </c>
    </row>
    <row r="7587" spans="3:5" x14ac:dyDescent="0.25">
      <c r="C7587" t="s">
        <v>13832</v>
      </c>
      <c r="D7587" t="s">
        <v>13833</v>
      </c>
      <c r="E7587" t="str">
        <f>HYPERLINK("https://patents.google.com/patent/US20060188813A1/en")</f>
        <v>https://patents.google.com/patent/US20060188813A1/en</v>
      </c>
    </row>
    <row r="7588" spans="3:5" x14ac:dyDescent="0.25">
      <c r="C7588" t="s">
        <v>13834</v>
      </c>
      <c r="D7588" t="s">
        <v>13835</v>
      </c>
      <c r="E7588" t="str">
        <f>HYPERLINK("https://patents.google.com/patent/WO2009037380A1/en")</f>
        <v>https://patents.google.com/patent/WO2009037380A1/en</v>
      </c>
    </row>
    <row r="7589" spans="3:5" x14ac:dyDescent="0.25">
      <c r="C7589" t="s">
        <v>11515</v>
      </c>
      <c r="D7589" t="s">
        <v>13836</v>
      </c>
      <c r="E7589" t="str">
        <f>HYPERLINK("https://patents.google.com/patent/WO2012024349A1/en")</f>
        <v>https://patents.google.com/patent/WO2012024349A1/en</v>
      </c>
    </row>
    <row r="7590" spans="3:5" x14ac:dyDescent="0.25">
      <c r="C7590" t="s">
        <v>13837</v>
      </c>
      <c r="D7590" t="s">
        <v>13838</v>
      </c>
      <c r="E7590" t="str">
        <f>HYPERLINK("https://patents.google.com/patent/DE102007045082A1/en")</f>
        <v>https://patents.google.com/patent/DE102007045082A1/en</v>
      </c>
    </row>
    <row r="7591" spans="3:5" x14ac:dyDescent="0.25">
      <c r="C7591" t="s">
        <v>13839</v>
      </c>
      <c r="D7591" t="s">
        <v>13840</v>
      </c>
      <c r="E7591" t="str">
        <f>HYPERLINK("https://patents.google.com/patent/US20120326959A1/en")</f>
        <v>https://patents.google.com/patent/US20120326959A1/en</v>
      </c>
    </row>
    <row r="7592" spans="3:5" x14ac:dyDescent="0.25">
      <c r="C7592" t="s">
        <v>13841</v>
      </c>
      <c r="D7592" t="s">
        <v>13842</v>
      </c>
      <c r="E7592" t="str">
        <f>HYPERLINK("https://patents.google.com/patent/US20140237547A1/en")</f>
        <v>https://patents.google.com/patent/US20140237547A1/en</v>
      </c>
    </row>
    <row r="7593" spans="3:5" x14ac:dyDescent="0.25">
      <c r="C7593" t="s">
        <v>13843</v>
      </c>
      <c r="D7593" t="s">
        <v>13844</v>
      </c>
      <c r="E7593" t="str">
        <f>HYPERLINK("https://patents.google.com/patent/US20150140986A1/en")</f>
        <v>https://patents.google.com/patent/US20150140986A1/en</v>
      </c>
    </row>
    <row r="7594" spans="3:5" x14ac:dyDescent="0.25">
      <c r="C7594" t="s">
        <v>13845</v>
      </c>
      <c r="D7594" t="s">
        <v>13846</v>
      </c>
      <c r="E7594" t="str">
        <f>HYPERLINK("https://patents.google.com/patent/US7180216B2/en")</f>
        <v>https://patents.google.com/patent/US7180216B2/en</v>
      </c>
    </row>
    <row r="7595" spans="3:5" x14ac:dyDescent="0.25">
      <c r="C7595" t="s">
        <v>13847</v>
      </c>
      <c r="D7595" t="s">
        <v>13848</v>
      </c>
      <c r="E7595" t="str">
        <f>HYPERLINK("https://patents.google.com/patent/US20140362840A1/en")</f>
        <v>https://patents.google.com/patent/US20140362840A1/en</v>
      </c>
    </row>
    <row r="7596" spans="3:5" x14ac:dyDescent="0.25">
      <c r="C7596" t="s">
        <v>13849</v>
      </c>
      <c r="D7596" t="s">
        <v>13850</v>
      </c>
      <c r="E7596" t="str">
        <f>HYPERLINK("https://patents.google.com/patent/US20110117852A1/en")</f>
        <v>https://patents.google.com/patent/US20110117852A1/en</v>
      </c>
    </row>
    <row r="7597" spans="3:5" x14ac:dyDescent="0.25">
      <c r="C7597" t="s">
        <v>13851</v>
      </c>
      <c r="D7597" t="s">
        <v>13852</v>
      </c>
      <c r="E7597" t="str">
        <f>HYPERLINK("https://patents.google.com/patent/US8934226B2/en")</f>
        <v>https://patents.google.com/patent/US8934226B2/en</v>
      </c>
    </row>
    <row r="7598" spans="3:5" x14ac:dyDescent="0.25">
      <c r="C7598" t="s">
        <v>13853</v>
      </c>
      <c r="D7598" t="s">
        <v>13854</v>
      </c>
      <c r="E7598" t="str">
        <f>HYPERLINK("https://patents.google.com/patent/CN201611014U/en")</f>
        <v>https://patents.google.com/patent/CN201611014U/en</v>
      </c>
    </row>
    <row r="7599" spans="3:5" x14ac:dyDescent="0.25">
      <c r="C7599" t="s">
        <v>13855</v>
      </c>
      <c r="D7599" t="s">
        <v>13856</v>
      </c>
      <c r="E7599" t="str">
        <f>HYPERLINK("https://patents.google.com/patent/JP2012023872A/en")</f>
        <v>https://patents.google.com/patent/JP2012023872A/en</v>
      </c>
    </row>
    <row r="7600" spans="3:5" x14ac:dyDescent="0.25">
      <c r="C7600" t="s">
        <v>13857</v>
      </c>
      <c r="D7600" t="s">
        <v>13858</v>
      </c>
      <c r="E7600" t="str">
        <f>HYPERLINK("https://patents.google.com/patent/CN102098680A/en")</f>
        <v>https://patents.google.com/patent/CN102098680A/en</v>
      </c>
    </row>
    <row r="7601" spans="3:5" x14ac:dyDescent="0.25">
      <c r="C7601" t="s">
        <v>13859</v>
      </c>
      <c r="D7601" t="s">
        <v>13860</v>
      </c>
      <c r="E7601" t="str">
        <f>HYPERLINK("https://patents.google.com/patent/US20130235746A1/en")</f>
        <v>https://patents.google.com/patent/US20130235746A1/en</v>
      </c>
    </row>
    <row r="7602" spans="3:5" x14ac:dyDescent="0.25">
      <c r="C7602" t="s">
        <v>13861</v>
      </c>
      <c r="D7602" t="s">
        <v>13862</v>
      </c>
      <c r="E7602" t="str">
        <f>HYPERLINK("https://patents.google.com/patent/US20170331670A1/en")</f>
        <v>https://patents.google.com/patent/US20170331670A1/en</v>
      </c>
    </row>
    <row r="7603" spans="3:5" x14ac:dyDescent="0.25">
      <c r="C7603" t="s">
        <v>13861</v>
      </c>
      <c r="D7603" t="s">
        <v>13863</v>
      </c>
      <c r="E7603" t="str">
        <f>HYPERLINK("https://patents.google.com/patent/US20170331577A1/en")</f>
        <v>https://patents.google.com/patent/US20170331577A1/en</v>
      </c>
    </row>
    <row r="7604" spans="3:5" x14ac:dyDescent="0.25">
      <c r="C7604" t="s">
        <v>13864</v>
      </c>
      <c r="D7604" t="s">
        <v>13865</v>
      </c>
      <c r="E7604" t="str">
        <f>HYPERLINK("https://patents.google.com/patent/US20150117791A1/en")</f>
        <v>https://patents.google.com/patent/US20150117791A1/en</v>
      </c>
    </row>
    <row r="7605" spans="3:5" x14ac:dyDescent="0.25">
      <c r="C7605" t="s">
        <v>13866</v>
      </c>
      <c r="D7605" t="s">
        <v>13867</v>
      </c>
      <c r="E7605" t="str">
        <f>HYPERLINK("https://patents.google.com/patent/WO2010028307A1/en")</f>
        <v>https://patents.google.com/patent/WO2010028307A1/en</v>
      </c>
    </row>
    <row r="7606" spans="3:5" x14ac:dyDescent="0.25">
      <c r="C7606" t="s">
        <v>13868</v>
      </c>
      <c r="D7606" t="s">
        <v>13869</v>
      </c>
      <c r="E7606" t="str">
        <f>HYPERLINK("https://patents.google.com/patent/CN1441687A/en")</f>
        <v>https://patents.google.com/patent/CN1441687A/en</v>
      </c>
    </row>
    <row r="7607" spans="3:5" x14ac:dyDescent="0.25">
      <c r="C7607" t="s">
        <v>13870</v>
      </c>
      <c r="D7607" t="s">
        <v>13871</v>
      </c>
      <c r="E7607" t="str">
        <f>HYPERLINK("https://patents.google.com/patent/US20140105048A1/en")</f>
        <v>https://patents.google.com/patent/US20140105048A1/en</v>
      </c>
    </row>
    <row r="7608" spans="3:5" x14ac:dyDescent="0.25">
      <c r="C7608" t="s">
        <v>13872</v>
      </c>
      <c r="D7608" t="s">
        <v>13873</v>
      </c>
      <c r="E7608" t="str">
        <f>HYPERLINK("https://patents.google.com/patent/US20160141894A1/en")</f>
        <v>https://patents.google.com/patent/US20160141894A1/en</v>
      </c>
    </row>
    <row r="7609" spans="3:5" x14ac:dyDescent="0.25">
      <c r="C7609" t="s">
        <v>13874</v>
      </c>
      <c r="D7609" t="s">
        <v>13875</v>
      </c>
      <c r="E7609" t="str">
        <f>HYPERLINK("https://patents.google.com/patent/EP2437428A1/en")</f>
        <v>https://patents.google.com/patent/EP2437428A1/en</v>
      </c>
    </row>
    <row r="7610" spans="3:5" x14ac:dyDescent="0.25">
      <c r="C7610" t="s">
        <v>13876</v>
      </c>
      <c r="D7610" t="s">
        <v>13877</v>
      </c>
      <c r="E7610" t="str">
        <f>HYPERLINK("https://patents.google.com/patent/CN101909270A/en")</f>
        <v>https://patents.google.com/patent/CN101909270A/en</v>
      </c>
    </row>
    <row r="7611" spans="3:5" x14ac:dyDescent="0.25">
      <c r="C7611" t="s">
        <v>13878</v>
      </c>
      <c r="D7611" t="s">
        <v>13879</v>
      </c>
      <c r="E7611" t="str">
        <f>HYPERLINK("https://patents.google.com/patent/US9149408B2/en")</f>
        <v>https://patents.google.com/patent/US9149408B2/en</v>
      </c>
    </row>
    <row r="7612" spans="3:5" x14ac:dyDescent="0.25">
      <c r="C7612" t="s">
        <v>13880</v>
      </c>
      <c r="D7612" t="s">
        <v>13881</v>
      </c>
      <c r="E7612" t="str">
        <f>HYPERLINK("https://patents.google.com/patent/CN101911715A/en")</f>
        <v>https://patents.google.com/patent/CN101911715A/en</v>
      </c>
    </row>
    <row r="7613" spans="3:5" x14ac:dyDescent="0.25">
      <c r="C7613" t="s">
        <v>13882</v>
      </c>
      <c r="D7613" t="s">
        <v>13883</v>
      </c>
      <c r="E7613" t="str">
        <f>HYPERLINK("https://patents.google.com/patent/KR20100027087A/en")</f>
        <v>https://patents.google.com/patent/KR20100027087A/en</v>
      </c>
    </row>
    <row r="7614" spans="3:5" x14ac:dyDescent="0.25">
      <c r="C7614" t="s">
        <v>13884</v>
      </c>
      <c r="D7614" t="s">
        <v>13885</v>
      </c>
      <c r="E7614" t="str">
        <f>HYPERLINK("https://patents.google.com/patent/KR20100106364A/en")</f>
        <v>https://patents.google.com/patent/KR20100106364A/en</v>
      </c>
    </row>
    <row r="7615" spans="3:5" x14ac:dyDescent="0.25">
      <c r="C7615" t="s">
        <v>13886</v>
      </c>
      <c r="D7615" t="s">
        <v>13887</v>
      </c>
      <c r="E7615" t="str">
        <f>HYPERLINK("https://patents.google.com/patent/US20130263284A1/en")</f>
        <v>https://patents.google.com/patent/US20130263284A1/en</v>
      </c>
    </row>
    <row r="7616" spans="3:5" x14ac:dyDescent="0.25">
      <c r="C7616" t="s">
        <v>4840</v>
      </c>
      <c r="D7616" t="s">
        <v>13888</v>
      </c>
      <c r="E7616" t="str">
        <f>HYPERLINK("https://patents.google.com/patent/WO1996031937A1/en")</f>
        <v>https://patents.google.com/patent/WO1996031937A1/en</v>
      </c>
    </row>
    <row r="7617" spans="3:5" x14ac:dyDescent="0.25">
      <c r="C7617" t="s">
        <v>11826</v>
      </c>
      <c r="D7617" t="s">
        <v>13889</v>
      </c>
      <c r="E7617" t="str">
        <f>HYPERLINK("https://patents.google.com/patent/US20160357188A1/en")</f>
        <v>https://patents.google.com/patent/US20160357188A1/en</v>
      </c>
    </row>
    <row r="7618" spans="3:5" x14ac:dyDescent="0.25">
      <c r="C7618" t="s">
        <v>13890</v>
      </c>
      <c r="D7618" t="s">
        <v>13891</v>
      </c>
      <c r="E7618" t="str">
        <f>HYPERLINK("https://patents.google.com/patent/CN102696282A/en")</f>
        <v>https://patents.google.com/patent/CN102696282A/en</v>
      </c>
    </row>
    <row r="7619" spans="3:5" x14ac:dyDescent="0.25">
      <c r="C7619" t="s">
        <v>13892</v>
      </c>
      <c r="D7619" t="s">
        <v>13893</v>
      </c>
      <c r="E7619" t="str">
        <f>HYPERLINK("https://patents.google.com/patent/EP0909926A1/en")</f>
        <v>https://patents.google.com/patent/EP0909926A1/en</v>
      </c>
    </row>
    <row r="7620" spans="3:5" x14ac:dyDescent="0.25">
      <c r="C7620" t="s">
        <v>13894</v>
      </c>
      <c r="D7620" t="s">
        <v>13895</v>
      </c>
      <c r="E7620" t="str">
        <f>HYPERLINK("https://patents.google.com/patent/US9870598B2/en")</f>
        <v>https://patents.google.com/patent/US9870598B2/en</v>
      </c>
    </row>
    <row r="7621" spans="3:5" x14ac:dyDescent="0.25">
      <c r="C7621" t="s">
        <v>13896</v>
      </c>
      <c r="D7621" t="s">
        <v>13897</v>
      </c>
      <c r="E7621" t="str">
        <f>HYPERLINK("https://patents.google.com/patent/CN104515229A/en")</f>
        <v>https://patents.google.com/patent/CN104515229A/en</v>
      </c>
    </row>
    <row r="7622" spans="3:5" x14ac:dyDescent="0.25">
      <c r="C7622" t="s">
        <v>13898</v>
      </c>
      <c r="D7622" t="s">
        <v>13899</v>
      </c>
      <c r="E7622" t="str">
        <f>HYPERLINK("https://patents.google.com/patent/CN1728663A/en")</f>
        <v>https://patents.google.com/patent/CN1728663A/en</v>
      </c>
    </row>
    <row r="7623" spans="3:5" x14ac:dyDescent="0.25">
      <c r="C7623" t="s">
        <v>13900</v>
      </c>
      <c r="D7623" t="s">
        <v>13901</v>
      </c>
      <c r="E7623" t="str">
        <f>HYPERLINK("https://patents.google.com/patent/US20110001012A1/en")</f>
        <v>https://patents.google.com/patent/US20110001012A1/en</v>
      </c>
    </row>
    <row r="7624" spans="3:5" x14ac:dyDescent="0.25">
      <c r="C7624" t="s">
        <v>13902</v>
      </c>
      <c r="D7624" t="s">
        <v>13903</v>
      </c>
      <c r="E7624" t="str">
        <f>HYPERLINK("https://patents.google.com/patent/US20040011299A1/en")</f>
        <v>https://patents.google.com/patent/US20040011299A1/en</v>
      </c>
    </row>
    <row r="7625" spans="3:5" x14ac:dyDescent="0.25">
      <c r="C7625" t="s">
        <v>13904</v>
      </c>
      <c r="D7625" t="s">
        <v>13905</v>
      </c>
      <c r="E7625" t="str">
        <f>HYPERLINK("https://patents.google.com/patent/WO2010061530A1/en")</f>
        <v>https://patents.google.com/patent/WO2010061530A1/en</v>
      </c>
    </row>
    <row r="7626" spans="3:5" x14ac:dyDescent="0.25">
      <c r="C7626" t="s">
        <v>13906</v>
      </c>
      <c r="D7626" t="s">
        <v>13907</v>
      </c>
      <c r="E7626" t="str">
        <f>HYPERLINK("https://patents.google.com/patent/US20150140531A1/en")</f>
        <v>https://patents.google.com/patent/US20150140531A1/en</v>
      </c>
    </row>
    <row r="7627" spans="3:5" x14ac:dyDescent="0.25">
      <c r="C7627" t="s">
        <v>13908</v>
      </c>
      <c r="D7627" t="s">
        <v>13909</v>
      </c>
      <c r="E7627" t="str">
        <f>HYPERLINK("https://patents.google.com/patent/US20170163330A1/en")</f>
        <v>https://patents.google.com/patent/US20170163330A1/en</v>
      </c>
    </row>
    <row r="7628" spans="3:5" x14ac:dyDescent="0.25">
      <c r="C7628" t="s">
        <v>12400</v>
      </c>
      <c r="D7628" t="s">
        <v>13910</v>
      </c>
      <c r="E7628" t="str">
        <f>HYPERLINK("https://patents.google.com/patent/EP2867843A1/en")</f>
        <v>https://patents.google.com/patent/EP2867843A1/en</v>
      </c>
    </row>
    <row r="7629" spans="3:5" x14ac:dyDescent="0.25">
      <c r="C7629" t="s">
        <v>13911</v>
      </c>
      <c r="D7629" t="s">
        <v>13912</v>
      </c>
      <c r="E7629" t="str">
        <f>HYPERLINK("https://patents.google.com/patent/WO2014033467A2/en")</f>
        <v>https://patents.google.com/patent/WO2014033467A2/en</v>
      </c>
    </row>
    <row r="7630" spans="3:5" x14ac:dyDescent="0.25">
      <c r="C7630" t="s">
        <v>13913</v>
      </c>
      <c r="D7630" t="s">
        <v>13914</v>
      </c>
      <c r="E7630" t="str">
        <f>HYPERLINK("https://patents.google.com/patent/JP2007244437A/en")</f>
        <v>https://patents.google.com/patent/JP2007244437A/en</v>
      </c>
    </row>
    <row r="7631" spans="3:5" x14ac:dyDescent="0.25">
      <c r="C7631" t="s">
        <v>13915</v>
      </c>
      <c r="D7631" t="s">
        <v>13916</v>
      </c>
      <c r="E7631" t="str">
        <f>HYPERLINK("https://patents.google.com/patent/JP2002054613A/en")</f>
        <v>https://patents.google.com/patent/JP2002054613A/en</v>
      </c>
    </row>
    <row r="7632" spans="3:5" x14ac:dyDescent="0.25">
      <c r="C7632" t="s">
        <v>13917</v>
      </c>
      <c r="D7632" t="s">
        <v>13918</v>
      </c>
      <c r="E7632" t="str">
        <f>HYPERLINK("https://patents.google.com/patent/US20020058237A1/en")</f>
        <v>https://patents.google.com/patent/US20020058237A1/en</v>
      </c>
    </row>
    <row r="7633" spans="1:5" x14ac:dyDescent="0.25">
      <c r="C7633" t="s">
        <v>13919</v>
      </c>
      <c r="D7633" t="s">
        <v>13920</v>
      </c>
      <c r="E7633" t="str">
        <f>HYPERLINK("https://patents.google.com/patent/JP2007050249A/en")</f>
        <v>https://patents.google.com/patent/JP2007050249A/en</v>
      </c>
    </row>
    <row r="7634" spans="1:5" x14ac:dyDescent="0.25">
      <c r="C7634" t="s">
        <v>13921</v>
      </c>
      <c r="D7634" t="s">
        <v>13922</v>
      </c>
      <c r="E7634" t="str">
        <f>HYPERLINK("https://patents.google.com/patent/US20150019022A1/en")</f>
        <v>https://patents.google.com/patent/US20150019022A1/en</v>
      </c>
    </row>
    <row r="7635" spans="1:5" x14ac:dyDescent="0.25">
      <c r="C7635" t="s">
        <v>13923</v>
      </c>
      <c r="D7635" t="s">
        <v>13924</v>
      </c>
      <c r="E7635" t="str">
        <f>HYPERLINK("https://patents.google.com/patent/US20160245541A1/en")</f>
        <v>https://patents.google.com/patent/US20160245541A1/en</v>
      </c>
    </row>
    <row r="7636" spans="1:5" x14ac:dyDescent="0.25">
      <c r="A7636" t="s">
        <v>1339</v>
      </c>
      <c r="B7636">
        <v>601</v>
      </c>
    </row>
    <row r="7637" spans="1:5" x14ac:dyDescent="0.25">
      <c r="C7637" t="s">
        <v>7073</v>
      </c>
      <c r="D7637" t="s">
        <v>13925</v>
      </c>
      <c r="E7637" t="str">
        <f>HYPERLINK("https://patents.google.com/patent/JP2008522880A/en")</f>
        <v>https://patents.google.com/patent/JP2008522880A/en</v>
      </c>
    </row>
    <row r="7638" spans="1:5" x14ac:dyDescent="0.25">
      <c r="C7638" t="s">
        <v>13926</v>
      </c>
      <c r="D7638" t="s">
        <v>13927</v>
      </c>
      <c r="E7638" t="str">
        <f>HYPERLINK("https://patents.google.com/patent/US7693757B2/en")</f>
        <v>https://patents.google.com/patent/US7693757B2/en</v>
      </c>
    </row>
    <row r="7639" spans="1:5" x14ac:dyDescent="0.25">
      <c r="C7639" t="s">
        <v>13928</v>
      </c>
      <c r="D7639" t="s">
        <v>13929</v>
      </c>
      <c r="E7639" t="str">
        <f>HYPERLINK("https://patents.google.com/patent/US7448113B2/en")</f>
        <v>https://patents.google.com/patent/US7448113B2/en</v>
      </c>
    </row>
    <row r="7640" spans="1:5" x14ac:dyDescent="0.25">
      <c r="C7640" t="s">
        <v>13930</v>
      </c>
      <c r="D7640" t="s">
        <v>13931</v>
      </c>
      <c r="E7640" t="str">
        <f>HYPERLINK("https://patents.google.com/patent/US5444965A/en")</f>
        <v>https://patents.google.com/patent/US5444965A/en</v>
      </c>
    </row>
    <row r="7641" spans="1:5" x14ac:dyDescent="0.25">
      <c r="C7641" t="s">
        <v>13932</v>
      </c>
      <c r="D7641" t="s">
        <v>13933</v>
      </c>
      <c r="E7641" t="str">
        <f>HYPERLINK("https://patents.google.com/patent/US6580246B2/en")</f>
        <v>https://patents.google.com/patent/US6580246B2/en</v>
      </c>
    </row>
    <row r="7642" spans="1:5" x14ac:dyDescent="0.25">
      <c r="C7642" t="s">
        <v>13934</v>
      </c>
      <c r="D7642" t="s">
        <v>13935</v>
      </c>
      <c r="E7642" t="str">
        <f>HYPERLINK("https://patents.google.com/patent/US6689947B2/en")</f>
        <v>https://patents.google.com/patent/US6689947B2/en</v>
      </c>
    </row>
    <row r="7643" spans="1:5" x14ac:dyDescent="0.25">
      <c r="C7643" t="s">
        <v>13936</v>
      </c>
      <c r="D7643" t="s">
        <v>13937</v>
      </c>
      <c r="E7643" t="str">
        <f>HYPERLINK("https://patents.google.com/patent/US6141205A/en")</f>
        <v>https://patents.google.com/patent/US6141205A/en</v>
      </c>
    </row>
    <row r="7644" spans="1:5" x14ac:dyDescent="0.25">
      <c r="C7644" t="s">
        <v>13938</v>
      </c>
      <c r="D7644" t="s">
        <v>13939</v>
      </c>
      <c r="E7644" t="str">
        <f>HYPERLINK("https://patents.google.com/patent/US6212063B1/en")</f>
        <v>https://patents.google.com/patent/US6212063B1/en</v>
      </c>
    </row>
    <row r="7645" spans="1:5" x14ac:dyDescent="0.25">
      <c r="C7645" t="s">
        <v>13940</v>
      </c>
      <c r="D7645" t="s">
        <v>13941</v>
      </c>
      <c r="E7645" t="str">
        <f>HYPERLINK("https://patents.google.com/patent/US6009348A/en")</f>
        <v>https://patents.google.com/patent/US6009348A/en</v>
      </c>
    </row>
    <row r="7646" spans="1:5" x14ac:dyDescent="0.25">
      <c r="C7646" t="s">
        <v>13942</v>
      </c>
      <c r="D7646" t="s">
        <v>13943</v>
      </c>
      <c r="E7646" t="str">
        <f>HYPERLINK("https://patents.google.com/patent/US6006133A/en")</f>
        <v>https://patents.google.com/patent/US6006133A/en</v>
      </c>
    </row>
    <row r="7647" spans="1:5" x14ac:dyDescent="0.25">
      <c r="C7647" t="s">
        <v>13944</v>
      </c>
      <c r="D7647" t="s">
        <v>13945</v>
      </c>
      <c r="E7647" t="str">
        <f>HYPERLINK("https://patents.google.com/patent/US6042624A/en")</f>
        <v>https://patents.google.com/patent/US6042624A/en</v>
      </c>
    </row>
    <row r="7648" spans="1:5" x14ac:dyDescent="0.25">
      <c r="C7648" t="s">
        <v>13946</v>
      </c>
      <c r="D7648" t="s">
        <v>13947</v>
      </c>
      <c r="E7648" t="str">
        <f>HYPERLINK("https://patents.google.com/patent/US7587260B2/en")</f>
        <v>https://patents.google.com/patent/US7587260B2/en</v>
      </c>
    </row>
    <row r="7649" spans="3:5" x14ac:dyDescent="0.25">
      <c r="C7649" t="s">
        <v>13948</v>
      </c>
      <c r="D7649" t="s">
        <v>13949</v>
      </c>
      <c r="E7649" t="str">
        <f>HYPERLINK("https://patents.google.com/patent/US7539533B2/en")</f>
        <v>https://patents.google.com/patent/US7539533B2/en</v>
      </c>
    </row>
    <row r="7650" spans="3:5" x14ac:dyDescent="0.25">
      <c r="C7650" t="s">
        <v>13950</v>
      </c>
      <c r="D7650" t="s">
        <v>13951</v>
      </c>
      <c r="E7650" t="str">
        <f>HYPERLINK("https://patents.google.com/patent/US9095362B2/en")</f>
        <v>https://patents.google.com/patent/US9095362B2/en</v>
      </c>
    </row>
    <row r="7651" spans="3:5" x14ac:dyDescent="0.25">
      <c r="C7651" t="s">
        <v>13952</v>
      </c>
      <c r="D7651" t="s">
        <v>13953</v>
      </c>
      <c r="E7651" t="str">
        <f>HYPERLINK("https://patents.google.com/patent/US8210122B2/en")</f>
        <v>https://patents.google.com/patent/US8210122B2/en</v>
      </c>
    </row>
    <row r="7652" spans="3:5" x14ac:dyDescent="0.25">
      <c r="C7652" t="s">
        <v>13954</v>
      </c>
      <c r="D7652" t="s">
        <v>13955</v>
      </c>
      <c r="E7652" t="str">
        <f>HYPERLINK("https://patents.google.com/patent/US8100552B2/en")</f>
        <v>https://patents.google.com/patent/US8100552B2/en</v>
      </c>
    </row>
    <row r="7653" spans="3:5" x14ac:dyDescent="0.25">
      <c r="C7653" t="s">
        <v>13956</v>
      </c>
      <c r="D7653" t="s">
        <v>13957</v>
      </c>
      <c r="E7653" t="str">
        <f>HYPERLINK("https://patents.google.com/patent/US6928180B2/en")</f>
        <v>https://patents.google.com/patent/US6928180B2/en</v>
      </c>
    </row>
    <row r="7654" spans="3:5" x14ac:dyDescent="0.25">
      <c r="C7654" t="s">
        <v>13958</v>
      </c>
      <c r="D7654" t="s">
        <v>13959</v>
      </c>
      <c r="E7654" t="str">
        <f>HYPERLINK("https://patents.google.com/patent/US5760558A/en")</f>
        <v>https://patents.google.com/patent/US5760558A/en</v>
      </c>
    </row>
    <row r="7655" spans="3:5" x14ac:dyDescent="0.25">
      <c r="C7655" t="s">
        <v>13960</v>
      </c>
      <c r="D7655" t="s">
        <v>13961</v>
      </c>
      <c r="E7655" t="str">
        <f>HYPERLINK("https://patents.google.com/patent/US4827395A/en")</f>
        <v>https://patents.google.com/patent/US4827395A/en</v>
      </c>
    </row>
    <row r="7656" spans="3:5" x14ac:dyDescent="0.25">
      <c r="C7656" t="s">
        <v>13962</v>
      </c>
      <c r="D7656" t="s">
        <v>13963</v>
      </c>
      <c r="E7656" t="str">
        <f>HYPERLINK("https://patents.google.com/patent/US4656463A/en")</f>
        <v>https://patents.google.com/patent/US4656463A/en</v>
      </c>
    </row>
    <row r="7657" spans="3:5" x14ac:dyDescent="0.25">
      <c r="C7657" t="s">
        <v>13964</v>
      </c>
      <c r="D7657" t="s">
        <v>13965</v>
      </c>
      <c r="E7657" t="str">
        <f>HYPERLINK("https://patents.google.com/patent/US7524911B2/en")</f>
        <v>https://patents.google.com/patent/US7524911B2/en</v>
      </c>
    </row>
    <row r="7658" spans="3:5" x14ac:dyDescent="0.25">
      <c r="C7658" t="s">
        <v>13966</v>
      </c>
      <c r="D7658" t="s">
        <v>13967</v>
      </c>
      <c r="E7658" t="str">
        <f>HYPERLINK("https://patents.google.com/patent/US5854450A/en")</f>
        <v>https://patents.google.com/patent/US5854450A/en</v>
      </c>
    </row>
    <row r="7659" spans="3:5" x14ac:dyDescent="0.25">
      <c r="C7659" t="s">
        <v>13968</v>
      </c>
      <c r="D7659" t="s">
        <v>13969</v>
      </c>
      <c r="E7659" t="str">
        <f>HYPERLINK("https://patents.google.com/patent/US7660650B2/en")</f>
        <v>https://patents.google.com/patent/US7660650B2/en</v>
      </c>
    </row>
    <row r="7660" spans="3:5" x14ac:dyDescent="0.25">
      <c r="C7660" t="s">
        <v>7262</v>
      </c>
      <c r="D7660" t="s">
        <v>13970</v>
      </c>
      <c r="E7660" t="str">
        <f>HYPERLINK("https://patents.google.com/patent/US5581166A/en")</f>
        <v>https://patents.google.com/patent/US5581166A/en</v>
      </c>
    </row>
    <row r="7661" spans="3:5" x14ac:dyDescent="0.25">
      <c r="C7661" t="s">
        <v>13971</v>
      </c>
      <c r="D7661" t="s">
        <v>13972</v>
      </c>
      <c r="E7661" t="str">
        <f>HYPERLINK("https://patents.google.com/patent/US5380978A/en")</f>
        <v>https://patents.google.com/patent/US5380978A/en</v>
      </c>
    </row>
    <row r="7662" spans="3:5" x14ac:dyDescent="0.25">
      <c r="C7662" t="s">
        <v>13973</v>
      </c>
      <c r="D7662" t="s">
        <v>13974</v>
      </c>
      <c r="E7662" t="str">
        <f>HYPERLINK("https://patents.google.com/patent/US7211980B1/en")</f>
        <v>https://patents.google.com/patent/US7211980B1/en</v>
      </c>
    </row>
    <row r="7663" spans="3:5" x14ac:dyDescent="0.25">
      <c r="C7663" t="s">
        <v>13975</v>
      </c>
      <c r="D7663" t="s">
        <v>13976</v>
      </c>
      <c r="E7663" t="str">
        <f>HYPERLINK("https://patents.google.com/patent/US6032075A/en")</f>
        <v>https://patents.google.com/patent/US6032075A/en</v>
      </c>
    </row>
    <row r="7664" spans="3:5" x14ac:dyDescent="0.25">
      <c r="C7664" t="s">
        <v>13977</v>
      </c>
      <c r="D7664" t="s">
        <v>13978</v>
      </c>
      <c r="E7664" t="str">
        <f>HYPERLINK("https://patents.google.com/patent/US5343554A/en")</f>
        <v>https://patents.google.com/patent/US5343554A/en</v>
      </c>
    </row>
    <row r="7665" spans="3:5" x14ac:dyDescent="0.25">
      <c r="C7665" t="s">
        <v>12467</v>
      </c>
      <c r="D7665" t="s">
        <v>13979</v>
      </c>
      <c r="E7665" t="str">
        <f>HYPERLINK("https://patents.google.com/patent/US6668951B2/en")</f>
        <v>https://patents.google.com/patent/US6668951B2/en</v>
      </c>
    </row>
    <row r="7666" spans="3:5" x14ac:dyDescent="0.25">
      <c r="C7666" t="s">
        <v>13980</v>
      </c>
      <c r="D7666" t="s">
        <v>13981</v>
      </c>
      <c r="E7666" t="str">
        <f>HYPERLINK("https://patents.google.com/patent/US6570078B2/en")</f>
        <v>https://patents.google.com/patent/US6570078B2/en</v>
      </c>
    </row>
    <row r="7667" spans="3:5" x14ac:dyDescent="0.25">
      <c r="C7667" t="s">
        <v>7318</v>
      </c>
      <c r="D7667" t="s">
        <v>13982</v>
      </c>
      <c r="E7667" t="str">
        <f>HYPERLINK("https://patents.google.com/patent/US8439926B2/en")</f>
        <v>https://patents.google.com/patent/US8439926B2/en</v>
      </c>
    </row>
    <row r="7668" spans="3:5" x14ac:dyDescent="0.25">
      <c r="C7668" t="s">
        <v>13983</v>
      </c>
      <c r="D7668" t="s">
        <v>13984</v>
      </c>
      <c r="E7668" t="str">
        <f>HYPERLINK("https://patents.google.com/patent/US6353814B1/en")</f>
        <v>https://patents.google.com/patent/US6353814B1/en</v>
      </c>
    </row>
    <row r="7669" spans="3:5" x14ac:dyDescent="0.25">
      <c r="C7669" t="s">
        <v>13985</v>
      </c>
      <c r="D7669" t="s">
        <v>13986</v>
      </c>
      <c r="E7669" t="str">
        <f>HYPERLINK("https://patents.google.com/patent/US6459566B1/en")</f>
        <v>https://patents.google.com/patent/US6459566B1/en</v>
      </c>
    </row>
    <row r="7670" spans="3:5" x14ac:dyDescent="0.25">
      <c r="C7670" t="s">
        <v>13987</v>
      </c>
      <c r="D7670" t="s">
        <v>13988</v>
      </c>
      <c r="E7670" t="str">
        <f>HYPERLINK("https://patents.google.com/patent/US6099600A/en")</f>
        <v>https://patents.google.com/patent/US6099600A/en</v>
      </c>
    </row>
    <row r="7671" spans="3:5" x14ac:dyDescent="0.25">
      <c r="C7671" t="s">
        <v>13989</v>
      </c>
      <c r="D7671" t="s">
        <v>13990</v>
      </c>
      <c r="E7671" t="str">
        <f>HYPERLINK("https://patents.google.com/patent/US7668621B2/en")</f>
        <v>https://patents.google.com/patent/US7668621B2/en</v>
      </c>
    </row>
    <row r="7672" spans="3:5" x14ac:dyDescent="0.25">
      <c r="C7672" t="s">
        <v>13991</v>
      </c>
      <c r="D7672" t="s">
        <v>13992</v>
      </c>
      <c r="E7672" t="str">
        <f>HYPERLINK("https://patents.google.com/patent/US6426716B1/en")</f>
        <v>https://patents.google.com/patent/US6426716B1/en</v>
      </c>
    </row>
    <row r="7673" spans="3:5" x14ac:dyDescent="0.25">
      <c r="C7673" t="s">
        <v>13993</v>
      </c>
      <c r="D7673" t="s">
        <v>13994</v>
      </c>
      <c r="E7673" t="str">
        <f>HYPERLINK("https://patents.google.com/patent/US5213176A/en")</f>
        <v>https://patents.google.com/patent/US5213176A/en</v>
      </c>
    </row>
    <row r="7674" spans="3:5" x14ac:dyDescent="0.25">
      <c r="C7674" t="s">
        <v>13995</v>
      </c>
      <c r="D7674" t="s">
        <v>13996</v>
      </c>
      <c r="E7674" t="str">
        <f>HYPERLINK("https://patents.google.com/patent/US7801644B2/en")</f>
        <v>https://patents.google.com/patent/US7801644B2/en</v>
      </c>
    </row>
    <row r="7675" spans="3:5" x14ac:dyDescent="0.25">
      <c r="C7675" t="s">
        <v>13997</v>
      </c>
      <c r="D7675" t="s">
        <v>13998</v>
      </c>
      <c r="E7675" t="str">
        <f>HYPERLINK("https://patents.google.com/patent/US7974738B2/en")</f>
        <v>https://patents.google.com/patent/US7974738B2/en</v>
      </c>
    </row>
    <row r="7676" spans="3:5" x14ac:dyDescent="0.25">
      <c r="C7676" t="s">
        <v>13985</v>
      </c>
      <c r="D7676" t="s">
        <v>13999</v>
      </c>
      <c r="E7676" t="str">
        <f>HYPERLINK("https://patents.google.com/patent/US6118652A/en")</f>
        <v>https://patents.google.com/patent/US6118652A/en</v>
      </c>
    </row>
    <row r="7677" spans="3:5" x14ac:dyDescent="0.25">
      <c r="C7677" t="s">
        <v>14000</v>
      </c>
      <c r="D7677" t="s">
        <v>14001</v>
      </c>
      <c r="E7677" t="str">
        <f>HYPERLINK("https://patents.google.com/patent/US7947793B2/en")</f>
        <v>https://patents.google.com/patent/US7947793B2/en</v>
      </c>
    </row>
    <row r="7678" spans="3:5" x14ac:dyDescent="0.25">
      <c r="C7678" t="s">
        <v>14002</v>
      </c>
      <c r="D7678" t="s">
        <v>14003</v>
      </c>
      <c r="E7678" t="str">
        <f>HYPERLINK("https://patents.google.com/patent/US6386323B1/en")</f>
        <v>https://patents.google.com/patent/US6386323B1/en</v>
      </c>
    </row>
    <row r="7679" spans="3:5" x14ac:dyDescent="0.25">
      <c r="C7679" t="s">
        <v>14004</v>
      </c>
      <c r="D7679" t="s">
        <v>14005</v>
      </c>
      <c r="E7679" t="str">
        <f>HYPERLINK("https://patents.google.com/patent/US5798627A/en")</f>
        <v>https://patents.google.com/patent/US5798627A/en</v>
      </c>
    </row>
    <row r="7680" spans="3:5" x14ac:dyDescent="0.25">
      <c r="C7680" t="s">
        <v>14006</v>
      </c>
      <c r="D7680" t="s">
        <v>14007</v>
      </c>
      <c r="E7680" t="str">
        <f>HYPERLINK("https://patents.google.com/patent/US8355818B2/en")</f>
        <v>https://patents.google.com/patent/US8355818B2/en</v>
      </c>
    </row>
    <row r="7681" spans="3:5" x14ac:dyDescent="0.25">
      <c r="C7681" t="s">
        <v>14008</v>
      </c>
      <c r="D7681" t="s">
        <v>14009</v>
      </c>
      <c r="E7681" t="str">
        <f>HYPERLINK("https://patents.google.com/patent/US8073564B2/en")</f>
        <v>https://patents.google.com/patent/US8073564B2/en</v>
      </c>
    </row>
    <row r="7682" spans="3:5" x14ac:dyDescent="0.25">
      <c r="C7682" t="s">
        <v>14010</v>
      </c>
      <c r="D7682" t="s">
        <v>14011</v>
      </c>
      <c r="E7682" t="str">
        <f>HYPERLINK("https://patents.google.com/patent/US7584020B2/en")</f>
        <v>https://patents.google.com/patent/US7584020B2/en</v>
      </c>
    </row>
    <row r="7683" spans="3:5" x14ac:dyDescent="0.25">
      <c r="C7683" t="s">
        <v>14012</v>
      </c>
      <c r="D7683" t="s">
        <v>14013</v>
      </c>
      <c r="E7683" t="str">
        <f>HYPERLINK("https://patents.google.com/patent/US7620477B2/en")</f>
        <v>https://patents.google.com/patent/US7620477B2/en</v>
      </c>
    </row>
    <row r="7684" spans="3:5" x14ac:dyDescent="0.25">
      <c r="C7684" t="s">
        <v>14014</v>
      </c>
      <c r="D7684" t="s">
        <v>14015</v>
      </c>
      <c r="E7684" t="str">
        <f>HYPERLINK("https://patents.google.com/patent/US8128500B1/en")</f>
        <v>https://patents.google.com/patent/US8128500B1/en</v>
      </c>
    </row>
    <row r="7685" spans="3:5" x14ac:dyDescent="0.25">
      <c r="C7685" t="s">
        <v>14016</v>
      </c>
      <c r="D7685" t="s">
        <v>14017</v>
      </c>
      <c r="E7685" t="str">
        <f>HYPERLINK("https://patents.google.com/patent/KR101816774B1/en")</f>
        <v>https://patents.google.com/patent/KR101816774B1/en</v>
      </c>
    </row>
    <row r="7686" spans="3:5" x14ac:dyDescent="0.25">
      <c r="C7686" t="s">
        <v>14018</v>
      </c>
      <c r="D7686" t="s">
        <v>14019</v>
      </c>
      <c r="E7686" t="str">
        <f>HYPERLINK("https://patents.google.com/patent/US8055548B2/en")</f>
        <v>https://patents.google.com/patent/US8055548B2/en</v>
      </c>
    </row>
    <row r="7687" spans="3:5" x14ac:dyDescent="0.25">
      <c r="C7687" t="s">
        <v>14020</v>
      </c>
      <c r="D7687" t="s">
        <v>14021</v>
      </c>
      <c r="E7687" t="str">
        <f>HYPERLINK("https://patents.google.com/patent/CN103481956A/en")</f>
        <v>https://patents.google.com/patent/CN103481956A/en</v>
      </c>
    </row>
    <row r="7688" spans="3:5" x14ac:dyDescent="0.25">
      <c r="C7688" t="s">
        <v>13964</v>
      </c>
      <c r="D7688" t="s">
        <v>14022</v>
      </c>
      <c r="E7688" t="str">
        <f>HYPERLINK("https://patents.google.com/patent/US7989543B2/en")</f>
        <v>https://patents.google.com/patent/US7989543B2/en</v>
      </c>
    </row>
    <row r="7689" spans="3:5" x14ac:dyDescent="0.25">
      <c r="C7689" t="s">
        <v>14023</v>
      </c>
      <c r="D7689" t="s">
        <v>14024</v>
      </c>
      <c r="E7689" t="str">
        <f>HYPERLINK("https://patents.google.com/patent/US7631834B1/en")</f>
        <v>https://patents.google.com/patent/US7631834B1/en</v>
      </c>
    </row>
    <row r="7690" spans="3:5" x14ac:dyDescent="0.25">
      <c r="C7690" t="s">
        <v>14025</v>
      </c>
      <c r="D7690" t="s">
        <v>14026</v>
      </c>
      <c r="E7690" t="str">
        <f>HYPERLINK("https://patents.google.com/patent/US8786680B2/en")</f>
        <v>https://patents.google.com/patent/US8786680B2/en</v>
      </c>
    </row>
    <row r="7691" spans="3:5" x14ac:dyDescent="0.25">
      <c r="C7691" t="s">
        <v>14027</v>
      </c>
      <c r="D7691" t="s">
        <v>14028</v>
      </c>
      <c r="E7691" t="str">
        <f>HYPERLINK("https://patents.google.com/patent/US7309829B1/en")</f>
        <v>https://patents.google.com/patent/US7309829B1/en</v>
      </c>
    </row>
    <row r="7692" spans="3:5" x14ac:dyDescent="0.25">
      <c r="C7692" t="s">
        <v>14029</v>
      </c>
      <c r="D7692" t="s">
        <v>14030</v>
      </c>
      <c r="E7692" t="str">
        <f>HYPERLINK("https://patents.google.com/patent/US7554787B2/en")</f>
        <v>https://patents.google.com/patent/US7554787B2/en</v>
      </c>
    </row>
    <row r="7693" spans="3:5" x14ac:dyDescent="0.25">
      <c r="C7693" t="s">
        <v>14031</v>
      </c>
      <c r="D7693" t="s">
        <v>14032</v>
      </c>
      <c r="E7693" t="str">
        <f>HYPERLINK("https://patents.google.com/patent/US8670889B2/en")</f>
        <v>https://patents.google.com/patent/US8670889B2/en</v>
      </c>
    </row>
    <row r="7694" spans="3:5" x14ac:dyDescent="0.25">
      <c r="C7694" t="s">
        <v>14016</v>
      </c>
      <c r="D7694" t="s">
        <v>14033</v>
      </c>
      <c r="E7694" t="str">
        <f>HYPERLINK("https://patents.google.com/patent/KR101815989B1/en")</f>
        <v>https://patents.google.com/patent/KR101815989B1/en</v>
      </c>
    </row>
    <row r="7695" spans="3:5" x14ac:dyDescent="0.25">
      <c r="C7695" t="s">
        <v>14034</v>
      </c>
      <c r="D7695" t="s">
        <v>14035</v>
      </c>
      <c r="E7695" t="str">
        <f>HYPERLINK("https://patents.google.com/patent/US7551419B2/en")</f>
        <v>https://patents.google.com/patent/US7551419B2/en</v>
      </c>
    </row>
    <row r="7696" spans="3:5" x14ac:dyDescent="0.25">
      <c r="C7696" t="s">
        <v>14036</v>
      </c>
      <c r="D7696" t="s">
        <v>14037</v>
      </c>
      <c r="E7696" t="str">
        <f>HYPERLINK("https://patents.google.com/patent/US20040143852A1/en")</f>
        <v>https://patents.google.com/patent/US20040143852A1/en</v>
      </c>
    </row>
    <row r="7697" spans="3:5" x14ac:dyDescent="0.25">
      <c r="C7697" t="s">
        <v>14038</v>
      </c>
      <c r="D7697" t="s">
        <v>14039</v>
      </c>
      <c r="E7697" t="str">
        <f>HYPERLINK("https://patents.google.com/patent/US20060180647A1/en")</f>
        <v>https://patents.google.com/patent/US20060180647A1/en</v>
      </c>
    </row>
    <row r="7698" spans="3:5" x14ac:dyDescent="0.25">
      <c r="C7698" t="s">
        <v>14040</v>
      </c>
      <c r="D7698" t="s">
        <v>14041</v>
      </c>
      <c r="E7698" t="str">
        <f>HYPERLINK("https://patents.google.com/patent/US20080027591A1/en")</f>
        <v>https://patents.google.com/patent/US20080027591A1/en</v>
      </c>
    </row>
    <row r="7699" spans="3:5" x14ac:dyDescent="0.25">
      <c r="C7699" t="s">
        <v>14042</v>
      </c>
      <c r="D7699" t="s">
        <v>14043</v>
      </c>
      <c r="E7699" t="str">
        <f>HYPERLINK("https://patents.google.com/patent/US20120206050A1/en")</f>
        <v>https://patents.google.com/patent/US20120206050A1/en</v>
      </c>
    </row>
    <row r="7700" spans="3:5" x14ac:dyDescent="0.25">
      <c r="C7700" t="s">
        <v>14044</v>
      </c>
      <c r="D7700" t="s">
        <v>14045</v>
      </c>
      <c r="E7700" t="str">
        <f>HYPERLINK("https://patents.google.com/patent/US20090234499A1/en")</f>
        <v>https://patents.google.com/patent/US20090234499A1/en</v>
      </c>
    </row>
    <row r="7701" spans="3:5" x14ac:dyDescent="0.25">
      <c r="C7701" t="s">
        <v>14046</v>
      </c>
      <c r="D7701" t="s">
        <v>14047</v>
      </c>
      <c r="E7701" t="str">
        <f>HYPERLINK("https://patents.google.com/patent/US20070295390A1/en")</f>
        <v>https://patents.google.com/patent/US20070295390A1/en</v>
      </c>
    </row>
    <row r="7702" spans="3:5" x14ac:dyDescent="0.25">
      <c r="C7702" t="s">
        <v>13966</v>
      </c>
      <c r="D7702" t="s">
        <v>14048</v>
      </c>
      <c r="E7702" t="str">
        <f>HYPERLINK("https://patents.google.com/patent/US20080062151A1/en")</f>
        <v>https://patents.google.com/patent/US20080062151A1/en</v>
      </c>
    </row>
    <row r="7703" spans="3:5" x14ac:dyDescent="0.25">
      <c r="C7703" t="s">
        <v>14049</v>
      </c>
      <c r="D7703" t="s">
        <v>14050</v>
      </c>
      <c r="E7703" t="str">
        <f>HYPERLINK("https://patents.google.com/patent/US20100117993A1/en")</f>
        <v>https://patents.google.com/patent/US20100117993A1/en</v>
      </c>
    </row>
    <row r="7704" spans="3:5" x14ac:dyDescent="0.25">
      <c r="C7704" t="s">
        <v>14051</v>
      </c>
      <c r="D7704" t="s">
        <v>14052</v>
      </c>
      <c r="E7704" t="str">
        <f>HYPERLINK("https://patents.google.com/patent/US20060088666A1/en")</f>
        <v>https://patents.google.com/patent/US20060088666A1/en</v>
      </c>
    </row>
    <row r="7705" spans="3:5" x14ac:dyDescent="0.25">
      <c r="C7705" t="s">
        <v>14053</v>
      </c>
      <c r="D7705" t="s">
        <v>14054</v>
      </c>
      <c r="E7705" t="str">
        <f>HYPERLINK("https://patents.google.com/patent/US20090267895A1/en")</f>
        <v>https://patents.google.com/patent/US20090267895A1/en</v>
      </c>
    </row>
    <row r="7706" spans="3:5" x14ac:dyDescent="0.25">
      <c r="C7706" t="s">
        <v>14055</v>
      </c>
      <c r="D7706" t="s">
        <v>14056</v>
      </c>
      <c r="E7706" t="str">
        <f>HYPERLINK("https://patents.google.com/patent/US20050120870A1/en")</f>
        <v>https://patents.google.com/patent/US20050120870A1/en</v>
      </c>
    </row>
    <row r="7707" spans="3:5" x14ac:dyDescent="0.25">
      <c r="C7707" t="s">
        <v>14057</v>
      </c>
      <c r="D7707" t="s">
        <v>14058</v>
      </c>
      <c r="E7707" t="str">
        <f>HYPERLINK("https://patents.google.com/patent/US20100308999A1/en")</f>
        <v>https://patents.google.com/patent/US20100308999A1/en</v>
      </c>
    </row>
    <row r="7708" spans="3:5" x14ac:dyDescent="0.25">
      <c r="C7708" t="s">
        <v>14059</v>
      </c>
      <c r="D7708" t="s">
        <v>14060</v>
      </c>
      <c r="E7708" t="str">
        <f>HYPERLINK("https://patents.google.com/patent/US20150073907A1/en")</f>
        <v>https://patents.google.com/patent/US20150073907A1/en</v>
      </c>
    </row>
    <row r="7709" spans="3:5" x14ac:dyDescent="0.25">
      <c r="C7709" t="s">
        <v>14061</v>
      </c>
      <c r="D7709" t="s">
        <v>14062</v>
      </c>
      <c r="E7709" t="str">
        <f>HYPERLINK("https://patents.google.com/patent/US20070295388A1/en")</f>
        <v>https://patents.google.com/patent/US20070295388A1/en</v>
      </c>
    </row>
    <row r="7710" spans="3:5" x14ac:dyDescent="0.25">
      <c r="C7710" t="s">
        <v>14063</v>
      </c>
      <c r="D7710" t="s">
        <v>14064</v>
      </c>
      <c r="E7710" t="str">
        <f>HYPERLINK("https://patents.google.com/patent/US20040004559A1/en")</f>
        <v>https://patents.google.com/patent/US20040004559A1/en</v>
      </c>
    </row>
    <row r="7711" spans="3:5" x14ac:dyDescent="0.25">
      <c r="C7711" t="s">
        <v>14046</v>
      </c>
      <c r="D7711" t="s">
        <v>14065</v>
      </c>
      <c r="E7711" t="str">
        <f>HYPERLINK("https://patents.google.com/patent/US20070295385A1/en")</f>
        <v>https://patents.google.com/patent/US20070295385A1/en</v>
      </c>
    </row>
    <row r="7712" spans="3:5" x14ac:dyDescent="0.25">
      <c r="C7712" t="s">
        <v>14066</v>
      </c>
      <c r="D7712" t="s">
        <v>14067</v>
      </c>
      <c r="E7712" t="str">
        <f>HYPERLINK("https://patents.google.com/patent/US20050278888A1/en")</f>
        <v>https://patents.google.com/patent/US20050278888A1/en</v>
      </c>
    </row>
    <row r="7713" spans="3:5" x14ac:dyDescent="0.25">
      <c r="C7713" t="s">
        <v>14068</v>
      </c>
      <c r="D7713" t="s">
        <v>14069</v>
      </c>
      <c r="E7713" t="str">
        <f>HYPERLINK("https://patents.google.com/patent/US20120152877A1/en")</f>
        <v>https://patents.google.com/patent/US20120152877A1/en</v>
      </c>
    </row>
    <row r="7714" spans="3:5" x14ac:dyDescent="0.25">
      <c r="C7714" t="s">
        <v>14070</v>
      </c>
      <c r="D7714" t="s">
        <v>14071</v>
      </c>
      <c r="E7714" t="str">
        <f>HYPERLINK("https://patents.google.com/patent/US20120004770A1/en")</f>
        <v>https://patents.google.com/patent/US20120004770A1/en</v>
      </c>
    </row>
    <row r="7715" spans="3:5" x14ac:dyDescent="0.25">
      <c r="C7715" t="s">
        <v>14072</v>
      </c>
      <c r="D7715" t="s">
        <v>14073</v>
      </c>
      <c r="E7715" t="str">
        <f>HYPERLINK("https://patents.google.com/patent/US20060277074A1/en")</f>
        <v>https://patents.google.com/patent/US20060277074A1/en</v>
      </c>
    </row>
    <row r="7716" spans="3:5" x14ac:dyDescent="0.25">
      <c r="C7716" t="s">
        <v>14074</v>
      </c>
      <c r="D7716" t="s">
        <v>14075</v>
      </c>
      <c r="E7716" t="str">
        <f>HYPERLINK("https://patents.google.com/patent/US20120095619A1/en")</f>
        <v>https://patents.google.com/patent/US20120095619A1/en</v>
      </c>
    </row>
    <row r="7717" spans="3:5" x14ac:dyDescent="0.25">
      <c r="C7717" t="s">
        <v>14076</v>
      </c>
      <c r="D7717" t="s">
        <v>14077</v>
      </c>
      <c r="E7717" t="str">
        <f>HYPERLINK("https://patents.google.com/patent/US20150055085A1/en")</f>
        <v>https://patents.google.com/patent/US20150055085A1/en</v>
      </c>
    </row>
    <row r="7718" spans="3:5" x14ac:dyDescent="0.25">
      <c r="C7718" t="s">
        <v>14078</v>
      </c>
      <c r="D7718" t="s">
        <v>14079</v>
      </c>
      <c r="E7718" t="str">
        <f>HYPERLINK("https://patents.google.com/patent/US20060216137A1/en")</f>
        <v>https://patents.google.com/patent/US20060216137A1/en</v>
      </c>
    </row>
    <row r="7719" spans="3:5" x14ac:dyDescent="0.25">
      <c r="C7719" t="s">
        <v>14080</v>
      </c>
      <c r="D7719" t="s">
        <v>14081</v>
      </c>
      <c r="E7719" t="str">
        <f>HYPERLINK("https://patents.google.com/patent/CN104890761A/en")</f>
        <v>https://patents.google.com/patent/CN104890761A/en</v>
      </c>
    </row>
    <row r="7720" spans="3:5" x14ac:dyDescent="0.25">
      <c r="C7720" t="s">
        <v>14082</v>
      </c>
      <c r="D7720" t="s">
        <v>14083</v>
      </c>
      <c r="E7720" t="str">
        <f>HYPERLINK("https://patents.google.com/patent/CN107984480A/en")</f>
        <v>https://patents.google.com/patent/CN107984480A/en</v>
      </c>
    </row>
    <row r="7721" spans="3:5" x14ac:dyDescent="0.25">
      <c r="C7721" t="s">
        <v>14084</v>
      </c>
      <c r="D7721" t="s">
        <v>14085</v>
      </c>
      <c r="E7721" t="str">
        <f>HYPERLINK("https://patents.google.com/patent/US8895311B1/en")</f>
        <v>https://patents.google.com/patent/US8895311B1/en</v>
      </c>
    </row>
    <row r="7722" spans="3:5" x14ac:dyDescent="0.25">
      <c r="C7722" t="s">
        <v>14086</v>
      </c>
      <c r="D7722" t="s">
        <v>14087</v>
      </c>
      <c r="E7722" t="str">
        <f>HYPERLINK("https://patents.google.com/patent/CN108453738A/en")</f>
        <v>https://patents.google.com/patent/CN108453738A/en</v>
      </c>
    </row>
    <row r="7723" spans="3:5" x14ac:dyDescent="0.25">
      <c r="C7723" t="s">
        <v>14088</v>
      </c>
      <c r="D7723" t="s">
        <v>14089</v>
      </c>
      <c r="E7723" t="str">
        <f>HYPERLINK("https://patents.google.com/patent/US20060251795A1/en")</f>
        <v>https://patents.google.com/patent/US20060251795A1/en</v>
      </c>
    </row>
    <row r="7724" spans="3:5" x14ac:dyDescent="0.25">
      <c r="C7724" t="s">
        <v>14090</v>
      </c>
      <c r="D7724" t="s">
        <v>14091</v>
      </c>
      <c r="E7724" t="str">
        <f>HYPERLINK("https://patents.google.com/patent/US20090119981A1/en")</f>
        <v>https://patents.google.com/patent/US20090119981A1/en</v>
      </c>
    </row>
    <row r="7725" spans="3:5" x14ac:dyDescent="0.25">
      <c r="C7725" t="s">
        <v>14092</v>
      </c>
      <c r="D7725" t="s">
        <v>14093</v>
      </c>
      <c r="E7725" t="str">
        <f>HYPERLINK("https://patents.google.com/patent/US20070295389A1/en")</f>
        <v>https://patents.google.com/patent/US20070295389A1/en</v>
      </c>
    </row>
    <row r="7726" spans="3:5" x14ac:dyDescent="0.25">
      <c r="C7726" t="s">
        <v>14094</v>
      </c>
      <c r="D7726" t="s">
        <v>14095</v>
      </c>
      <c r="E7726" t="str">
        <f>HYPERLINK("https://patents.google.com/patent/CN108425310A/en")</f>
        <v>https://patents.google.com/patent/CN108425310A/en</v>
      </c>
    </row>
    <row r="7727" spans="3:5" x14ac:dyDescent="0.25">
      <c r="C7727" t="s">
        <v>14096</v>
      </c>
      <c r="D7727" t="s">
        <v>14097</v>
      </c>
      <c r="E7727" t="str">
        <f>HYPERLINK("https://patents.google.com/patent/US2457393A/en")</f>
        <v>https://patents.google.com/patent/US2457393A/en</v>
      </c>
    </row>
    <row r="7728" spans="3:5" x14ac:dyDescent="0.25">
      <c r="C7728" t="s">
        <v>14098</v>
      </c>
      <c r="D7728" t="s">
        <v>14099</v>
      </c>
      <c r="E7728" t="str">
        <f>HYPERLINK("https://patents.google.com/patent/US7903168B2/en")</f>
        <v>https://patents.google.com/patent/US7903168B2/en</v>
      </c>
    </row>
    <row r="7729" spans="3:5" x14ac:dyDescent="0.25">
      <c r="C7729" t="s">
        <v>14100</v>
      </c>
      <c r="D7729" t="s">
        <v>14101</v>
      </c>
      <c r="E7729" t="str">
        <f>HYPERLINK("https://patents.google.com/patent/CN204871279U/en")</f>
        <v>https://patents.google.com/patent/CN204871279U/en</v>
      </c>
    </row>
    <row r="7730" spans="3:5" x14ac:dyDescent="0.25">
      <c r="C7730" t="s">
        <v>14102</v>
      </c>
      <c r="D7730" t="s">
        <v>14103</v>
      </c>
      <c r="E7730" t="str">
        <f>HYPERLINK("https://patents.google.com/patent/US20120239191A1/en")</f>
        <v>https://patents.google.com/patent/US20120239191A1/en</v>
      </c>
    </row>
    <row r="7731" spans="3:5" x14ac:dyDescent="0.25">
      <c r="C7731" t="s">
        <v>7399</v>
      </c>
      <c r="D7731" t="s">
        <v>14104</v>
      </c>
      <c r="E7731" t="str">
        <f>HYPERLINK("https://patents.google.com/patent/US5313854A/en")</f>
        <v>https://patents.google.com/patent/US5313854A/en</v>
      </c>
    </row>
    <row r="7732" spans="3:5" x14ac:dyDescent="0.25">
      <c r="C7732" t="s">
        <v>14105</v>
      </c>
      <c r="D7732" t="s">
        <v>14106</v>
      </c>
      <c r="E7732" t="str">
        <f>HYPERLINK("https://patents.google.com/patent/US20100297798A1/en")</f>
        <v>https://patents.google.com/patent/US20100297798A1/en</v>
      </c>
    </row>
    <row r="7733" spans="3:5" x14ac:dyDescent="0.25">
      <c r="C7733" t="s">
        <v>14107</v>
      </c>
      <c r="D7733" t="s">
        <v>14108</v>
      </c>
      <c r="E7733" t="str">
        <f>HYPERLINK("https://patents.google.com/patent/US20070213143A1/en")</f>
        <v>https://patents.google.com/patent/US20070213143A1/en</v>
      </c>
    </row>
    <row r="7734" spans="3:5" x14ac:dyDescent="0.25">
      <c r="C7734" t="s">
        <v>14109</v>
      </c>
      <c r="D7734" t="s">
        <v>14110</v>
      </c>
      <c r="E7734" t="str">
        <f>HYPERLINK("https://patents.google.com/patent/US20160340006A1/en")</f>
        <v>https://patents.google.com/patent/US20160340006A1/en</v>
      </c>
    </row>
    <row r="7735" spans="3:5" x14ac:dyDescent="0.25">
      <c r="C7735" t="s">
        <v>14111</v>
      </c>
      <c r="D7735" t="s">
        <v>14112</v>
      </c>
      <c r="E7735" t="str">
        <f>HYPERLINK("https://patents.google.com/patent/US20110261202A1/en")</f>
        <v>https://patents.google.com/patent/US20110261202A1/en</v>
      </c>
    </row>
    <row r="7736" spans="3:5" x14ac:dyDescent="0.25">
      <c r="C7736" t="s">
        <v>14061</v>
      </c>
      <c r="D7736" t="s">
        <v>14113</v>
      </c>
      <c r="E7736" t="str">
        <f>HYPERLINK("https://patents.google.com/patent/US20070295387A1/en")</f>
        <v>https://patents.google.com/patent/US20070295387A1/en</v>
      </c>
    </row>
    <row r="7737" spans="3:5" x14ac:dyDescent="0.25">
      <c r="C7737" t="s">
        <v>14114</v>
      </c>
      <c r="D7737" t="s">
        <v>14115</v>
      </c>
      <c r="E7737" t="str">
        <f>HYPERLINK("https://patents.google.com/patent/US20150036138A1/en")</f>
        <v>https://patents.google.com/patent/US20150036138A1/en</v>
      </c>
    </row>
    <row r="7738" spans="3:5" x14ac:dyDescent="0.25">
      <c r="C7738" t="s">
        <v>14116</v>
      </c>
      <c r="D7738" t="s">
        <v>14117</v>
      </c>
      <c r="E7738" t="str">
        <f>HYPERLINK("https://patents.google.com/patent/US6084367A/en")</f>
        <v>https://patents.google.com/patent/US6084367A/en</v>
      </c>
    </row>
    <row r="7739" spans="3:5" x14ac:dyDescent="0.25">
      <c r="C7739" t="s">
        <v>13335</v>
      </c>
      <c r="D7739" t="s">
        <v>14118</v>
      </c>
      <c r="E7739" t="str">
        <f>HYPERLINK("https://patents.google.com/patent/US20050164725A1/en")</f>
        <v>https://patents.google.com/patent/US20050164725A1/en</v>
      </c>
    </row>
    <row r="7740" spans="3:5" x14ac:dyDescent="0.25">
      <c r="C7740" t="s">
        <v>14119</v>
      </c>
      <c r="D7740" t="s">
        <v>14120</v>
      </c>
      <c r="E7740" t="str">
        <f>HYPERLINK("https://patents.google.com/patent/US20030107585A1/en")</f>
        <v>https://patents.google.com/patent/US20030107585A1/en</v>
      </c>
    </row>
    <row r="7741" spans="3:5" x14ac:dyDescent="0.25">
      <c r="C7741" t="s">
        <v>14121</v>
      </c>
      <c r="D7741" t="s">
        <v>14122</v>
      </c>
      <c r="E7741" t="str">
        <f>HYPERLINK("https://patents.google.com/patent/US20090281676A1/en")</f>
        <v>https://patents.google.com/patent/US20090281676A1/en</v>
      </c>
    </row>
    <row r="7742" spans="3:5" x14ac:dyDescent="0.25">
      <c r="C7742" t="s">
        <v>14123</v>
      </c>
      <c r="D7742" t="s">
        <v>14124</v>
      </c>
      <c r="E7742" t="str">
        <f>HYPERLINK("https://patents.google.com/patent/US6462498B1/en")</f>
        <v>https://patents.google.com/patent/US6462498B1/en</v>
      </c>
    </row>
    <row r="7743" spans="3:5" x14ac:dyDescent="0.25">
      <c r="C7743" t="s">
        <v>14125</v>
      </c>
      <c r="D7743" t="s">
        <v>14126</v>
      </c>
      <c r="E7743" t="str">
        <f>HYPERLINK("https://patents.google.com/patent/US20150347114A1/en")</f>
        <v>https://patents.google.com/patent/US20150347114A1/en</v>
      </c>
    </row>
    <row r="7744" spans="3:5" x14ac:dyDescent="0.25">
      <c r="C7744" t="s">
        <v>14127</v>
      </c>
      <c r="D7744" t="s">
        <v>14128</v>
      </c>
      <c r="E7744" t="str">
        <f>HYPERLINK("https://patents.google.com/patent/US20100070456A1/en")</f>
        <v>https://patents.google.com/patent/US20100070456A1/en</v>
      </c>
    </row>
    <row r="7745" spans="3:5" x14ac:dyDescent="0.25">
      <c r="C7745" t="s">
        <v>7318</v>
      </c>
      <c r="D7745" t="s">
        <v>14129</v>
      </c>
      <c r="E7745" t="str">
        <f>HYPERLINK("https://patents.google.com/patent/WO2009111639A1/en")</f>
        <v>https://patents.google.com/patent/WO2009111639A1/en</v>
      </c>
    </row>
    <row r="7746" spans="3:5" x14ac:dyDescent="0.25">
      <c r="C7746" t="s">
        <v>7468</v>
      </c>
      <c r="D7746" t="s">
        <v>14130</v>
      </c>
      <c r="E7746" t="str">
        <f>HYPERLINK("https://patents.google.com/patent/US20140012787A1/en")</f>
        <v>https://patents.google.com/patent/US20140012787A1/en</v>
      </c>
    </row>
    <row r="7747" spans="3:5" x14ac:dyDescent="0.25">
      <c r="C7747" t="s">
        <v>14131</v>
      </c>
      <c r="D7747" t="s">
        <v>14132</v>
      </c>
      <c r="E7747" t="str">
        <f>HYPERLINK("https://patents.google.com/patent/WO2001032366A1/en")</f>
        <v>https://patents.google.com/patent/WO2001032366A1/en</v>
      </c>
    </row>
    <row r="7748" spans="3:5" x14ac:dyDescent="0.25">
      <c r="C7748" t="s">
        <v>14133</v>
      </c>
      <c r="D7748" t="s">
        <v>14134</v>
      </c>
      <c r="E7748" t="str">
        <f>HYPERLINK("https://patents.google.com/patent/CN108426169A/en")</f>
        <v>https://patents.google.com/patent/CN108426169A/en</v>
      </c>
    </row>
    <row r="7749" spans="3:5" x14ac:dyDescent="0.25">
      <c r="C7749" t="s">
        <v>14135</v>
      </c>
      <c r="D7749" t="s">
        <v>14136</v>
      </c>
      <c r="E7749" t="str">
        <f>HYPERLINK("https://patents.google.com/patent/US20120249302A1/en")</f>
        <v>https://patents.google.com/patent/US20120249302A1/en</v>
      </c>
    </row>
    <row r="7750" spans="3:5" x14ac:dyDescent="0.25">
      <c r="C7750" t="s">
        <v>12794</v>
      </c>
      <c r="D7750" t="s">
        <v>14137</v>
      </c>
      <c r="E7750" t="str">
        <f>HYPERLINK("https://patents.google.com/patent/US20120163981A1/en")</f>
        <v>https://patents.google.com/patent/US20120163981A1/en</v>
      </c>
    </row>
    <row r="7751" spans="3:5" x14ac:dyDescent="0.25">
      <c r="C7751" t="s">
        <v>5967</v>
      </c>
      <c r="D7751" t="s">
        <v>14138</v>
      </c>
      <c r="E7751" t="str">
        <f>HYPERLINK("https://patents.google.com/patent/US20040089090A1/en")</f>
        <v>https://patents.google.com/patent/US20040089090A1/en</v>
      </c>
    </row>
    <row r="7752" spans="3:5" x14ac:dyDescent="0.25">
      <c r="C7752" t="s">
        <v>13966</v>
      </c>
      <c r="D7752" t="s">
        <v>14139</v>
      </c>
      <c r="E7752" t="str">
        <f>HYPERLINK("https://patents.google.com/patent/WO1998007127A1/en")</f>
        <v>https://patents.google.com/patent/WO1998007127A1/en</v>
      </c>
    </row>
    <row r="7753" spans="3:5" x14ac:dyDescent="0.25">
      <c r="C7753" t="s">
        <v>14140</v>
      </c>
      <c r="D7753" t="s">
        <v>14141</v>
      </c>
      <c r="E7753" t="str">
        <f>HYPERLINK("https://patents.google.com/patent/CN102424112A/en")</f>
        <v>https://patents.google.com/patent/CN102424112A/en</v>
      </c>
    </row>
    <row r="7754" spans="3:5" x14ac:dyDescent="0.25">
      <c r="C7754" t="s">
        <v>14142</v>
      </c>
      <c r="D7754" t="s">
        <v>14143</v>
      </c>
      <c r="E7754" t="str">
        <f>HYPERLINK("https://patents.google.com/patent/US20090126825A1/en")</f>
        <v>https://patents.google.com/patent/US20090126825A1/en</v>
      </c>
    </row>
    <row r="7755" spans="3:5" x14ac:dyDescent="0.25">
      <c r="C7755" t="s">
        <v>14144</v>
      </c>
      <c r="D7755" t="s">
        <v>14145</v>
      </c>
      <c r="E7755" t="str">
        <f>HYPERLINK("https://patents.google.com/patent/JP2007520309A/en")</f>
        <v>https://patents.google.com/patent/JP2007520309A/en</v>
      </c>
    </row>
    <row r="7756" spans="3:5" x14ac:dyDescent="0.25">
      <c r="C7756" t="s">
        <v>14146</v>
      </c>
      <c r="D7756" t="s">
        <v>14147</v>
      </c>
      <c r="E7756" t="str">
        <f>HYPERLINK("https://patents.google.com/patent/WO1999008762A1/en")</f>
        <v>https://patents.google.com/patent/WO1999008762A1/en</v>
      </c>
    </row>
    <row r="7757" spans="3:5" x14ac:dyDescent="0.25">
      <c r="C7757" t="s">
        <v>14148</v>
      </c>
      <c r="D7757" t="s">
        <v>14149</v>
      </c>
      <c r="E7757" t="str">
        <f>HYPERLINK("https://patents.google.com/patent/US20160107309A1/en")</f>
        <v>https://patents.google.com/patent/US20160107309A1/en</v>
      </c>
    </row>
    <row r="7758" spans="3:5" x14ac:dyDescent="0.25">
      <c r="C7758" t="s">
        <v>14150</v>
      </c>
      <c r="D7758" t="s">
        <v>14151</v>
      </c>
      <c r="E7758" t="str">
        <f>HYPERLINK("https://patents.google.com/patent/WO2004019295A1/en")</f>
        <v>https://patents.google.com/patent/WO2004019295A1/en</v>
      </c>
    </row>
    <row r="7759" spans="3:5" x14ac:dyDescent="0.25">
      <c r="C7759" t="s">
        <v>14152</v>
      </c>
      <c r="D7759" t="s">
        <v>14153</v>
      </c>
      <c r="E7759" t="str">
        <f>HYPERLINK("https://patents.google.com/patent/CN101918090A/en")</f>
        <v>https://patents.google.com/patent/CN101918090A/en</v>
      </c>
    </row>
    <row r="7760" spans="3:5" x14ac:dyDescent="0.25">
      <c r="C7760" t="s">
        <v>14154</v>
      </c>
      <c r="D7760" t="s">
        <v>14155</v>
      </c>
      <c r="E7760" t="str">
        <f>HYPERLINK("https://patents.google.com/patent/WO2009097565A1/en")</f>
        <v>https://patents.google.com/patent/WO2009097565A1/en</v>
      </c>
    </row>
    <row r="7761" spans="3:5" x14ac:dyDescent="0.25">
      <c r="C7761" t="s">
        <v>14057</v>
      </c>
      <c r="D7761" t="s">
        <v>14156</v>
      </c>
      <c r="E7761" t="str">
        <f>HYPERLINK("https://patents.google.com/patent/WO2008127316A1/en")</f>
        <v>https://patents.google.com/patent/WO2008127316A1/en</v>
      </c>
    </row>
    <row r="7762" spans="3:5" x14ac:dyDescent="0.25">
      <c r="C7762" t="s">
        <v>14157</v>
      </c>
      <c r="D7762" t="s">
        <v>14158</v>
      </c>
      <c r="E7762" t="str">
        <f>HYPERLINK("https://patents.google.com/patent/WO2007138598A2/en")</f>
        <v>https://patents.google.com/patent/WO2007138598A2/en</v>
      </c>
    </row>
    <row r="7763" spans="3:5" x14ac:dyDescent="0.25">
      <c r="C7763" t="s">
        <v>14159</v>
      </c>
      <c r="D7763" t="s">
        <v>14160</v>
      </c>
      <c r="E7763" t="str">
        <f>HYPERLINK("https://patents.google.com/patent/CN101844586A/en")</f>
        <v>https://patents.google.com/patent/CN101844586A/en</v>
      </c>
    </row>
    <row r="7764" spans="3:5" x14ac:dyDescent="0.25">
      <c r="C7764" t="s">
        <v>14161</v>
      </c>
      <c r="D7764" t="s">
        <v>14162</v>
      </c>
      <c r="E7764" t="str">
        <f>HYPERLINK("https://patents.google.com/patent/US20100199972A1/en")</f>
        <v>https://patents.google.com/patent/US20100199972A1/en</v>
      </c>
    </row>
    <row r="7765" spans="3:5" x14ac:dyDescent="0.25">
      <c r="C7765" t="s">
        <v>14163</v>
      </c>
      <c r="D7765" t="s">
        <v>14164</v>
      </c>
      <c r="E7765" t="str">
        <f>HYPERLINK("https://patents.google.com/patent/JP2004307976A/en")</f>
        <v>https://patents.google.com/patent/JP2004307976A/en</v>
      </c>
    </row>
    <row r="7766" spans="3:5" x14ac:dyDescent="0.25">
      <c r="C7766" t="s">
        <v>14165</v>
      </c>
      <c r="D7766" t="s">
        <v>14166</v>
      </c>
      <c r="E7766" t="str">
        <f>HYPERLINK("https://patents.google.com/patent/US20110297396A1/en")</f>
        <v>https://patents.google.com/patent/US20110297396A1/en</v>
      </c>
    </row>
    <row r="7767" spans="3:5" x14ac:dyDescent="0.25">
      <c r="C7767" t="s">
        <v>14167</v>
      </c>
      <c r="D7767" t="s">
        <v>14168</v>
      </c>
      <c r="E7767" t="str">
        <f>HYPERLINK("https://patents.google.com/patent/KR100716597B1/en")</f>
        <v>https://patents.google.com/patent/KR100716597B1/en</v>
      </c>
    </row>
    <row r="7768" spans="3:5" x14ac:dyDescent="0.25">
      <c r="C7768" t="s">
        <v>14169</v>
      </c>
      <c r="D7768" t="s">
        <v>14170</v>
      </c>
      <c r="E7768" t="str">
        <f>HYPERLINK("https://patents.google.com/patent/JP2007279069A/en")</f>
        <v>https://patents.google.com/patent/JP2007279069A/en</v>
      </c>
    </row>
    <row r="7769" spans="3:5" x14ac:dyDescent="0.25">
      <c r="C7769" t="s">
        <v>14171</v>
      </c>
      <c r="D7769" t="s">
        <v>14172</v>
      </c>
      <c r="E7769" t="str">
        <f>HYPERLINK("https://patents.google.com/patent/WO2009029476A1/en")</f>
        <v>https://patents.google.com/patent/WO2009029476A1/en</v>
      </c>
    </row>
    <row r="7770" spans="3:5" x14ac:dyDescent="0.25">
      <c r="C7770" t="s">
        <v>14173</v>
      </c>
      <c r="D7770" t="s">
        <v>14174</v>
      </c>
      <c r="E7770" t="str">
        <f>HYPERLINK("https://patents.google.com/patent/US6012877A/en")</f>
        <v>https://patents.google.com/patent/US6012877A/en</v>
      </c>
    </row>
    <row r="7771" spans="3:5" x14ac:dyDescent="0.25">
      <c r="C7771" t="s">
        <v>14135</v>
      </c>
      <c r="D7771" t="s">
        <v>14175</v>
      </c>
      <c r="E7771" t="str">
        <f>HYPERLINK("https://patents.google.com/patent/US20130206837A1/en")</f>
        <v>https://patents.google.com/patent/US20130206837A1/en</v>
      </c>
    </row>
    <row r="7772" spans="3:5" x14ac:dyDescent="0.25">
      <c r="C7772" t="s">
        <v>14176</v>
      </c>
      <c r="D7772" t="s">
        <v>14177</v>
      </c>
      <c r="E7772" t="str">
        <f>HYPERLINK("https://patents.google.com/patent/WO2013177163A1/en")</f>
        <v>https://patents.google.com/patent/WO2013177163A1/en</v>
      </c>
    </row>
    <row r="7773" spans="3:5" x14ac:dyDescent="0.25">
      <c r="C7773" t="s">
        <v>14178</v>
      </c>
      <c r="D7773" t="s">
        <v>14179</v>
      </c>
      <c r="E7773" t="str">
        <f>HYPERLINK("https://patents.google.com/patent/EP0359773B2/en")</f>
        <v>https://patents.google.com/patent/EP0359773B2/en</v>
      </c>
    </row>
    <row r="7774" spans="3:5" x14ac:dyDescent="0.25">
      <c r="C7774" t="s">
        <v>14180</v>
      </c>
      <c r="D7774" t="s">
        <v>14181</v>
      </c>
      <c r="E7774" t="str">
        <f>HYPERLINK("https://patents.google.com/patent/US8039739B1/en")</f>
        <v>https://patents.google.com/patent/US8039739B1/en</v>
      </c>
    </row>
    <row r="7775" spans="3:5" x14ac:dyDescent="0.25">
      <c r="C7775" t="s">
        <v>6442</v>
      </c>
      <c r="D7775" t="s">
        <v>14182</v>
      </c>
      <c r="E7775" t="str">
        <f>HYPERLINK("https://patents.google.com/patent/WO2006063314A2/en")</f>
        <v>https://patents.google.com/patent/WO2006063314A2/en</v>
      </c>
    </row>
    <row r="7776" spans="3:5" x14ac:dyDescent="0.25">
      <c r="C7776" t="s">
        <v>14092</v>
      </c>
      <c r="D7776" t="s">
        <v>14183</v>
      </c>
      <c r="E7776" t="str">
        <f>HYPERLINK("https://patents.google.com/patent/US20070295386A1/en")</f>
        <v>https://patents.google.com/patent/US20070295386A1/en</v>
      </c>
    </row>
    <row r="7777" spans="3:5" x14ac:dyDescent="0.25">
      <c r="C7777" t="s">
        <v>14184</v>
      </c>
      <c r="D7777" t="s">
        <v>14185</v>
      </c>
      <c r="E7777" t="str">
        <f>HYPERLINK("https://patents.google.com/patent/JP2000126324A/en")</f>
        <v>https://patents.google.com/patent/JP2000126324A/en</v>
      </c>
    </row>
    <row r="7778" spans="3:5" x14ac:dyDescent="0.25">
      <c r="C7778" t="s">
        <v>14090</v>
      </c>
      <c r="D7778" t="s">
        <v>14186</v>
      </c>
      <c r="E7778" t="str">
        <f>HYPERLINK("https://patents.google.com/patent/WO2009048875A2/en")</f>
        <v>https://patents.google.com/patent/WO2009048875A2/en</v>
      </c>
    </row>
    <row r="7779" spans="3:5" x14ac:dyDescent="0.25">
      <c r="C7779" t="s">
        <v>14187</v>
      </c>
      <c r="D7779" t="s">
        <v>14188</v>
      </c>
      <c r="E7779" t="str">
        <f>HYPERLINK("https://patents.google.com/patent/JPH10275848A/en")</f>
        <v>https://patents.google.com/patent/JPH10275848A/en</v>
      </c>
    </row>
    <row r="7780" spans="3:5" x14ac:dyDescent="0.25">
      <c r="C7780" t="s">
        <v>7345</v>
      </c>
      <c r="D7780" t="s">
        <v>14189</v>
      </c>
      <c r="E7780" t="str">
        <f>HYPERLINK("https://patents.google.com/patent/US20130030750A1/en")</f>
        <v>https://patents.google.com/patent/US20130030750A1/en</v>
      </c>
    </row>
    <row r="7781" spans="3:5" x14ac:dyDescent="0.25">
      <c r="C7781" t="s">
        <v>14190</v>
      </c>
      <c r="D7781" t="s">
        <v>14191</v>
      </c>
      <c r="E7781" t="str">
        <f>HYPERLINK("https://patents.google.com/patent/US5929374A/en")</f>
        <v>https://patents.google.com/patent/US5929374A/en</v>
      </c>
    </row>
    <row r="7782" spans="3:5" x14ac:dyDescent="0.25">
      <c r="C7782" t="s">
        <v>14192</v>
      </c>
      <c r="D7782" t="s">
        <v>14193</v>
      </c>
      <c r="E7782" t="str">
        <f>HYPERLINK("https://patents.google.com/patent/GB2400686A/en")</f>
        <v>https://patents.google.com/patent/GB2400686A/en</v>
      </c>
    </row>
    <row r="7783" spans="3:5" x14ac:dyDescent="0.25">
      <c r="C7783" t="s">
        <v>14194</v>
      </c>
      <c r="D7783" t="s">
        <v>14195</v>
      </c>
      <c r="E7783" t="str">
        <f>HYPERLINK("https://patents.google.com/patent/US20100113698A1/en")</f>
        <v>https://patents.google.com/patent/US20100113698A1/en</v>
      </c>
    </row>
    <row r="7784" spans="3:5" x14ac:dyDescent="0.25">
      <c r="C7784" t="s">
        <v>14196</v>
      </c>
      <c r="D7784" t="s">
        <v>14197</v>
      </c>
      <c r="E7784" t="str">
        <f>HYPERLINK("https://patents.google.com/patent/WO2014099367A1/en")</f>
        <v>https://patents.google.com/patent/WO2014099367A1/en</v>
      </c>
    </row>
    <row r="7785" spans="3:5" x14ac:dyDescent="0.25">
      <c r="C7785" t="s">
        <v>14198</v>
      </c>
      <c r="D7785" t="s">
        <v>14199</v>
      </c>
      <c r="E7785" t="str">
        <f>HYPERLINK("https://patents.google.com/patent/CN104434466A/en")</f>
        <v>https://patents.google.com/patent/CN104434466A/en</v>
      </c>
    </row>
    <row r="7786" spans="3:5" x14ac:dyDescent="0.25">
      <c r="C7786" t="s">
        <v>14200</v>
      </c>
      <c r="D7786" t="s">
        <v>14201</v>
      </c>
      <c r="E7786" t="str">
        <f>HYPERLINK("https://patents.google.com/patent/WO2014138472A2/en")</f>
        <v>https://patents.google.com/patent/WO2014138472A2/en</v>
      </c>
    </row>
    <row r="7787" spans="3:5" x14ac:dyDescent="0.25">
      <c r="C7787" t="s">
        <v>14202</v>
      </c>
      <c r="D7787" t="s">
        <v>14203</v>
      </c>
      <c r="E7787" t="str">
        <f>HYPERLINK("https://patents.google.com/patent/US7669757B1/en")</f>
        <v>https://patents.google.com/patent/US7669757B1/en</v>
      </c>
    </row>
    <row r="7788" spans="3:5" x14ac:dyDescent="0.25">
      <c r="C7788" t="s">
        <v>14204</v>
      </c>
      <c r="D7788" t="s">
        <v>14205</v>
      </c>
      <c r="E7788" t="str">
        <f>HYPERLINK("https://patents.google.com/patent/US20140253722A1/en")</f>
        <v>https://patents.google.com/patent/US20140253722A1/en</v>
      </c>
    </row>
    <row r="7789" spans="3:5" x14ac:dyDescent="0.25">
      <c r="C7789" t="s">
        <v>14206</v>
      </c>
      <c r="D7789" t="s">
        <v>14207</v>
      </c>
      <c r="E7789" t="str">
        <f>HYPERLINK("https://patents.google.com/patent/WO2007105584A1/en")</f>
        <v>https://patents.google.com/patent/WO2007105584A1/en</v>
      </c>
    </row>
    <row r="7790" spans="3:5" x14ac:dyDescent="0.25">
      <c r="C7790" t="s">
        <v>14208</v>
      </c>
      <c r="D7790" t="s">
        <v>14209</v>
      </c>
      <c r="E7790" t="str">
        <f>HYPERLINK("https://patents.google.com/patent/US20110003524A1/en")</f>
        <v>https://patents.google.com/patent/US20110003524A1/en</v>
      </c>
    </row>
    <row r="7791" spans="3:5" x14ac:dyDescent="0.25">
      <c r="C7791" t="s">
        <v>14202</v>
      </c>
      <c r="D7791" t="s">
        <v>14210</v>
      </c>
      <c r="E7791" t="str">
        <f>HYPERLINK("https://patents.google.com/patent/US7513419B1/en")</f>
        <v>https://patents.google.com/patent/US7513419B1/en</v>
      </c>
    </row>
    <row r="7792" spans="3:5" x14ac:dyDescent="0.25">
      <c r="C7792" t="s">
        <v>14211</v>
      </c>
      <c r="D7792" t="s">
        <v>14212</v>
      </c>
      <c r="E7792" t="str">
        <f>HYPERLINK("https://patents.google.com/patent/CN203379328U/en")</f>
        <v>https://patents.google.com/patent/CN203379328U/en</v>
      </c>
    </row>
    <row r="7793" spans="3:5" x14ac:dyDescent="0.25">
      <c r="C7793" t="s">
        <v>14213</v>
      </c>
      <c r="D7793" t="s">
        <v>14214</v>
      </c>
      <c r="E7793" t="str">
        <f>HYPERLINK("https://patents.google.com/patent/CN1377297A/en")</f>
        <v>https://patents.google.com/patent/CN1377297A/en</v>
      </c>
    </row>
    <row r="7794" spans="3:5" x14ac:dyDescent="0.25">
      <c r="C7794" t="s">
        <v>14215</v>
      </c>
      <c r="D7794" t="s">
        <v>14216</v>
      </c>
      <c r="E7794" t="str">
        <f>HYPERLINK("https://patents.google.com/patent/CN202586115U/en")</f>
        <v>https://patents.google.com/patent/CN202586115U/en</v>
      </c>
    </row>
    <row r="7795" spans="3:5" x14ac:dyDescent="0.25">
      <c r="C7795" t="s">
        <v>14217</v>
      </c>
      <c r="D7795" t="s">
        <v>14218</v>
      </c>
      <c r="E7795" t="str">
        <f>HYPERLINK("https://patents.google.com/patent/US20130204993A1/en")</f>
        <v>https://patents.google.com/patent/US20130204993A1/en</v>
      </c>
    </row>
    <row r="7796" spans="3:5" x14ac:dyDescent="0.25">
      <c r="C7796" t="s">
        <v>14219</v>
      </c>
      <c r="D7796" t="s">
        <v>14220</v>
      </c>
      <c r="E7796" t="str">
        <f>HYPERLINK("https://patents.google.com/patent/US20160202755A1/en")</f>
        <v>https://patents.google.com/patent/US20160202755A1/en</v>
      </c>
    </row>
    <row r="7797" spans="3:5" x14ac:dyDescent="0.25">
      <c r="C7797" t="s">
        <v>14221</v>
      </c>
      <c r="D7797" t="s">
        <v>14222</v>
      </c>
      <c r="E7797" t="str">
        <f>HYPERLINK("https://patents.google.com/patent/CN206087329U/en")</f>
        <v>https://patents.google.com/patent/CN206087329U/en</v>
      </c>
    </row>
    <row r="7798" spans="3:5" x14ac:dyDescent="0.25">
      <c r="C7798" t="s">
        <v>14223</v>
      </c>
      <c r="D7798" t="s">
        <v>14224</v>
      </c>
      <c r="E7798" t="str">
        <f>HYPERLINK("https://patents.google.com/patent/KR101638679B1/en")</f>
        <v>https://patents.google.com/patent/KR101638679B1/en</v>
      </c>
    </row>
    <row r="7799" spans="3:5" x14ac:dyDescent="0.25">
      <c r="C7799" t="s">
        <v>14225</v>
      </c>
      <c r="D7799" t="s">
        <v>14226</v>
      </c>
      <c r="E7799" t="str">
        <f>HYPERLINK("https://patents.google.com/patent/EP2310148B1/en")</f>
        <v>https://patents.google.com/patent/EP2310148B1/en</v>
      </c>
    </row>
    <row r="7800" spans="3:5" x14ac:dyDescent="0.25">
      <c r="C7800" t="s">
        <v>14227</v>
      </c>
      <c r="D7800" t="s">
        <v>14228</v>
      </c>
      <c r="E7800" t="str">
        <f>HYPERLINK("https://patents.google.com/patent/CN205652330U/en")</f>
        <v>https://patents.google.com/patent/CN205652330U/en</v>
      </c>
    </row>
    <row r="7801" spans="3:5" x14ac:dyDescent="0.25">
      <c r="C7801" t="s">
        <v>14229</v>
      </c>
      <c r="D7801" t="s">
        <v>14230</v>
      </c>
      <c r="E7801" t="str">
        <f>HYPERLINK("https://patents.google.com/patent/KR101814732B1/en")</f>
        <v>https://patents.google.com/patent/KR101814732B1/en</v>
      </c>
    </row>
    <row r="7802" spans="3:5" x14ac:dyDescent="0.25">
      <c r="C7802" t="s">
        <v>14231</v>
      </c>
      <c r="D7802" t="s">
        <v>14232</v>
      </c>
      <c r="E7802" t="str">
        <f>HYPERLINK("https://patents.google.com/patent/US20140035725A1/en")</f>
        <v>https://patents.google.com/patent/US20140035725A1/en</v>
      </c>
    </row>
    <row r="7803" spans="3:5" x14ac:dyDescent="0.25">
      <c r="C7803" t="s">
        <v>14233</v>
      </c>
      <c r="D7803" t="s">
        <v>14234</v>
      </c>
      <c r="E7803" t="str">
        <f>HYPERLINK("https://patents.google.com/patent/US20140052293A1/en")</f>
        <v>https://patents.google.com/patent/US20140052293A1/en</v>
      </c>
    </row>
    <row r="7804" spans="3:5" x14ac:dyDescent="0.25">
      <c r="C7804" t="s">
        <v>14235</v>
      </c>
      <c r="D7804" t="s">
        <v>14236</v>
      </c>
      <c r="E7804" t="str">
        <f>HYPERLINK("https://patents.google.com/patent/US20180136470A1/en")</f>
        <v>https://patents.google.com/patent/US20180136470A1/en</v>
      </c>
    </row>
    <row r="7805" spans="3:5" x14ac:dyDescent="0.25">
      <c r="C7805" t="s">
        <v>14237</v>
      </c>
      <c r="D7805" t="s">
        <v>14238</v>
      </c>
      <c r="E7805" t="str">
        <f>HYPERLINK("https://patents.google.com/patent/US20150196002A1/en")</f>
        <v>https://patents.google.com/patent/US20150196002A1/en</v>
      </c>
    </row>
    <row r="7806" spans="3:5" x14ac:dyDescent="0.25">
      <c r="C7806" t="s">
        <v>14239</v>
      </c>
      <c r="D7806" t="s">
        <v>14240</v>
      </c>
      <c r="E7806" t="str">
        <f>HYPERLINK("https://patents.google.com/patent/US20160201934A1/en")</f>
        <v>https://patents.google.com/patent/US20160201934A1/en</v>
      </c>
    </row>
    <row r="7807" spans="3:5" x14ac:dyDescent="0.25">
      <c r="C7807" t="s">
        <v>14241</v>
      </c>
      <c r="D7807" t="s">
        <v>14242</v>
      </c>
      <c r="E7807" t="str">
        <f>HYPERLINK("https://patents.google.com/patent/US20170208151A1/en")</f>
        <v>https://patents.google.com/patent/US20170208151A1/en</v>
      </c>
    </row>
    <row r="7808" spans="3:5" x14ac:dyDescent="0.25">
      <c r="C7808" t="s">
        <v>14243</v>
      </c>
      <c r="D7808" t="s">
        <v>14244</v>
      </c>
      <c r="E7808" t="str">
        <f>HYPERLINK("https://patents.google.com/patent/US20150094879A1/en")</f>
        <v>https://patents.google.com/patent/US20150094879A1/en</v>
      </c>
    </row>
    <row r="7809" spans="3:5" x14ac:dyDescent="0.25">
      <c r="C7809" t="s">
        <v>6513</v>
      </c>
      <c r="D7809" t="s">
        <v>14245</v>
      </c>
      <c r="E7809" t="str">
        <f>HYPERLINK("https://patents.google.com/patent/US20150290454A1/en")</f>
        <v>https://patents.google.com/patent/US20150290454A1/en</v>
      </c>
    </row>
    <row r="7810" spans="3:5" x14ac:dyDescent="0.25">
      <c r="C7810" t="s">
        <v>6902</v>
      </c>
      <c r="D7810" t="s">
        <v>14246</v>
      </c>
      <c r="E7810" t="str">
        <f>HYPERLINK("https://patents.google.com/patent/JP4087104B2/en")</f>
        <v>https://patents.google.com/patent/JP4087104B2/en</v>
      </c>
    </row>
    <row r="7811" spans="3:5" x14ac:dyDescent="0.25">
      <c r="C7811" t="s">
        <v>14247</v>
      </c>
      <c r="D7811" t="s">
        <v>14248</v>
      </c>
      <c r="E7811" t="str">
        <f>HYPERLINK("https://patents.google.com/patent/CN85106612A/en")</f>
        <v>https://patents.google.com/patent/CN85106612A/en</v>
      </c>
    </row>
    <row r="7812" spans="3:5" x14ac:dyDescent="0.25">
      <c r="C7812" t="s">
        <v>14249</v>
      </c>
      <c r="D7812" t="s">
        <v>14250</v>
      </c>
      <c r="E7812" t="str">
        <f>HYPERLINK("https://patents.google.com/patent/WO2018011394A2/en")</f>
        <v>https://patents.google.com/patent/WO2018011394A2/en</v>
      </c>
    </row>
    <row r="7813" spans="3:5" x14ac:dyDescent="0.25">
      <c r="C7813" t="s">
        <v>14251</v>
      </c>
      <c r="D7813" t="s">
        <v>14252</v>
      </c>
      <c r="E7813" t="str">
        <f>HYPERLINK("https://patents.google.com/patent/CN106845732A/en")</f>
        <v>https://patents.google.com/patent/CN106845732A/en</v>
      </c>
    </row>
    <row r="7814" spans="3:5" x14ac:dyDescent="0.25">
      <c r="C7814" t="s">
        <v>14253</v>
      </c>
      <c r="D7814" t="s">
        <v>14254</v>
      </c>
      <c r="E7814" t="str">
        <f>HYPERLINK("https://patents.google.com/patent/US9789023B1/en")</f>
        <v>https://patents.google.com/patent/US9789023B1/en</v>
      </c>
    </row>
    <row r="7815" spans="3:5" x14ac:dyDescent="0.25">
      <c r="C7815" t="s">
        <v>14255</v>
      </c>
      <c r="D7815" t="s">
        <v>14256</v>
      </c>
      <c r="E7815" t="str">
        <f>HYPERLINK("https://patents.google.com/patent/CN107971266A/en")</f>
        <v>https://patents.google.com/patent/CN107971266A/en</v>
      </c>
    </row>
    <row r="7816" spans="3:5" x14ac:dyDescent="0.25">
      <c r="C7816" t="s">
        <v>14257</v>
      </c>
      <c r="D7816" t="s">
        <v>14258</v>
      </c>
      <c r="E7816" t="str">
        <f>HYPERLINK("https://patents.google.com/patent/EP2690582A1/en")</f>
        <v>https://patents.google.com/patent/EP2690582A1/en</v>
      </c>
    </row>
    <row r="7817" spans="3:5" x14ac:dyDescent="0.25">
      <c r="C7817" t="s">
        <v>12794</v>
      </c>
      <c r="D7817" t="s">
        <v>14259</v>
      </c>
      <c r="E7817" t="str">
        <f>HYPERLINK("https://patents.google.com/patent/US20120156049A1/en")</f>
        <v>https://patents.google.com/patent/US20120156049A1/en</v>
      </c>
    </row>
    <row r="7818" spans="3:5" x14ac:dyDescent="0.25">
      <c r="C7818" t="s">
        <v>14260</v>
      </c>
      <c r="D7818" t="s">
        <v>14261</v>
      </c>
      <c r="E7818" t="str">
        <f>HYPERLINK("https://patents.google.com/patent/US20090044990A1/en")</f>
        <v>https://patents.google.com/patent/US20090044990A1/en</v>
      </c>
    </row>
    <row r="7819" spans="3:5" x14ac:dyDescent="0.25">
      <c r="C7819" t="s">
        <v>14262</v>
      </c>
      <c r="D7819" t="s">
        <v>14263</v>
      </c>
      <c r="E7819" t="str">
        <f>HYPERLINK("https://patents.google.com/patent/JP4784381B2/en")</f>
        <v>https://patents.google.com/patent/JP4784381B2/en</v>
      </c>
    </row>
    <row r="7820" spans="3:5" x14ac:dyDescent="0.25">
      <c r="C7820" t="s">
        <v>14264</v>
      </c>
      <c r="D7820" t="s">
        <v>14265</v>
      </c>
      <c r="E7820" t="str">
        <f>HYPERLINK("https://patents.google.com/patent/US20140049429A1/en")</f>
        <v>https://patents.google.com/patent/US20140049429A1/en</v>
      </c>
    </row>
    <row r="7821" spans="3:5" x14ac:dyDescent="0.25">
      <c r="C7821" t="s">
        <v>14266</v>
      </c>
      <c r="D7821" t="s">
        <v>14267</v>
      </c>
      <c r="E7821" t="str">
        <f>HYPERLINK("https://patents.google.com/patent/KR101471856B1/en")</f>
        <v>https://patents.google.com/patent/KR101471856B1/en</v>
      </c>
    </row>
    <row r="7822" spans="3:5" x14ac:dyDescent="0.25">
      <c r="C7822" t="s">
        <v>14268</v>
      </c>
      <c r="D7822" t="s">
        <v>14269</v>
      </c>
      <c r="E7822" t="str">
        <f>HYPERLINK("https://patents.google.com/patent/JP3986848B2/en")</f>
        <v>https://patents.google.com/patent/JP3986848B2/en</v>
      </c>
    </row>
    <row r="7823" spans="3:5" x14ac:dyDescent="0.25">
      <c r="C7823" t="s">
        <v>6456</v>
      </c>
      <c r="D7823" t="s">
        <v>14270</v>
      </c>
      <c r="E7823" t="str">
        <f>HYPERLINK("https://patents.google.com/patent/EP1850824B1/en")</f>
        <v>https://patents.google.com/patent/EP1850824B1/en</v>
      </c>
    </row>
    <row r="7824" spans="3:5" x14ac:dyDescent="0.25">
      <c r="C7824" t="s">
        <v>14271</v>
      </c>
      <c r="D7824" t="s">
        <v>14272</v>
      </c>
      <c r="E7824" t="str">
        <f>HYPERLINK("https://patents.google.com/patent/US20170223712A1/en")</f>
        <v>https://patents.google.com/patent/US20170223712A1/en</v>
      </c>
    </row>
    <row r="7825" spans="1:5" x14ac:dyDescent="0.25">
      <c r="C7825" t="s">
        <v>14273</v>
      </c>
      <c r="D7825" t="s">
        <v>14274</v>
      </c>
      <c r="E7825" t="str">
        <f>HYPERLINK("https://patents.google.com/patent/KR101464677B1/en")</f>
        <v>https://patents.google.com/patent/KR101464677B1/en</v>
      </c>
    </row>
    <row r="7826" spans="1:5" x14ac:dyDescent="0.25">
      <c r="C7826" t="s">
        <v>14275</v>
      </c>
      <c r="D7826" t="s">
        <v>14276</v>
      </c>
      <c r="E7826" t="str">
        <f>HYPERLINK("https://patents.google.com/patent/KR101687820B1/en")</f>
        <v>https://patents.google.com/patent/KR101687820B1/en</v>
      </c>
    </row>
    <row r="7827" spans="1:5" x14ac:dyDescent="0.25">
      <c r="C7827" t="s">
        <v>14277</v>
      </c>
      <c r="D7827" t="s">
        <v>14278</v>
      </c>
      <c r="E7827" t="str">
        <f>HYPERLINK("https://patents.google.com/patent/KR101231771B1/en")</f>
        <v>https://patents.google.com/patent/KR101231771B1/en</v>
      </c>
    </row>
    <row r="7828" spans="1:5" x14ac:dyDescent="0.25">
      <c r="C7828" t="s">
        <v>14279</v>
      </c>
      <c r="D7828" t="s">
        <v>14280</v>
      </c>
      <c r="E7828" t="str">
        <f>HYPERLINK("https://patents.google.com/patent/KR101384242B1/en")</f>
        <v>https://patents.google.com/patent/KR101384242B1/en</v>
      </c>
    </row>
    <row r="7829" spans="1:5" x14ac:dyDescent="0.25">
      <c r="C7829" t="s">
        <v>14281</v>
      </c>
      <c r="D7829" t="s">
        <v>14282</v>
      </c>
      <c r="E7829" t="str">
        <f>HYPERLINK("https://patents.google.com/patent/CN202350958U/en")</f>
        <v>https://patents.google.com/patent/CN202350958U/en</v>
      </c>
    </row>
    <row r="7830" spans="1:5" x14ac:dyDescent="0.25">
      <c r="C7830" t="s">
        <v>14283</v>
      </c>
      <c r="D7830" t="s">
        <v>14284</v>
      </c>
      <c r="E7830" t="str">
        <f>HYPERLINK("https://patents.google.com/patent/CN104409106B/en")</f>
        <v>https://patents.google.com/patent/CN104409106B/en</v>
      </c>
    </row>
    <row r="7831" spans="1:5" x14ac:dyDescent="0.25">
      <c r="C7831" t="s">
        <v>14285</v>
      </c>
      <c r="D7831" t="s">
        <v>14286</v>
      </c>
      <c r="E7831" t="str">
        <f>HYPERLINK("https://patents.google.com/patent/WO2005093119A1/en")</f>
        <v>https://patents.google.com/patent/WO2005093119A1/en</v>
      </c>
    </row>
    <row r="7832" spans="1:5" x14ac:dyDescent="0.25">
      <c r="C7832" t="s">
        <v>14287</v>
      </c>
      <c r="D7832" t="s">
        <v>14288</v>
      </c>
      <c r="E7832" t="str">
        <f>HYPERLINK("https://patents.google.com/patent/EP1059146A2/en")</f>
        <v>https://patents.google.com/patent/EP1059146A2/en</v>
      </c>
    </row>
    <row r="7833" spans="1:5" x14ac:dyDescent="0.25">
      <c r="C7833" t="s">
        <v>14289</v>
      </c>
      <c r="D7833" t="s">
        <v>14290</v>
      </c>
      <c r="E7833" t="str">
        <f>HYPERLINK("https://patents.google.com/patent/CN1465091A/en")</f>
        <v>https://patents.google.com/patent/CN1465091A/en</v>
      </c>
    </row>
    <row r="7834" spans="1:5" x14ac:dyDescent="0.25">
      <c r="C7834" t="s">
        <v>14291</v>
      </c>
      <c r="D7834" t="s">
        <v>14292</v>
      </c>
      <c r="E7834" t="str">
        <f>HYPERLINK("https://patents.google.com/patent/ES2429138T3/en")</f>
        <v>https://patents.google.com/patent/ES2429138T3/en</v>
      </c>
    </row>
    <row r="7835" spans="1:5" x14ac:dyDescent="0.25">
      <c r="C7835" t="s">
        <v>14293</v>
      </c>
      <c r="D7835" t="s">
        <v>14294</v>
      </c>
      <c r="E7835" t="str">
        <f>HYPERLINK("https://patents.google.com/patent/JP6392361B2/en")</f>
        <v>https://patents.google.com/patent/JP6392361B2/en</v>
      </c>
    </row>
    <row r="7836" spans="1:5" x14ac:dyDescent="0.25">
      <c r="C7836" t="s">
        <v>14295</v>
      </c>
      <c r="D7836" t="s">
        <v>14296</v>
      </c>
      <c r="E7836" t="str">
        <f>HYPERLINK("https://patents.google.com/patent/KR101799861B1/en")</f>
        <v>https://patents.google.com/patent/KR101799861B1/en</v>
      </c>
    </row>
    <row r="7837" spans="1:5" x14ac:dyDescent="0.25">
      <c r="C7837" t="s">
        <v>14297</v>
      </c>
      <c r="D7837" t="s">
        <v>14298</v>
      </c>
      <c r="E7837" t="str">
        <f>HYPERLINK("https://patents.google.com/patent/CA2689757A1/en")</f>
        <v>https://patents.google.com/patent/CA2689757A1/en</v>
      </c>
    </row>
    <row r="7838" spans="1:5" x14ac:dyDescent="0.25">
      <c r="C7838" t="s">
        <v>14299</v>
      </c>
      <c r="D7838" t="s">
        <v>14300</v>
      </c>
      <c r="E7838" t="str">
        <f>HYPERLINK("https://patents.google.com/patent/US20180087793A1/en")</f>
        <v>https://patents.google.com/patent/US20180087793A1/en</v>
      </c>
    </row>
    <row r="7839" spans="1:5" x14ac:dyDescent="0.25">
      <c r="A7839" t="s">
        <v>1340</v>
      </c>
      <c r="B7839">
        <v>631</v>
      </c>
    </row>
    <row r="7840" spans="1:5" x14ac:dyDescent="0.25">
      <c r="C7840" t="s">
        <v>14301</v>
      </c>
      <c r="D7840" t="s">
        <v>14302</v>
      </c>
      <c r="E7840" t="str">
        <f>HYPERLINK("https://patents.google.com/patent/US9010474B2/en")</f>
        <v>https://patents.google.com/patent/US9010474B2/en</v>
      </c>
    </row>
    <row r="7841" spans="3:5" x14ac:dyDescent="0.25">
      <c r="C7841" t="s">
        <v>14303</v>
      </c>
      <c r="D7841" t="s">
        <v>14304</v>
      </c>
      <c r="E7841" t="str">
        <f>HYPERLINK("https://patents.google.com/patent/US3475056A/en")</f>
        <v>https://patents.google.com/patent/US3475056A/en</v>
      </c>
    </row>
    <row r="7842" spans="3:5" x14ac:dyDescent="0.25">
      <c r="C7842" t="s">
        <v>14305</v>
      </c>
      <c r="D7842" t="s">
        <v>14306</v>
      </c>
      <c r="E7842" t="str">
        <f>HYPERLINK("https://patents.google.com/patent/US7515043B2/en")</f>
        <v>https://patents.google.com/patent/US7515043B2/en</v>
      </c>
    </row>
    <row r="7843" spans="3:5" x14ac:dyDescent="0.25">
      <c r="C7843" t="s">
        <v>14307</v>
      </c>
      <c r="D7843" t="s">
        <v>14308</v>
      </c>
      <c r="E7843" t="str">
        <f>HYPERLINK("https://patents.google.com/patent/US5721430A/en")</f>
        <v>https://patents.google.com/patent/US5721430A/en</v>
      </c>
    </row>
    <row r="7844" spans="3:5" x14ac:dyDescent="0.25">
      <c r="C7844" t="s">
        <v>14309</v>
      </c>
      <c r="D7844" t="s">
        <v>14310</v>
      </c>
      <c r="E7844" t="str">
        <f>HYPERLINK("https://patents.google.com/patent/US6022748A/en")</f>
        <v>https://patents.google.com/patent/US6022748A/en</v>
      </c>
    </row>
    <row r="7845" spans="3:5" x14ac:dyDescent="0.25">
      <c r="C7845" t="s">
        <v>14311</v>
      </c>
      <c r="D7845" t="s">
        <v>14312</v>
      </c>
      <c r="E7845" t="str">
        <f>HYPERLINK("https://patents.google.com/patent/US9351182B2/en")</f>
        <v>https://patents.google.com/patent/US9351182B2/en</v>
      </c>
    </row>
    <row r="7846" spans="3:5" x14ac:dyDescent="0.25">
      <c r="C7846" t="s">
        <v>14313</v>
      </c>
      <c r="D7846" t="s">
        <v>14314</v>
      </c>
      <c r="E7846" t="str">
        <f>HYPERLINK("https://patents.google.com/patent/US7172038B2/en")</f>
        <v>https://patents.google.com/patent/US7172038B2/en</v>
      </c>
    </row>
    <row r="7847" spans="3:5" x14ac:dyDescent="0.25">
      <c r="C7847" t="s">
        <v>14315</v>
      </c>
      <c r="D7847" t="s">
        <v>14316</v>
      </c>
      <c r="E7847" t="str">
        <f>HYPERLINK("https://patents.google.com/patent/US6128276A/en")</f>
        <v>https://patents.google.com/patent/US6128276A/en</v>
      </c>
    </row>
    <row r="7848" spans="3:5" x14ac:dyDescent="0.25">
      <c r="C7848" t="s">
        <v>14317</v>
      </c>
      <c r="D7848" t="s">
        <v>14318</v>
      </c>
      <c r="E7848" t="str">
        <f>HYPERLINK("https://patents.google.com/patent/US4930935A/en")</f>
        <v>https://patents.google.com/patent/US4930935A/en</v>
      </c>
    </row>
    <row r="7849" spans="3:5" x14ac:dyDescent="0.25">
      <c r="C7849" t="s">
        <v>14319</v>
      </c>
      <c r="D7849" t="s">
        <v>14320</v>
      </c>
      <c r="E7849" t="str">
        <f>HYPERLINK("https://patents.google.com/patent/US4768744A/en")</f>
        <v>https://patents.google.com/patent/US4768744A/en</v>
      </c>
    </row>
    <row r="7850" spans="3:5" x14ac:dyDescent="0.25">
      <c r="C7850" t="s">
        <v>14321</v>
      </c>
      <c r="D7850" t="s">
        <v>14322</v>
      </c>
      <c r="E7850" t="str">
        <f>HYPERLINK("https://patents.google.com/patent/US9461706B1/en")</f>
        <v>https://patents.google.com/patent/US9461706B1/en</v>
      </c>
    </row>
    <row r="7851" spans="3:5" x14ac:dyDescent="0.25">
      <c r="C7851" t="s">
        <v>14323</v>
      </c>
      <c r="D7851" t="s">
        <v>14324</v>
      </c>
      <c r="E7851" t="str">
        <f>HYPERLINK("https://patents.google.com/patent/US5980256A/en")</f>
        <v>https://patents.google.com/patent/US5980256A/en</v>
      </c>
    </row>
    <row r="7852" spans="3:5" x14ac:dyDescent="0.25">
      <c r="C7852" t="s">
        <v>14325</v>
      </c>
      <c r="D7852" t="s">
        <v>14326</v>
      </c>
      <c r="E7852" t="str">
        <f>HYPERLINK("https://patents.google.com/patent/US6459425B1/en")</f>
        <v>https://patents.google.com/patent/US6459425B1/en</v>
      </c>
    </row>
    <row r="7853" spans="3:5" x14ac:dyDescent="0.25">
      <c r="C7853" t="s">
        <v>14327</v>
      </c>
      <c r="D7853" t="s">
        <v>14328</v>
      </c>
      <c r="E7853" t="str">
        <f>HYPERLINK("https://patents.google.com/patent/US5663621A/en")</f>
        <v>https://patents.google.com/patent/US5663621A/en</v>
      </c>
    </row>
    <row r="7854" spans="3:5" x14ac:dyDescent="0.25">
      <c r="C7854" t="s">
        <v>14329</v>
      </c>
      <c r="D7854" t="s">
        <v>14330</v>
      </c>
      <c r="E7854" t="str">
        <f>HYPERLINK("https://patents.google.com/patent/US9490869B1/en")</f>
        <v>https://patents.google.com/patent/US9490869B1/en</v>
      </c>
    </row>
    <row r="7855" spans="3:5" x14ac:dyDescent="0.25">
      <c r="C7855" t="s">
        <v>14331</v>
      </c>
      <c r="D7855" t="s">
        <v>14332</v>
      </c>
      <c r="E7855" t="str">
        <f>HYPERLINK("https://patents.google.com/patent/US7973296B2/en")</f>
        <v>https://patents.google.com/patent/US7973296B2/en</v>
      </c>
    </row>
    <row r="7856" spans="3:5" x14ac:dyDescent="0.25">
      <c r="C7856" t="s">
        <v>14333</v>
      </c>
      <c r="D7856" t="s">
        <v>14334</v>
      </c>
      <c r="E7856" t="str">
        <f>HYPERLINK("https://patents.google.com/patent/US9509415B1/en")</f>
        <v>https://patents.google.com/patent/US9509415B1/en</v>
      </c>
    </row>
    <row r="7857" spans="3:5" x14ac:dyDescent="0.25">
      <c r="C7857" t="s">
        <v>14335</v>
      </c>
      <c r="D7857" t="s">
        <v>14336</v>
      </c>
      <c r="E7857" t="str">
        <f>HYPERLINK("https://patents.google.com/patent/US8213957B2/en")</f>
        <v>https://patents.google.com/patent/US8213957B2/en</v>
      </c>
    </row>
    <row r="7858" spans="3:5" x14ac:dyDescent="0.25">
      <c r="C7858" t="s">
        <v>14337</v>
      </c>
      <c r="D7858" t="s">
        <v>14338</v>
      </c>
      <c r="E7858" t="str">
        <f>HYPERLINK("https://patents.google.com/patent/US7258415B2/en")</f>
        <v>https://patents.google.com/patent/US7258415B2/en</v>
      </c>
    </row>
    <row r="7859" spans="3:5" x14ac:dyDescent="0.25">
      <c r="C7859" t="s">
        <v>14339</v>
      </c>
      <c r="D7859" t="s">
        <v>14340</v>
      </c>
      <c r="E7859" t="str">
        <f>HYPERLINK("https://patents.google.com/patent/US7436303B2/en")</f>
        <v>https://patents.google.com/patent/US7436303B2/en</v>
      </c>
    </row>
    <row r="7860" spans="3:5" x14ac:dyDescent="0.25">
      <c r="C7860" t="s">
        <v>14341</v>
      </c>
      <c r="D7860" t="s">
        <v>14342</v>
      </c>
      <c r="E7860" t="str">
        <f>HYPERLINK("https://patents.google.com/patent/US6933970B2/en")</f>
        <v>https://patents.google.com/patent/US6933970B2/en</v>
      </c>
    </row>
    <row r="7861" spans="3:5" x14ac:dyDescent="0.25">
      <c r="C7861" t="s">
        <v>14343</v>
      </c>
      <c r="D7861" t="s">
        <v>14344</v>
      </c>
      <c r="E7861" t="str">
        <f>HYPERLINK("https://patents.google.com/patent/US8225458B1/en")</f>
        <v>https://patents.google.com/patent/US8225458B1/en</v>
      </c>
    </row>
    <row r="7862" spans="3:5" x14ac:dyDescent="0.25">
      <c r="C7862" t="s">
        <v>14345</v>
      </c>
      <c r="D7862" t="s">
        <v>14346</v>
      </c>
      <c r="E7862" t="str">
        <f>HYPERLINK("https://patents.google.com/patent/US6836289B2/en")</f>
        <v>https://patents.google.com/patent/US6836289B2/en</v>
      </c>
    </row>
    <row r="7863" spans="3:5" x14ac:dyDescent="0.25">
      <c r="C7863" t="s">
        <v>14347</v>
      </c>
      <c r="D7863" t="s">
        <v>14348</v>
      </c>
      <c r="E7863" t="str">
        <f>HYPERLINK("https://patents.google.com/patent/US7506304B2/en")</f>
        <v>https://patents.google.com/patent/US7506304B2/en</v>
      </c>
    </row>
    <row r="7864" spans="3:5" x14ac:dyDescent="0.25">
      <c r="C7864" t="s">
        <v>14349</v>
      </c>
      <c r="D7864" t="s">
        <v>14350</v>
      </c>
      <c r="E7864" t="str">
        <f>HYPERLINK("https://patents.google.com/patent/CN108644887A/en")</f>
        <v>https://patents.google.com/patent/CN108644887A/en</v>
      </c>
    </row>
    <row r="7865" spans="3:5" x14ac:dyDescent="0.25">
      <c r="C7865" t="s">
        <v>14351</v>
      </c>
      <c r="D7865" t="s">
        <v>14352</v>
      </c>
      <c r="E7865" t="str">
        <f>HYPERLINK("https://patents.google.com/patent/US7339657B2/en")</f>
        <v>https://patents.google.com/patent/US7339657B2/en</v>
      </c>
    </row>
    <row r="7866" spans="3:5" x14ac:dyDescent="0.25">
      <c r="C7866" t="s">
        <v>12535</v>
      </c>
      <c r="D7866" t="s">
        <v>14353</v>
      </c>
      <c r="E7866" t="str">
        <f>HYPERLINK("https://patents.google.com/patent/US6948328B2/en")</f>
        <v>https://patents.google.com/patent/US6948328B2/en</v>
      </c>
    </row>
    <row r="7867" spans="3:5" x14ac:dyDescent="0.25">
      <c r="C7867" t="s">
        <v>14354</v>
      </c>
      <c r="D7867" t="s">
        <v>14355</v>
      </c>
      <c r="E7867" t="str">
        <f>HYPERLINK("https://patents.google.com/patent/US8734308B1/en")</f>
        <v>https://patents.google.com/patent/US8734308B1/en</v>
      </c>
    </row>
    <row r="7868" spans="3:5" x14ac:dyDescent="0.25">
      <c r="C7868" t="s">
        <v>14356</v>
      </c>
      <c r="D7868" t="s">
        <v>14357</v>
      </c>
      <c r="E7868" t="str">
        <f>HYPERLINK("https://patents.google.com/patent/CN203271748U/en")</f>
        <v>https://patents.google.com/patent/CN203271748U/en</v>
      </c>
    </row>
    <row r="7869" spans="3:5" x14ac:dyDescent="0.25">
      <c r="C7869" t="s">
        <v>14358</v>
      </c>
      <c r="D7869" t="s">
        <v>14359</v>
      </c>
      <c r="E7869" t="str">
        <f>HYPERLINK("https://patents.google.com/patent/US5894112A/en")</f>
        <v>https://patents.google.com/patent/US5894112A/en</v>
      </c>
    </row>
    <row r="7870" spans="3:5" x14ac:dyDescent="0.25">
      <c r="C7870" t="s">
        <v>14341</v>
      </c>
      <c r="D7870" t="s">
        <v>14360</v>
      </c>
      <c r="E7870" t="str">
        <f>HYPERLINK("https://patents.google.com/patent/US6754279B2/en")</f>
        <v>https://patents.google.com/patent/US6754279B2/en</v>
      </c>
    </row>
    <row r="7871" spans="3:5" x14ac:dyDescent="0.25">
      <c r="C7871" t="s">
        <v>14361</v>
      </c>
      <c r="D7871" t="s">
        <v>14362</v>
      </c>
      <c r="E7871" t="str">
        <f>HYPERLINK("https://patents.google.com/patent/CN207889904U/en")</f>
        <v>https://patents.google.com/patent/CN207889904U/en</v>
      </c>
    </row>
    <row r="7872" spans="3:5" x14ac:dyDescent="0.25">
      <c r="C7872" t="s">
        <v>14363</v>
      </c>
      <c r="D7872" t="s">
        <v>14364</v>
      </c>
      <c r="E7872" t="str">
        <f>HYPERLINK("https://patents.google.com/patent/US6981385B2/en")</f>
        <v>https://patents.google.com/patent/US6981385B2/en</v>
      </c>
    </row>
    <row r="7873" spans="3:5" x14ac:dyDescent="0.25">
      <c r="C7873" t="s">
        <v>12645</v>
      </c>
      <c r="D7873" t="s">
        <v>14365</v>
      </c>
      <c r="E7873" t="str">
        <f>HYPERLINK("https://patents.google.com/patent/US8055907B2/en")</f>
        <v>https://patents.google.com/patent/US8055907B2/en</v>
      </c>
    </row>
    <row r="7874" spans="3:5" x14ac:dyDescent="0.25">
      <c r="C7874" t="s">
        <v>14366</v>
      </c>
      <c r="D7874" t="s">
        <v>14367</v>
      </c>
      <c r="E7874" t="str">
        <f>HYPERLINK("https://patents.google.com/patent/US5249643A/en")</f>
        <v>https://patents.google.com/patent/US5249643A/en</v>
      </c>
    </row>
    <row r="7875" spans="3:5" x14ac:dyDescent="0.25">
      <c r="C7875" t="s">
        <v>14341</v>
      </c>
      <c r="D7875" t="s">
        <v>14368</v>
      </c>
      <c r="E7875" t="str">
        <f>HYPERLINK("https://patents.google.com/patent/US6829016B2/en")</f>
        <v>https://patents.google.com/patent/US6829016B2/en</v>
      </c>
    </row>
    <row r="7876" spans="3:5" x14ac:dyDescent="0.25">
      <c r="C7876" t="s">
        <v>14369</v>
      </c>
      <c r="D7876" t="s">
        <v>14370</v>
      </c>
      <c r="E7876" t="str">
        <f>HYPERLINK("https://patents.google.com/patent/US7330209B2/en")</f>
        <v>https://patents.google.com/patent/US7330209B2/en</v>
      </c>
    </row>
    <row r="7877" spans="3:5" x14ac:dyDescent="0.25">
      <c r="C7877" t="s">
        <v>14371</v>
      </c>
      <c r="D7877" t="s">
        <v>14372</v>
      </c>
      <c r="E7877" t="str">
        <f>HYPERLINK("https://patents.google.com/patent/US6926241B2/en")</f>
        <v>https://patents.google.com/patent/US6926241B2/en</v>
      </c>
    </row>
    <row r="7878" spans="3:5" x14ac:dyDescent="0.25">
      <c r="C7878" t="s">
        <v>14373</v>
      </c>
      <c r="D7878" t="s">
        <v>14374</v>
      </c>
      <c r="E7878" t="str">
        <f>HYPERLINK("https://patents.google.com/patent/US6431078B2/en")</f>
        <v>https://patents.google.com/patent/US6431078B2/en</v>
      </c>
    </row>
    <row r="7879" spans="3:5" x14ac:dyDescent="0.25">
      <c r="C7879" t="s">
        <v>14375</v>
      </c>
      <c r="D7879" t="s">
        <v>14376</v>
      </c>
      <c r="E7879" t="str">
        <f>HYPERLINK("https://patents.google.com/patent/US20120143495A1/en")</f>
        <v>https://patents.google.com/patent/US20120143495A1/en</v>
      </c>
    </row>
    <row r="7880" spans="3:5" x14ac:dyDescent="0.25">
      <c r="C7880" t="s">
        <v>14341</v>
      </c>
      <c r="D7880" t="s">
        <v>14377</v>
      </c>
      <c r="E7880" t="str">
        <f>HYPERLINK("https://patents.google.com/patent/US20030222998A1/en")</f>
        <v>https://patents.google.com/patent/US20030222998A1/en</v>
      </c>
    </row>
    <row r="7881" spans="3:5" x14ac:dyDescent="0.25">
      <c r="C7881" t="s">
        <v>14378</v>
      </c>
      <c r="D7881" t="s">
        <v>14379</v>
      </c>
      <c r="E7881" t="str">
        <f>HYPERLINK("https://patents.google.com/patent/US20100130170A1/en")</f>
        <v>https://patents.google.com/patent/US20100130170A1/en</v>
      </c>
    </row>
    <row r="7882" spans="3:5" x14ac:dyDescent="0.25">
      <c r="C7882" t="s">
        <v>14380</v>
      </c>
      <c r="D7882" t="s">
        <v>14381</v>
      </c>
      <c r="E7882" t="str">
        <f>HYPERLINK("https://patents.google.com/patent/US20160221039A1/en")</f>
        <v>https://patents.google.com/patent/US20160221039A1/en</v>
      </c>
    </row>
    <row r="7883" spans="3:5" x14ac:dyDescent="0.25">
      <c r="C7883" t="s">
        <v>14382</v>
      </c>
      <c r="D7883" t="s">
        <v>14383</v>
      </c>
      <c r="E7883" t="str">
        <f>HYPERLINK("https://patents.google.com/patent/US20060030339A1/en")</f>
        <v>https://patents.google.com/patent/US20060030339A1/en</v>
      </c>
    </row>
    <row r="7884" spans="3:5" x14ac:dyDescent="0.25">
      <c r="C7884" t="s">
        <v>14384</v>
      </c>
      <c r="D7884" t="s">
        <v>14385</v>
      </c>
      <c r="E7884" t="str">
        <f>HYPERLINK("https://patents.google.com/patent/US20050257195A1/en")</f>
        <v>https://patents.google.com/patent/US20050257195A1/en</v>
      </c>
    </row>
    <row r="7885" spans="3:5" x14ac:dyDescent="0.25">
      <c r="C7885" t="s">
        <v>14386</v>
      </c>
      <c r="D7885" t="s">
        <v>14387</v>
      </c>
      <c r="E7885" t="str">
        <f>HYPERLINK("https://patents.google.com/patent/US20130167159A1/en")</f>
        <v>https://patents.google.com/patent/US20130167159A1/en</v>
      </c>
    </row>
    <row r="7886" spans="3:5" x14ac:dyDescent="0.25">
      <c r="C7886" t="s">
        <v>14388</v>
      </c>
      <c r="D7886" t="s">
        <v>14389</v>
      </c>
      <c r="E7886" t="str">
        <f>HYPERLINK("https://patents.google.com/patent/US20110063126A1/en")</f>
        <v>https://patents.google.com/patent/US20110063126A1/en</v>
      </c>
    </row>
    <row r="7887" spans="3:5" x14ac:dyDescent="0.25">
      <c r="C7887" t="s">
        <v>14390</v>
      </c>
      <c r="D7887" t="s">
        <v>14391</v>
      </c>
      <c r="E7887" t="str">
        <f>HYPERLINK("https://patents.google.com/patent/US20110061014A1/en")</f>
        <v>https://patents.google.com/patent/US20110061014A1/en</v>
      </c>
    </row>
    <row r="7888" spans="3:5" x14ac:dyDescent="0.25">
      <c r="C7888" t="s">
        <v>14392</v>
      </c>
      <c r="D7888" t="s">
        <v>14393</v>
      </c>
      <c r="E7888" t="str">
        <f>HYPERLINK("https://patents.google.com/patent/US20090204267A1/en")</f>
        <v>https://patents.google.com/patent/US20090204267A1/en</v>
      </c>
    </row>
    <row r="7889" spans="3:5" x14ac:dyDescent="0.25">
      <c r="C7889" t="s">
        <v>14341</v>
      </c>
      <c r="D7889" t="s">
        <v>14394</v>
      </c>
      <c r="E7889" t="str">
        <f>HYPERLINK("https://patents.google.com/patent/US20020135683A1/en")</f>
        <v>https://patents.google.com/patent/US20020135683A1/en</v>
      </c>
    </row>
    <row r="7890" spans="3:5" x14ac:dyDescent="0.25">
      <c r="C7890" t="s">
        <v>14395</v>
      </c>
      <c r="D7890" t="s">
        <v>14396</v>
      </c>
      <c r="E7890" t="str">
        <f>HYPERLINK("https://patents.google.com/patent/US20160149753A1/en")</f>
        <v>https://patents.google.com/patent/US20160149753A1/en</v>
      </c>
    </row>
    <row r="7891" spans="3:5" x14ac:dyDescent="0.25">
      <c r="C7891" t="s">
        <v>14397</v>
      </c>
      <c r="D7891" t="s">
        <v>14398</v>
      </c>
      <c r="E7891" t="str">
        <f>HYPERLINK("https://patents.google.com/patent/US20160149614A1/en")</f>
        <v>https://patents.google.com/patent/US20160149614A1/en</v>
      </c>
    </row>
    <row r="7892" spans="3:5" x14ac:dyDescent="0.25">
      <c r="C7892" t="s">
        <v>14399</v>
      </c>
      <c r="D7892" t="s">
        <v>14400</v>
      </c>
      <c r="E7892" t="str">
        <f>HYPERLINK("https://patents.google.com/patent/US20160149312A1/en")</f>
        <v>https://patents.google.com/patent/US20160149312A1/en</v>
      </c>
    </row>
    <row r="7893" spans="3:5" x14ac:dyDescent="0.25">
      <c r="C7893" t="s">
        <v>14401</v>
      </c>
      <c r="D7893" t="s">
        <v>14402</v>
      </c>
      <c r="E7893" t="str">
        <f>HYPERLINK("https://patents.google.com/patent/US20160164571A1/en")</f>
        <v>https://patents.google.com/patent/US20160164571A1/en</v>
      </c>
    </row>
    <row r="7894" spans="3:5" x14ac:dyDescent="0.25">
      <c r="C7894" t="s">
        <v>14403</v>
      </c>
      <c r="D7894" t="s">
        <v>14404</v>
      </c>
      <c r="E7894" t="str">
        <f>HYPERLINK("https://patents.google.com/patent/US20160164573A1/en")</f>
        <v>https://patents.google.com/patent/US20160164573A1/en</v>
      </c>
    </row>
    <row r="7895" spans="3:5" x14ac:dyDescent="0.25">
      <c r="C7895" t="s">
        <v>14405</v>
      </c>
      <c r="D7895" t="s">
        <v>14406</v>
      </c>
      <c r="E7895" t="str">
        <f>HYPERLINK("https://patents.google.com/patent/US20160149636A1/en")</f>
        <v>https://patents.google.com/patent/US20160149636A1/en</v>
      </c>
    </row>
    <row r="7896" spans="3:5" x14ac:dyDescent="0.25">
      <c r="C7896" t="s">
        <v>14392</v>
      </c>
      <c r="D7896" t="s">
        <v>14407</v>
      </c>
      <c r="E7896" t="str">
        <f>HYPERLINK("https://patents.google.com/patent/US20090204234A1/en")</f>
        <v>https://patents.google.com/patent/US20090204234A1/en</v>
      </c>
    </row>
    <row r="7897" spans="3:5" x14ac:dyDescent="0.25">
      <c r="C7897" t="s">
        <v>14408</v>
      </c>
      <c r="D7897" t="s">
        <v>14409</v>
      </c>
      <c r="E7897" t="str">
        <f>HYPERLINK("https://patents.google.com/patent/US20070116607A1/en")</f>
        <v>https://patents.google.com/patent/US20070116607A1/en</v>
      </c>
    </row>
    <row r="7898" spans="3:5" x14ac:dyDescent="0.25">
      <c r="C7898" t="s">
        <v>14410</v>
      </c>
      <c r="D7898" t="s">
        <v>14411</v>
      </c>
      <c r="E7898" t="str">
        <f>HYPERLINK("https://patents.google.com/patent/US20160276725A1/en")</f>
        <v>https://patents.google.com/patent/US20160276725A1/en</v>
      </c>
    </row>
    <row r="7899" spans="3:5" x14ac:dyDescent="0.25">
      <c r="C7899" t="s">
        <v>14412</v>
      </c>
      <c r="D7899" t="s">
        <v>14413</v>
      </c>
      <c r="E7899" t="str">
        <f>HYPERLINK("https://patents.google.com/patent/US20130173064A1/en")</f>
        <v>https://patents.google.com/patent/US20130173064A1/en</v>
      </c>
    </row>
    <row r="7900" spans="3:5" x14ac:dyDescent="0.25">
      <c r="C7900" t="s">
        <v>14414</v>
      </c>
      <c r="D7900" t="s">
        <v>14415</v>
      </c>
      <c r="E7900" t="str">
        <f>HYPERLINK("https://patents.google.com/patent/US20080252527A1/en")</f>
        <v>https://patents.google.com/patent/US20080252527A1/en</v>
      </c>
    </row>
    <row r="7901" spans="3:5" x14ac:dyDescent="0.25">
      <c r="C7901" t="s">
        <v>14416</v>
      </c>
      <c r="D7901" t="s">
        <v>14417</v>
      </c>
      <c r="E7901" t="str">
        <f>HYPERLINK("https://patents.google.com/patent/US20100106641A1/en")</f>
        <v>https://patents.google.com/patent/US20100106641A1/en</v>
      </c>
    </row>
    <row r="7902" spans="3:5" x14ac:dyDescent="0.25">
      <c r="C7902" t="s">
        <v>14392</v>
      </c>
      <c r="D7902" t="s">
        <v>14418</v>
      </c>
      <c r="E7902" t="str">
        <f>HYPERLINK("https://patents.google.com/patent/US20090210081A1/en")</f>
        <v>https://patents.google.com/patent/US20090210081A1/en</v>
      </c>
    </row>
    <row r="7903" spans="3:5" x14ac:dyDescent="0.25">
      <c r="C7903" t="s">
        <v>14419</v>
      </c>
      <c r="D7903" t="s">
        <v>14420</v>
      </c>
      <c r="E7903" t="str">
        <f>HYPERLINK("https://patents.google.com/patent/US20090082888A1/en")</f>
        <v>https://patents.google.com/patent/US20090082888A1/en</v>
      </c>
    </row>
    <row r="7904" spans="3:5" x14ac:dyDescent="0.25">
      <c r="C7904" t="s">
        <v>14421</v>
      </c>
      <c r="D7904" t="s">
        <v>14422</v>
      </c>
      <c r="E7904" t="str">
        <f>HYPERLINK("https://patents.google.com/patent/US20160315662A1/en")</f>
        <v>https://patents.google.com/patent/US20160315662A1/en</v>
      </c>
    </row>
    <row r="7905" spans="3:5" x14ac:dyDescent="0.25">
      <c r="C7905" t="s">
        <v>14423</v>
      </c>
      <c r="D7905" t="s">
        <v>14424</v>
      </c>
      <c r="E7905" t="str">
        <f>HYPERLINK("https://patents.google.com/patent/US20160315660A1/en")</f>
        <v>https://patents.google.com/patent/US20160315660A1/en</v>
      </c>
    </row>
    <row r="7906" spans="3:5" x14ac:dyDescent="0.25">
      <c r="C7906" t="s">
        <v>14425</v>
      </c>
      <c r="D7906" t="s">
        <v>14426</v>
      </c>
      <c r="E7906" t="str">
        <f>HYPERLINK("https://patents.google.com/patent/US20160322691A1/en")</f>
        <v>https://patents.google.com/patent/US20160322691A1/en</v>
      </c>
    </row>
    <row r="7907" spans="3:5" x14ac:dyDescent="0.25">
      <c r="C7907" t="s">
        <v>14427</v>
      </c>
      <c r="D7907" t="s">
        <v>14428</v>
      </c>
      <c r="E7907" t="str">
        <f>HYPERLINK("https://patents.google.com/patent/US20160365897A1/en")</f>
        <v>https://patents.google.com/patent/US20160365897A1/en</v>
      </c>
    </row>
    <row r="7908" spans="3:5" x14ac:dyDescent="0.25">
      <c r="C7908" t="s">
        <v>14429</v>
      </c>
      <c r="D7908" t="s">
        <v>14430</v>
      </c>
      <c r="E7908" t="str">
        <f>HYPERLINK("https://patents.google.com/patent/US20160365175A1/en")</f>
        <v>https://patents.google.com/patent/US20160365175A1/en</v>
      </c>
    </row>
    <row r="7909" spans="3:5" x14ac:dyDescent="0.25">
      <c r="C7909" t="s">
        <v>14431</v>
      </c>
      <c r="D7909" t="s">
        <v>14432</v>
      </c>
      <c r="E7909" t="str">
        <f>HYPERLINK("https://patents.google.com/patent/US20160366587A1/en")</f>
        <v>https://patents.google.com/patent/US20160366587A1/en</v>
      </c>
    </row>
    <row r="7910" spans="3:5" x14ac:dyDescent="0.25">
      <c r="C7910" t="s">
        <v>14433</v>
      </c>
      <c r="D7910" t="s">
        <v>14434</v>
      </c>
      <c r="E7910" t="str">
        <f>HYPERLINK("https://patents.google.com/patent/US20160359547A1/en")</f>
        <v>https://patents.google.com/patent/US20160359547A1/en</v>
      </c>
    </row>
    <row r="7911" spans="3:5" x14ac:dyDescent="0.25">
      <c r="C7911" t="s">
        <v>14435</v>
      </c>
      <c r="D7911" t="s">
        <v>14436</v>
      </c>
      <c r="E7911" t="str">
        <f>HYPERLINK("https://patents.google.com/patent/US20160366586A1/en")</f>
        <v>https://patents.google.com/patent/US20160366586A1/en</v>
      </c>
    </row>
    <row r="7912" spans="3:5" x14ac:dyDescent="0.25">
      <c r="C7912" t="s">
        <v>14437</v>
      </c>
      <c r="D7912" t="s">
        <v>14438</v>
      </c>
      <c r="E7912" t="str">
        <f>HYPERLINK("https://patents.google.com/patent/US20160336636A1/en")</f>
        <v>https://patents.google.com/patent/US20160336636A1/en</v>
      </c>
    </row>
    <row r="7913" spans="3:5" x14ac:dyDescent="0.25">
      <c r="C7913" t="s">
        <v>14439</v>
      </c>
      <c r="D7913" t="s">
        <v>14440</v>
      </c>
      <c r="E7913" t="str">
        <f>HYPERLINK("https://patents.google.com/patent/US20160365966A1/en")</f>
        <v>https://patents.google.com/patent/US20160365966A1/en</v>
      </c>
    </row>
    <row r="7914" spans="3:5" x14ac:dyDescent="0.25">
      <c r="C7914" t="s">
        <v>14439</v>
      </c>
      <c r="D7914" t="s">
        <v>14441</v>
      </c>
      <c r="E7914" t="str">
        <f>HYPERLINK("https://patents.google.com/patent/US20160359546A1/en")</f>
        <v>https://patents.google.com/patent/US20160359546A1/en</v>
      </c>
    </row>
    <row r="7915" spans="3:5" x14ac:dyDescent="0.25">
      <c r="C7915" t="s">
        <v>14329</v>
      </c>
      <c r="D7915" t="s">
        <v>14442</v>
      </c>
      <c r="E7915" t="str">
        <f>HYPERLINK("https://patents.google.com/patent/US20160336996A1/en")</f>
        <v>https://patents.google.com/patent/US20160336996A1/en</v>
      </c>
    </row>
    <row r="7916" spans="3:5" x14ac:dyDescent="0.25">
      <c r="C7916" t="s">
        <v>14443</v>
      </c>
      <c r="D7916" t="s">
        <v>14444</v>
      </c>
      <c r="E7916" t="str">
        <f>HYPERLINK("https://patents.google.com/patent/US20080025208A1/en")</f>
        <v>https://patents.google.com/patent/US20080025208A1/en</v>
      </c>
    </row>
    <row r="7917" spans="3:5" x14ac:dyDescent="0.25">
      <c r="C7917" t="s">
        <v>14445</v>
      </c>
      <c r="D7917" t="s">
        <v>14446</v>
      </c>
      <c r="E7917" t="str">
        <f>HYPERLINK("https://patents.google.com/patent/US20160336092A1/en")</f>
        <v>https://patents.google.com/patent/US20160336092A1/en</v>
      </c>
    </row>
    <row r="7918" spans="3:5" x14ac:dyDescent="0.25">
      <c r="C7918" t="s">
        <v>14447</v>
      </c>
      <c r="D7918" t="s">
        <v>14448</v>
      </c>
      <c r="E7918" t="str">
        <f>HYPERLINK("https://patents.google.com/patent/US20160359541A1/en")</f>
        <v>https://patents.google.com/patent/US20160359541A1/en</v>
      </c>
    </row>
    <row r="7919" spans="3:5" x14ac:dyDescent="0.25">
      <c r="C7919" t="s">
        <v>14439</v>
      </c>
      <c r="D7919" t="s">
        <v>14449</v>
      </c>
      <c r="E7919" t="str">
        <f>HYPERLINK("https://patents.google.com/patent/US20160365916A1/en")</f>
        <v>https://patents.google.com/patent/US20160365916A1/en</v>
      </c>
    </row>
    <row r="7920" spans="3:5" x14ac:dyDescent="0.25">
      <c r="C7920" t="s">
        <v>14450</v>
      </c>
      <c r="D7920" t="s">
        <v>14451</v>
      </c>
      <c r="E7920" t="str">
        <f>HYPERLINK("https://patents.google.com/patent/US20160360533A1/en")</f>
        <v>https://patents.google.com/patent/US20160360533A1/en</v>
      </c>
    </row>
    <row r="7921" spans="3:5" x14ac:dyDescent="0.25">
      <c r="C7921" t="s">
        <v>14445</v>
      </c>
      <c r="D7921" t="s">
        <v>14452</v>
      </c>
      <c r="E7921" t="str">
        <f>HYPERLINK("https://patents.google.com/patent/US20160336091A1/en")</f>
        <v>https://patents.google.com/patent/US20160336091A1/en</v>
      </c>
    </row>
    <row r="7922" spans="3:5" x14ac:dyDescent="0.25">
      <c r="C7922" t="s">
        <v>14453</v>
      </c>
      <c r="D7922" t="s">
        <v>14454</v>
      </c>
      <c r="E7922" t="str">
        <f>HYPERLINK("https://patents.google.com/patent/US20160351987A1/en")</f>
        <v>https://patents.google.com/patent/US20160351987A1/en</v>
      </c>
    </row>
    <row r="7923" spans="3:5" x14ac:dyDescent="0.25">
      <c r="C7923" t="s">
        <v>14455</v>
      </c>
      <c r="D7923" t="s">
        <v>14456</v>
      </c>
      <c r="E7923" t="str">
        <f>HYPERLINK("https://patents.google.com/patent/US20130128786A1/en")</f>
        <v>https://patents.google.com/patent/US20130128786A1/en</v>
      </c>
    </row>
    <row r="7924" spans="3:5" x14ac:dyDescent="0.25">
      <c r="C7924" t="s">
        <v>14457</v>
      </c>
      <c r="D7924" t="s">
        <v>14458</v>
      </c>
      <c r="E7924" t="str">
        <f>HYPERLINK("https://patents.google.com/patent/US20130293722A1/en")</f>
        <v>https://patents.google.com/patent/US20130293722A1/en</v>
      </c>
    </row>
    <row r="7925" spans="3:5" x14ac:dyDescent="0.25">
      <c r="C7925" t="s">
        <v>14433</v>
      </c>
      <c r="D7925" t="s">
        <v>14459</v>
      </c>
      <c r="E7925" t="str">
        <f>HYPERLINK("https://patents.google.com/patent/US20160359542A1/en")</f>
        <v>https://patents.google.com/patent/US20160359542A1/en</v>
      </c>
    </row>
    <row r="7926" spans="3:5" x14ac:dyDescent="0.25">
      <c r="C7926" t="s">
        <v>14450</v>
      </c>
      <c r="D7926" t="s">
        <v>14460</v>
      </c>
      <c r="E7926" t="str">
        <f>HYPERLINK("https://patents.google.com/patent/US20160359649A1/en")</f>
        <v>https://patents.google.com/patent/US20160359649A1/en</v>
      </c>
    </row>
    <row r="7927" spans="3:5" x14ac:dyDescent="0.25">
      <c r="C7927" t="s">
        <v>14461</v>
      </c>
      <c r="D7927" t="s">
        <v>14462</v>
      </c>
      <c r="E7927" t="str">
        <f>HYPERLINK("https://patents.google.com/patent/US20130338839A1/en")</f>
        <v>https://patents.google.com/patent/US20130338839A1/en</v>
      </c>
    </row>
    <row r="7928" spans="3:5" x14ac:dyDescent="0.25">
      <c r="C7928" t="s">
        <v>14463</v>
      </c>
      <c r="D7928" t="s">
        <v>14464</v>
      </c>
      <c r="E7928" t="str">
        <f>HYPERLINK("https://patents.google.com/patent/US20160380327A1/en")</f>
        <v>https://patents.google.com/patent/US20160380327A1/en</v>
      </c>
    </row>
    <row r="7929" spans="3:5" x14ac:dyDescent="0.25">
      <c r="C7929" t="s">
        <v>14465</v>
      </c>
      <c r="D7929" t="s">
        <v>14466</v>
      </c>
      <c r="E7929" t="str">
        <f>HYPERLINK("https://patents.google.com/patent/US20060099567A1/en")</f>
        <v>https://patents.google.com/patent/US20060099567A1/en</v>
      </c>
    </row>
    <row r="7930" spans="3:5" x14ac:dyDescent="0.25">
      <c r="C7930" t="s">
        <v>14392</v>
      </c>
      <c r="D7930" t="s">
        <v>14467</v>
      </c>
      <c r="E7930" t="str">
        <f>HYPERLINK("https://patents.google.com/patent/US20090204245A1/en")</f>
        <v>https://patents.google.com/patent/US20090204245A1/en</v>
      </c>
    </row>
    <row r="7931" spans="3:5" x14ac:dyDescent="0.25">
      <c r="C7931" t="s">
        <v>14468</v>
      </c>
      <c r="D7931" t="s">
        <v>14469</v>
      </c>
      <c r="E7931" t="str">
        <f>HYPERLINK("https://patents.google.com/patent/US20120203572A1/en")</f>
        <v>https://patents.google.com/patent/US20120203572A1/en</v>
      </c>
    </row>
    <row r="7932" spans="3:5" x14ac:dyDescent="0.25">
      <c r="C7932" t="s">
        <v>14470</v>
      </c>
      <c r="D7932" t="s">
        <v>14471</v>
      </c>
      <c r="E7932" t="str">
        <f>HYPERLINK("https://patents.google.com/patent/US20140349256A1/en")</f>
        <v>https://patents.google.com/patent/US20140349256A1/en</v>
      </c>
    </row>
    <row r="7933" spans="3:5" x14ac:dyDescent="0.25">
      <c r="C7933" t="s">
        <v>14392</v>
      </c>
      <c r="D7933" t="s">
        <v>14472</v>
      </c>
      <c r="E7933" t="str">
        <f>HYPERLINK("https://patents.google.com/patent/US20090204237A1/en")</f>
        <v>https://patents.google.com/patent/US20090204237A1/en</v>
      </c>
    </row>
    <row r="7934" spans="3:5" x14ac:dyDescent="0.25">
      <c r="C7934" t="s">
        <v>12481</v>
      </c>
      <c r="D7934" t="s">
        <v>14473</v>
      </c>
      <c r="E7934" t="str">
        <f>HYPERLINK("https://patents.google.com/patent/US20070145138A1/en")</f>
        <v>https://patents.google.com/patent/US20070145138A1/en</v>
      </c>
    </row>
    <row r="7935" spans="3:5" x14ac:dyDescent="0.25">
      <c r="C7935" t="s">
        <v>14474</v>
      </c>
      <c r="D7935" t="s">
        <v>14475</v>
      </c>
      <c r="E7935" t="str">
        <f>HYPERLINK("https://patents.google.com/patent/US20170026063A1/en")</f>
        <v>https://patents.google.com/patent/US20170026063A1/en</v>
      </c>
    </row>
    <row r="7936" spans="3:5" x14ac:dyDescent="0.25">
      <c r="C7936" t="s">
        <v>14463</v>
      </c>
      <c r="D7936" t="s">
        <v>14476</v>
      </c>
      <c r="E7936" t="str">
        <f>HYPERLINK("https://patents.google.com/patent/US20160380328A1/en")</f>
        <v>https://patents.google.com/patent/US20160380328A1/en</v>
      </c>
    </row>
    <row r="7937" spans="3:5" x14ac:dyDescent="0.25">
      <c r="C7937" t="s">
        <v>14477</v>
      </c>
      <c r="D7937" t="s">
        <v>14478</v>
      </c>
      <c r="E7937" t="str">
        <f>HYPERLINK("https://patents.google.com/patent/US20170026129A1/en")</f>
        <v>https://patents.google.com/patent/US20170026129A1/en</v>
      </c>
    </row>
    <row r="7938" spans="3:5" x14ac:dyDescent="0.25">
      <c r="C7938" t="s">
        <v>14479</v>
      </c>
      <c r="D7938" t="s">
        <v>14480</v>
      </c>
      <c r="E7938" t="str">
        <f>HYPERLINK("https://patents.google.com/patent/US20170018833A1/en")</f>
        <v>https://patents.google.com/patent/US20170018833A1/en</v>
      </c>
    </row>
    <row r="7939" spans="3:5" x14ac:dyDescent="0.25">
      <c r="C7939" t="s">
        <v>14481</v>
      </c>
      <c r="D7939" t="s">
        <v>14482</v>
      </c>
      <c r="E7939" t="str">
        <f>HYPERLINK("https://patents.google.com/patent/US20170018174A1/en")</f>
        <v>https://patents.google.com/patent/US20170018174A1/en</v>
      </c>
    </row>
    <row r="7940" spans="3:5" x14ac:dyDescent="0.25">
      <c r="C7940" t="s">
        <v>14483</v>
      </c>
      <c r="D7940" t="s">
        <v>14484</v>
      </c>
      <c r="E7940" t="str">
        <f>HYPERLINK("https://patents.google.com/patent/US20170018332A1/en")</f>
        <v>https://patents.google.com/patent/US20170018332A1/en</v>
      </c>
    </row>
    <row r="7941" spans="3:5" x14ac:dyDescent="0.25">
      <c r="C7941" t="s">
        <v>14485</v>
      </c>
      <c r="D7941" t="s">
        <v>14486</v>
      </c>
      <c r="E7941" t="str">
        <f>HYPERLINK("https://patents.google.com/patent/US20170018856A1/en")</f>
        <v>https://patents.google.com/patent/US20170018856A1/en</v>
      </c>
    </row>
    <row r="7942" spans="3:5" x14ac:dyDescent="0.25">
      <c r="C7942" t="s">
        <v>14487</v>
      </c>
      <c r="D7942" t="s">
        <v>14488</v>
      </c>
      <c r="E7942" t="str">
        <f>HYPERLINK("https://patents.google.com/patent/US20170025839A1/en")</f>
        <v>https://patents.google.com/patent/US20170025839A1/en</v>
      </c>
    </row>
    <row r="7943" spans="3:5" x14ac:dyDescent="0.25">
      <c r="C7943" t="s">
        <v>14489</v>
      </c>
      <c r="D7943" t="s">
        <v>14490</v>
      </c>
      <c r="E7943" t="str">
        <f>HYPERLINK("https://patents.google.com/patent/US20170025728A1/en")</f>
        <v>https://patents.google.com/patent/US20170025728A1/en</v>
      </c>
    </row>
    <row r="7944" spans="3:5" x14ac:dyDescent="0.25">
      <c r="C7944" t="s">
        <v>14479</v>
      </c>
      <c r="D7944" t="s">
        <v>14491</v>
      </c>
      <c r="E7944" t="str">
        <f>HYPERLINK("https://patents.google.com/patent/US20170025734A1/en")</f>
        <v>https://patents.google.com/patent/US20170025734A1/en</v>
      </c>
    </row>
    <row r="7945" spans="3:5" x14ac:dyDescent="0.25">
      <c r="C7945" t="s">
        <v>14492</v>
      </c>
      <c r="D7945" t="s">
        <v>14493</v>
      </c>
      <c r="E7945" t="str">
        <f>HYPERLINK("https://patents.google.com/patent/US20090077405A1/en")</f>
        <v>https://patents.google.com/patent/US20090077405A1/en</v>
      </c>
    </row>
    <row r="7946" spans="3:5" x14ac:dyDescent="0.25">
      <c r="C7946" t="s">
        <v>14494</v>
      </c>
      <c r="D7946" t="s">
        <v>14495</v>
      </c>
      <c r="E7946" t="str">
        <f>HYPERLINK("https://patents.google.com/patent/US20120252487A1/en")</f>
        <v>https://patents.google.com/patent/US20120252487A1/en</v>
      </c>
    </row>
    <row r="7947" spans="3:5" x14ac:dyDescent="0.25">
      <c r="C7947" t="s">
        <v>14496</v>
      </c>
      <c r="D7947" t="s">
        <v>14497</v>
      </c>
      <c r="E7947" t="str">
        <f>HYPERLINK("https://patents.google.com/patent/US20170033834A1/en")</f>
        <v>https://patents.google.com/patent/US20170033834A1/en</v>
      </c>
    </row>
    <row r="7948" spans="3:5" x14ac:dyDescent="0.25">
      <c r="C7948" t="s">
        <v>14498</v>
      </c>
      <c r="D7948" t="s">
        <v>14499</v>
      </c>
      <c r="E7948" t="str">
        <f>HYPERLINK("https://patents.google.com/patent/US20170033464A1/en")</f>
        <v>https://patents.google.com/patent/US20170033464A1/en</v>
      </c>
    </row>
    <row r="7949" spans="3:5" x14ac:dyDescent="0.25">
      <c r="C7949" t="s">
        <v>14431</v>
      </c>
      <c r="D7949" t="s">
        <v>14500</v>
      </c>
      <c r="E7949" t="str">
        <f>HYPERLINK("https://patents.google.com/patent/US20170034042A1/en")</f>
        <v>https://patents.google.com/patent/US20170034042A1/en</v>
      </c>
    </row>
    <row r="7950" spans="3:5" x14ac:dyDescent="0.25">
      <c r="C7950" t="s">
        <v>14501</v>
      </c>
      <c r="D7950" t="s">
        <v>14502</v>
      </c>
      <c r="E7950" t="str">
        <f>HYPERLINK("https://patents.google.com/patent/US20150120000A1/en")</f>
        <v>https://patents.google.com/patent/US20150120000A1/en</v>
      </c>
    </row>
    <row r="7951" spans="3:5" x14ac:dyDescent="0.25">
      <c r="C7951" t="s">
        <v>14503</v>
      </c>
      <c r="D7951" t="s">
        <v>14504</v>
      </c>
      <c r="E7951" t="str">
        <f>HYPERLINK("https://patents.google.com/patent/US20140349257A1/en")</f>
        <v>https://patents.google.com/patent/US20140349257A1/en</v>
      </c>
    </row>
    <row r="7952" spans="3:5" x14ac:dyDescent="0.25">
      <c r="C7952" t="s">
        <v>14341</v>
      </c>
      <c r="D7952" t="s">
        <v>14505</v>
      </c>
      <c r="E7952" t="str">
        <f>HYPERLINK("https://patents.google.com/patent/US20020015447A1/en")</f>
        <v>https://patents.google.com/patent/US20020015447A1/en</v>
      </c>
    </row>
    <row r="7953" spans="3:5" x14ac:dyDescent="0.25">
      <c r="C7953" t="s">
        <v>14506</v>
      </c>
      <c r="D7953" t="s">
        <v>14507</v>
      </c>
      <c r="E7953" t="str">
        <f>HYPERLINK("https://patents.google.com/patent/US20130159413A1/en")</f>
        <v>https://patents.google.com/patent/US20130159413A1/en</v>
      </c>
    </row>
    <row r="7954" spans="3:5" x14ac:dyDescent="0.25">
      <c r="C7954" t="s">
        <v>14465</v>
      </c>
      <c r="D7954" t="s">
        <v>14508</v>
      </c>
      <c r="E7954" t="str">
        <f>HYPERLINK("https://patents.google.com/patent/US20080176209A1/en")</f>
        <v>https://patents.google.com/patent/US20080176209A1/en</v>
      </c>
    </row>
    <row r="7955" spans="3:5" x14ac:dyDescent="0.25">
      <c r="C7955" t="s">
        <v>14509</v>
      </c>
      <c r="D7955" t="s">
        <v>14510</v>
      </c>
      <c r="E7955" t="str">
        <f>HYPERLINK("https://patents.google.com/patent/US20040237439A1/en")</f>
        <v>https://patents.google.com/patent/US20040237439A1/en</v>
      </c>
    </row>
    <row r="7956" spans="3:5" x14ac:dyDescent="0.25">
      <c r="C7956" t="s">
        <v>14511</v>
      </c>
      <c r="D7956" t="s">
        <v>14512</v>
      </c>
      <c r="E7956" t="str">
        <f>HYPERLINK("https://patents.google.com/patent/US20130263227A1/en")</f>
        <v>https://patents.google.com/patent/US20130263227A1/en</v>
      </c>
    </row>
    <row r="7957" spans="3:5" x14ac:dyDescent="0.25">
      <c r="C7957" t="s">
        <v>14513</v>
      </c>
      <c r="D7957" t="s">
        <v>14514</v>
      </c>
      <c r="E7957" t="str">
        <f>HYPERLINK("https://patents.google.com/patent/US20080149573A1/en")</f>
        <v>https://patents.google.com/patent/US20080149573A1/en</v>
      </c>
    </row>
    <row r="7958" spans="3:5" x14ac:dyDescent="0.25">
      <c r="C7958" t="s">
        <v>14515</v>
      </c>
      <c r="D7958" t="s">
        <v>14516</v>
      </c>
      <c r="E7958" t="str">
        <f>HYPERLINK("https://patents.google.com/patent/US20140347491A1/en")</f>
        <v>https://patents.google.com/patent/US20140347491A1/en</v>
      </c>
    </row>
    <row r="7959" spans="3:5" x14ac:dyDescent="0.25">
      <c r="C7959" t="s">
        <v>14517</v>
      </c>
      <c r="D7959" t="s">
        <v>14518</v>
      </c>
      <c r="E7959" t="str">
        <f>HYPERLINK("https://patents.google.com/patent/US20100264906A1/en")</f>
        <v>https://patents.google.com/patent/US20100264906A1/en</v>
      </c>
    </row>
    <row r="7960" spans="3:5" x14ac:dyDescent="0.25">
      <c r="C7960" t="s">
        <v>14519</v>
      </c>
      <c r="D7960" t="s">
        <v>14520</v>
      </c>
      <c r="E7960" t="str">
        <f>HYPERLINK("https://patents.google.com/patent/US20060293613A1/en")</f>
        <v>https://patents.google.com/patent/US20060293613A1/en</v>
      </c>
    </row>
    <row r="7961" spans="3:5" x14ac:dyDescent="0.25">
      <c r="C7961" t="s">
        <v>14521</v>
      </c>
      <c r="D7961" t="s">
        <v>14522</v>
      </c>
      <c r="E7961" t="str">
        <f>HYPERLINK("https://patents.google.com/patent/US20140359131A1/en")</f>
        <v>https://patents.google.com/patent/US20140359131A1/en</v>
      </c>
    </row>
    <row r="7962" spans="3:5" x14ac:dyDescent="0.25">
      <c r="C7962" t="s">
        <v>14523</v>
      </c>
      <c r="D7962" t="s">
        <v>14524</v>
      </c>
      <c r="E7962" t="str">
        <f>HYPERLINK("https://patents.google.com/patent/US20150168365A1/en")</f>
        <v>https://patents.google.com/patent/US20150168365A1/en</v>
      </c>
    </row>
    <row r="7963" spans="3:5" x14ac:dyDescent="0.25">
      <c r="C7963" t="s">
        <v>14525</v>
      </c>
      <c r="D7963" t="s">
        <v>14526</v>
      </c>
      <c r="E7963" t="str">
        <f>HYPERLINK("https://patents.google.com/patent/US20170079024A1/en")</f>
        <v>https://patents.google.com/patent/US20170079024A1/en</v>
      </c>
    </row>
    <row r="7964" spans="3:5" x14ac:dyDescent="0.25">
      <c r="C7964" t="s">
        <v>14527</v>
      </c>
      <c r="D7964" t="s">
        <v>14528</v>
      </c>
      <c r="E7964" t="str">
        <f>HYPERLINK("https://patents.google.com/patent/US20100091747A1/en")</f>
        <v>https://patents.google.com/patent/US20100091747A1/en</v>
      </c>
    </row>
    <row r="7965" spans="3:5" x14ac:dyDescent="0.25">
      <c r="C7965" t="s">
        <v>14529</v>
      </c>
      <c r="D7965" t="s">
        <v>14530</v>
      </c>
      <c r="E7965" t="str">
        <f>HYPERLINK("https://patents.google.com/patent/US20100251692A1/en")</f>
        <v>https://patents.google.com/patent/US20100251692A1/en</v>
      </c>
    </row>
    <row r="7966" spans="3:5" x14ac:dyDescent="0.25">
      <c r="C7966" t="s">
        <v>14531</v>
      </c>
      <c r="D7966" t="s">
        <v>14532</v>
      </c>
      <c r="E7966" t="str">
        <f>HYPERLINK("https://patents.google.com/patent/US20140064247A1/en")</f>
        <v>https://patents.google.com/patent/US20140064247A1/en</v>
      </c>
    </row>
    <row r="7967" spans="3:5" x14ac:dyDescent="0.25">
      <c r="C7967" t="s">
        <v>14533</v>
      </c>
      <c r="D7967" t="s">
        <v>14534</v>
      </c>
      <c r="E7967" t="str">
        <f>HYPERLINK("https://patents.google.com/patent/US20020078459A1/en")</f>
        <v>https://patents.google.com/patent/US20020078459A1/en</v>
      </c>
    </row>
    <row r="7968" spans="3:5" x14ac:dyDescent="0.25">
      <c r="C7968" t="s">
        <v>14535</v>
      </c>
      <c r="D7968" t="s">
        <v>14536</v>
      </c>
      <c r="E7968" t="str">
        <f>HYPERLINK("https://patents.google.com/patent/US20160114887A1/en")</f>
        <v>https://patents.google.com/patent/US20160114887A1/en</v>
      </c>
    </row>
    <row r="7969" spans="3:5" x14ac:dyDescent="0.25">
      <c r="C7969" t="s">
        <v>14537</v>
      </c>
      <c r="D7969" t="s">
        <v>14538</v>
      </c>
      <c r="E7969" t="str">
        <f>HYPERLINK("https://patents.google.com/patent/US20140052300A1/en")</f>
        <v>https://patents.google.com/patent/US20140052300A1/en</v>
      </c>
    </row>
    <row r="7970" spans="3:5" x14ac:dyDescent="0.25">
      <c r="C7970" t="s">
        <v>14539</v>
      </c>
      <c r="D7970" t="s">
        <v>14540</v>
      </c>
      <c r="E7970" t="str">
        <f>HYPERLINK("https://patents.google.com/patent/US20150134954A1/en")</f>
        <v>https://patents.google.com/patent/US20150134954A1/en</v>
      </c>
    </row>
    <row r="7971" spans="3:5" x14ac:dyDescent="0.25">
      <c r="C7971" t="s">
        <v>14541</v>
      </c>
      <c r="D7971" t="s">
        <v>14542</v>
      </c>
      <c r="E7971" t="str">
        <f>HYPERLINK("https://patents.google.com/patent/US20020067922A1/en")</f>
        <v>https://patents.google.com/patent/US20020067922A1/en</v>
      </c>
    </row>
    <row r="7972" spans="3:5" x14ac:dyDescent="0.25">
      <c r="C7972" t="s">
        <v>14543</v>
      </c>
      <c r="D7972" t="s">
        <v>14544</v>
      </c>
      <c r="E7972" t="str">
        <f>HYPERLINK("https://patents.google.com/patent/US20170099079A1/en")</f>
        <v>https://patents.google.com/patent/US20170099079A1/en</v>
      </c>
    </row>
    <row r="7973" spans="3:5" x14ac:dyDescent="0.25">
      <c r="C7973" t="s">
        <v>14545</v>
      </c>
      <c r="D7973" t="s">
        <v>14546</v>
      </c>
      <c r="E7973" t="str">
        <f>HYPERLINK("https://patents.google.com/patent/US20150170256A1/en")</f>
        <v>https://patents.google.com/patent/US20150170256A1/en</v>
      </c>
    </row>
    <row r="7974" spans="3:5" x14ac:dyDescent="0.25">
      <c r="C7974" t="s">
        <v>14547</v>
      </c>
      <c r="D7974" t="s">
        <v>14548</v>
      </c>
      <c r="E7974" t="str">
        <f>HYPERLINK("https://patents.google.com/patent/US20170075677A1/en")</f>
        <v>https://patents.google.com/patent/US20170075677A1/en</v>
      </c>
    </row>
    <row r="7975" spans="3:5" x14ac:dyDescent="0.25">
      <c r="C7975" t="s">
        <v>14549</v>
      </c>
      <c r="D7975" t="s">
        <v>14550</v>
      </c>
      <c r="E7975" t="str">
        <f>HYPERLINK("https://patents.google.com/patent/US20150338915A1/en")</f>
        <v>https://patents.google.com/patent/US20150338915A1/en</v>
      </c>
    </row>
    <row r="7976" spans="3:5" x14ac:dyDescent="0.25">
      <c r="C7976" t="s">
        <v>14551</v>
      </c>
      <c r="D7976" t="s">
        <v>14552</v>
      </c>
      <c r="E7976" t="str">
        <f>HYPERLINK("https://patents.google.com/patent/US20170098889A1/en")</f>
        <v>https://patents.google.com/patent/US20170098889A1/en</v>
      </c>
    </row>
    <row r="7977" spans="3:5" x14ac:dyDescent="0.25">
      <c r="C7977" t="s">
        <v>14553</v>
      </c>
      <c r="D7977" t="s">
        <v>14554</v>
      </c>
      <c r="E7977" t="str">
        <f>HYPERLINK("https://patents.google.com/patent/US20170093807A1/en")</f>
        <v>https://patents.google.com/patent/US20170093807A1/en</v>
      </c>
    </row>
    <row r="7978" spans="3:5" x14ac:dyDescent="0.25">
      <c r="C7978" t="s">
        <v>14555</v>
      </c>
      <c r="D7978" t="s">
        <v>14556</v>
      </c>
      <c r="E7978" t="str">
        <f>HYPERLINK("https://patents.google.com/patent/US20140094188A1/en")</f>
        <v>https://patents.google.com/patent/US20140094188A1/en</v>
      </c>
    </row>
    <row r="7979" spans="3:5" x14ac:dyDescent="0.25">
      <c r="C7979" t="s">
        <v>14557</v>
      </c>
      <c r="D7979" t="s">
        <v>14558</v>
      </c>
      <c r="E7979" t="str">
        <f>HYPERLINK("https://patents.google.com/patent/US20170098884A1/en")</f>
        <v>https://patents.google.com/patent/US20170098884A1/en</v>
      </c>
    </row>
    <row r="7980" spans="3:5" x14ac:dyDescent="0.25">
      <c r="C7980" t="s">
        <v>14559</v>
      </c>
      <c r="D7980" t="s">
        <v>14560</v>
      </c>
      <c r="E7980" t="str">
        <f>HYPERLINK("https://patents.google.com/patent/US20120191512A1/en")</f>
        <v>https://patents.google.com/patent/US20120191512A1/en</v>
      </c>
    </row>
    <row r="7981" spans="3:5" x14ac:dyDescent="0.25">
      <c r="C7981" t="s">
        <v>14561</v>
      </c>
      <c r="D7981" t="s">
        <v>14562</v>
      </c>
      <c r="E7981" t="str">
        <f>HYPERLINK("https://patents.google.com/patent/US20140000322A1/en")</f>
        <v>https://patents.google.com/patent/US20140000322A1/en</v>
      </c>
    </row>
    <row r="7982" spans="3:5" x14ac:dyDescent="0.25">
      <c r="C7982" t="s">
        <v>14563</v>
      </c>
      <c r="D7982" t="s">
        <v>14564</v>
      </c>
      <c r="E7982" t="str">
        <f>HYPERLINK("https://patents.google.com/patent/US20170098881A1/en")</f>
        <v>https://patents.google.com/patent/US20170098881A1/en</v>
      </c>
    </row>
    <row r="7983" spans="3:5" x14ac:dyDescent="0.25">
      <c r="C7983" t="s">
        <v>13921</v>
      </c>
      <c r="D7983" t="s">
        <v>14565</v>
      </c>
      <c r="E7983" t="str">
        <f>HYPERLINK("https://patents.google.com/patent/CN105593648A/en")</f>
        <v>https://patents.google.com/patent/CN105593648A/en</v>
      </c>
    </row>
    <row r="7984" spans="3:5" x14ac:dyDescent="0.25">
      <c r="C7984" t="s">
        <v>14566</v>
      </c>
      <c r="D7984" t="s">
        <v>14567</v>
      </c>
      <c r="E7984" t="str">
        <f>HYPERLINK("https://patents.google.com/patent/CN106217346B/en")</f>
        <v>https://patents.google.com/patent/CN106217346B/en</v>
      </c>
    </row>
    <row r="7985" spans="3:5" x14ac:dyDescent="0.25">
      <c r="C7985" t="s">
        <v>14568</v>
      </c>
      <c r="D7985" t="s">
        <v>14569</v>
      </c>
      <c r="E7985" t="str">
        <f>HYPERLINK("https://patents.google.com/patent/CN105040940B/en")</f>
        <v>https://patents.google.com/patent/CN105040940B/en</v>
      </c>
    </row>
    <row r="7986" spans="3:5" x14ac:dyDescent="0.25">
      <c r="C7986" t="s">
        <v>14570</v>
      </c>
      <c r="D7986" t="s">
        <v>14571</v>
      </c>
      <c r="E7986" t="str">
        <f>HYPERLINK("https://patents.google.com/patent/CN207662894U/en")</f>
        <v>https://patents.google.com/patent/CN207662894U/en</v>
      </c>
    </row>
    <row r="7987" spans="3:5" x14ac:dyDescent="0.25">
      <c r="C7987" t="s">
        <v>14572</v>
      </c>
      <c r="D7987" t="s">
        <v>14573</v>
      </c>
      <c r="E7987" t="str">
        <f>HYPERLINK("https://patents.google.com/patent/CN107064466A/en")</f>
        <v>https://patents.google.com/patent/CN107064466A/en</v>
      </c>
    </row>
    <row r="7988" spans="3:5" x14ac:dyDescent="0.25">
      <c r="C7988" t="s">
        <v>14574</v>
      </c>
      <c r="D7988" t="s">
        <v>14575</v>
      </c>
      <c r="E7988" t="str">
        <f>HYPERLINK("https://patents.google.com/patent/US6966154B1/en")</f>
        <v>https://patents.google.com/patent/US6966154B1/en</v>
      </c>
    </row>
    <row r="7989" spans="3:5" x14ac:dyDescent="0.25">
      <c r="C7989" t="s">
        <v>14576</v>
      </c>
      <c r="D7989" t="s">
        <v>14577</v>
      </c>
      <c r="E7989" t="str">
        <f>HYPERLINK("https://patents.google.com/patent/US20080034310A1/en")</f>
        <v>https://patents.google.com/patent/US20080034310A1/en</v>
      </c>
    </row>
    <row r="7990" spans="3:5" x14ac:dyDescent="0.25">
      <c r="C7990" t="s">
        <v>14578</v>
      </c>
      <c r="D7990" t="s">
        <v>14579</v>
      </c>
      <c r="E7990" t="str">
        <f>HYPERLINK("https://patents.google.com/patent/US20070092407A1/en")</f>
        <v>https://patents.google.com/patent/US20070092407A1/en</v>
      </c>
    </row>
    <row r="7991" spans="3:5" x14ac:dyDescent="0.25">
      <c r="C7991" t="s">
        <v>14580</v>
      </c>
      <c r="D7991" t="s">
        <v>14581</v>
      </c>
      <c r="E7991" t="str">
        <f>HYPERLINK("https://patents.google.com/patent/US20120062249A1/en")</f>
        <v>https://patents.google.com/patent/US20120062249A1/en</v>
      </c>
    </row>
    <row r="7992" spans="3:5" x14ac:dyDescent="0.25">
      <c r="C7992" t="s">
        <v>14582</v>
      </c>
      <c r="D7992" t="s">
        <v>14583</v>
      </c>
      <c r="E7992" t="str">
        <f>HYPERLINK("https://patents.google.com/patent/US20160219024A1/en")</f>
        <v>https://patents.google.com/patent/US20160219024A1/en</v>
      </c>
    </row>
    <row r="7993" spans="3:5" x14ac:dyDescent="0.25">
      <c r="C7993" t="s">
        <v>14584</v>
      </c>
      <c r="D7993" t="s">
        <v>14585</v>
      </c>
      <c r="E7993" t="str">
        <f>HYPERLINK("https://patents.google.com/patent/US20140058801A1/en")</f>
        <v>https://patents.google.com/patent/US20140058801A1/en</v>
      </c>
    </row>
    <row r="7994" spans="3:5" x14ac:dyDescent="0.25">
      <c r="C7994" t="s">
        <v>14586</v>
      </c>
      <c r="D7994" t="s">
        <v>14587</v>
      </c>
      <c r="E7994" t="str">
        <f>HYPERLINK("https://patents.google.com/patent/US5502850A/en")</f>
        <v>https://patents.google.com/patent/US5502850A/en</v>
      </c>
    </row>
    <row r="7995" spans="3:5" x14ac:dyDescent="0.25">
      <c r="C7995" t="s">
        <v>14588</v>
      </c>
      <c r="D7995" t="s">
        <v>14589</v>
      </c>
      <c r="E7995" t="str">
        <f>HYPERLINK("https://patents.google.com/patent/US7562883B2/en")</f>
        <v>https://patents.google.com/patent/US7562883B2/en</v>
      </c>
    </row>
    <row r="7996" spans="3:5" x14ac:dyDescent="0.25">
      <c r="C7996" t="s">
        <v>14590</v>
      </c>
      <c r="D7996" t="s">
        <v>14591</v>
      </c>
      <c r="E7996" t="str">
        <f>HYPERLINK("https://patents.google.com/patent/CN201160304Y/en")</f>
        <v>https://patents.google.com/patent/CN201160304Y/en</v>
      </c>
    </row>
    <row r="7997" spans="3:5" x14ac:dyDescent="0.25">
      <c r="C7997" t="s">
        <v>14592</v>
      </c>
      <c r="D7997" t="s">
        <v>14593</v>
      </c>
      <c r="E7997" t="str">
        <f>HYPERLINK("https://patents.google.com/patent/US20130310077A1/en")</f>
        <v>https://patents.google.com/patent/US20130310077A1/en</v>
      </c>
    </row>
    <row r="7998" spans="3:5" x14ac:dyDescent="0.25">
      <c r="C7998" t="s">
        <v>14594</v>
      </c>
      <c r="D7998" t="s">
        <v>14595</v>
      </c>
      <c r="E7998" t="str">
        <f>HYPERLINK("https://patents.google.com/patent/US20100054131A1/en")</f>
        <v>https://patents.google.com/patent/US20100054131A1/en</v>
      </c>
    </row>
    <row r="7999" spans="3:5" x14ac:dyDescent="0.25">
      <c r="C7999" t="s">
        <v>14596</v>
      </c>
      <c r="D7999" t="s">
        <v>14597</v>
      </c>
      <c r="E7999" t="str">
        <f>HYPERLINK("https://patents.google.com/patent/US20100314282A1/en")</f>
        <v>https://patents.google.com/patent/US20100314282A1/en</v>
      </c>
    </row>
    <row r="8000" spans="3:5" x14ac:dyDescent="0.25">
      <c r="C8000" t="s">
        <v>11440</v>
      </c>
      <c r="D8000" t="s">
        <v>14598</v>
      </c>
      <c r="E8000" t="str">
        <f>HYPERLINK("https://patents.google.com/patent/US20140206367A1/en")</f>
        <v>https://patents.google.com/patent/US20140206367A1/en</v>
      </c>
    </row>
    <row r="8001" spans="3:5" x14ac:dyDescent="0.25">
      <c r="C8001" t="s">
        <v>14599</v>
      </c>
      <c r="D8001" t="s">
        <v>14600</v>
      </c>
      <c r="E8001" t="str">
        <f>HYPERLINK("https://patents.google.com/patent/US20100306736A1/en")</f>
        <v>https://patents.google.com/patent/US20100306736A1/en</v>
      </c>
    </row>
    <row r="8002" spans="3:5" x14ac:dyDescent="0.25">
      <c r="C8002" t="s">
        <v>14601</v>
      </c>
      <c r="D8002" t="s">
        <v>14602</v>
      </c>
      <c r="E8002" t="str">
        <f>HYPERLINK("https://patents.google.com/patent/WO2000011823A1/en")</f>
        <v>https://patents.google.com/patent/WO2000011823A1/en</v>
      </c>
    </row>
    <row r="8003" spans="3:5" x14ac:dyDescent="0.25">
      <c r="C8003" t="s">
        <v>14603</v>
      </c>
      <c r="D8003" t="s">
        <v>14604</v>
      </c>
      <c r="E8003" t="str">
        <f>HYPERLINK("https://patents.google.com/patent/WO1997033790A1/en")</f>
        <v>https://patents.google.com/patent/WO1997033790A1/en</v>
      </c>
    </row>
    <row r="8004" spans="3:5" x14ac:dyDescent="0.25">
      <c r="C8004" t="s">
        <v>14605</v>
      </c>
      <c r="D8004" t="s">
        <v>14606</v>
      </c>
      <c r="E8004" t="str">
        <f>HYPERLINK("https://patents.google.com/patent/WO1997011837A1/en")</f>
        <v>https://patents.google.com/patent/WO1997011837A1/en</v>
      </c>
    </row>
    <row r="8005" spans="3:5" x14ac:dyDescent="0.25">
      <c r="C8005" t="s">
        <v>14607</v>
      </c>
      <c r="D8005" t="s">
        <v>14608</v>
      </c>
      <c r="E8005" t="str">
        <f>HYPERLINK("https://patents.google.com/patent/CN103984315A/en")</f>
        <v>https://patents.google.com/patent/CN103984315A/en</v>
      </c>
    </row>
    <row r="8006" spans="3:5" x14ac:dyDescent="0.25">
      <c r="C8006" t="s">
        <v>14609</v>
      </c>
      <c r="D8006" t="s">
        <v>14610</v>
      </c>
      <c r="E8006" t="str">
        <f>HYPERLINK("https://patents.google.com/patent/US20160241999A1/en")</f>
        <v>https://patents.google.com/patent/US20160241999A1/en</v>
      </c>
    </row>
    <row r="8007" spans="3:5" x14ac:dyDescent="0.25">
      <c r="C8007" t="s">
        <v>14611</v>
      </c>
      <c r="D8007" t="s">
        <v>14612</v>
      </c>
      <c r="E8007" t="str">
        <f>HYPERLINK("https://patents.google.com/patent/US20070092975A1/en")</f>
        <v>https://patents.google.com/patent/US20070092975A1/en</v>
      </c>
    </row>
    <row r="8008" spans="3:5" x14ac:dyDescent="0.25">
      <c r="C8008" t="s">
        <v>14613</v>
      </c>
      <c r="D8008" t="s">
        <v>14614</v>
      </c>
      <c r="E8008" t="str">
        <f>HYPERLINK("https://patents.google.com/patent/US4976422A/en")</f>
        <v>https://patents.google.com/patent/US4976422A/en</v>
      </c>
    </row>
    <row r="8009" spans="3:5" x14ac:dyDescent="0.25">
      <c r="C8009" t="s">
        <v>14615</v>
      </c>
      <c r="D8009" t="s">
        <v>14616</v>
      </c>
      <c r="E8009" t="str">
        <f>HYPERLINK("https://patents.google.com/patent/WO2010044204A1/en")</f>
        <v>https://patents.google.com/patent/WO2010044204A1/en</v>
      </c>
    </row>
    <row r="8010" spans="3:5" x14ac:dyDescent="0.25">
      <c r="C8010" t="s">
        <v>14617</v>
      </c>
      <c r="D8010" t="s">
        <v>14618</v>
      </c>
      <c r="E8010" t="str">
        <f>HYPERLINK("https://patents.google.com/patent/EP1111904A2/en")</f>
        <v>https://patents.google.com/patent/EP1111904A2/en</v>
      </c>
    </row>
    <row r="8011" spans="3:5" x14ac:dyDescent="0.25">
      <c r="C8011" t="s">
        <v>14619</v>
      </c>
      <c r="D8011" t="s">
        <v>14620</v>
      </c>
      <c r="E8011" t="str">
        <f>HYPERLINK("https://patents.google.com/patent/US20120151098A1/en")</f>
        <v>https://patents.google.com/patent/US20120151098A1/en</v>
      </c>
    </row>
    <row r="8012" spans="3:5" x14ac:dyDescent="0.25">
      <c r="C8012" t="s">
        <v>14621</v>
      </c>
      <c r="D8012" t="s">
        <v>14622</v>
      </c>
      <c r="E8012" t="str">
        <f>HYPERLINK("https://patents.google.com/patent/US20110221635A1/en")</f>
        <v>https://patents.google.com/patent/US20110221635A1/en</v>
      </c>
    </row>
    <row r="8013" spans="3:5" x14ac:dyDescent="0.25">
      <c r="C8013" t="s">
        <v>14623</v>
      </c>
      <c r="D8013" t="s">
        <v>14624</v>
      </c>
      <c r="E8013" t="str">
        <f>HYPERLINK("https://patents.google.com/patent/CN103946732A/en")</f>
        <v>https://patents.google.com/patent/CN103946732A/en</v>
      </c>
    </row>
    <row r="8014" spans="3:5" x14ac:dyDescent="0.25">
      <c r="C8014" t="s">
        <v>14625</v>
      </c>
      <c r="D8014" t="s">
        <v>14626</v>
      </c>
      <c r="E8014" t="str">
        <f>HYPERLINK("https://patents.google.com/patent/US8448155B2/en")</f>
        <v>https://patents.google.com/patent/US8448155B2/en</v>
      </c>
    </row>
    <row r="8015" spans="3:5" x14ac:dyDescent="0.25">
      <c r="C8015" t="s">
        <v>14627</v>
      </c>
      <c r="D8015" t="s">
        <v>14628</v>
      </c>
      <c r="E8015" t="str">
        <f>HYPERLINK("https://patents.google.com/patent/US20120184302A1/en")</f>
        <v>https://patents.google.com/patent/US20120184302A1/en</v>
      </c>
    </row>
    <row r="8016" spans="3:5" x14ac:dyDescent="0.25">
      <c r="C8016" t="s">
        <v>14629</v>
      </c>
      <c r="D8016" t="s">
        <v>14630</v>
      </c>
      <c r="E8016" t="str">
        <f>HYPERLINK("https://patents.google.com/patent/CN102737286A/en")</f>
        <v>https://patents.google.com/patent/CN102737286A/en</v>
      </c>
    </row>
    <row r="8017" spans="3:5" x14ac:dyDescent="0.25">
      <c r="C8017" t="s">
        <v>14631</v>
      </c>
      <c r="D8017" t="s">
        <v>14632</v>
      </c>
      <c r="E8017" t="str">
        <f>HYPERLINK("https://patents.google.com/patent/US5904165A/en")</f>
        <v>https://patents.google.com/patent/US5904165A/en</v>
      </c>
    </row>
    <row r="8018" spans="3:5" x14ac:dyDescent="0.25">
      <c r="C8018" t="s">
        <v>14633</v>
      </c>
      <c r="D8018" t="s">
        <v>14634</v>
      </c>
      <c r="E8018" t="str">
        <f>HYPERLINK("https://patents.google.com/patent/CN101937593A/en")</f>
        <v>https://patents.google.com/patent/CN101937593A/en</v>
      </c>
    </row>
    <row r="8019" spans="3:5" x14ac:dyDescent="0.25">
      <c r="C8019" t="s">
        <v>14635</v>
      </c>
      <c r="D8019" t="s">
        <v>14636</v>
      </c>
      <c r="E8019" t="str">
        <f>HYPERLINK("https://patents.google.com/patent/CN101411566A/en")</f>
        <v>https://patents.google.com/patent/CN101411566A/en</v>
      </c>
    </row>
    <row r="8020" spans="3:5" x14ac:dyDescent="0.25">
      <c r="C8020" t="s">
        <v>14637</v>
      </c>
      <c r="D8020" t="s">
        <v>14638</v>
      </c>
      <c r="E8020" t="str">
        <f>HYPERLINK("https://patents.google.com/patent/US20120184290A1/en")</f>
        <v>https://patents.google.com/patent/US20120184290A1/en</v>
      </c>
    </row>
    <row r="8021" spans="3:5" x14ac:dyDescent="0.25">
      <c r="C8021" t="s">
        <v>14639</v>
      </c>
      <c r="D8021" t="s">
        <v>14640</v>
      </c>
      <c r="E8021" t="str">
        <f>HYPERLINK("https://patents.google.com/patent/US20100274657A1/en")</f>
        <v>https://patents.google.com/patent/US20100274657A1/en</v>
      </c>
    </row>
    <row r="8022" spans="3:5" x14ac:dyDescent="0.25">
      <c r="C8022" t="s">
        <v>14641</v>
      </c>
      <c r="D8022" t="s">
        <v>14642</v>
      </c>
      <c r="E8022" t="str">
        <f>HYPERLINK("https://patents.google.com/patent/US20120276916A1/en")</f>
        <v>https://patents.google.com/patent/US20120276916A1/en</v>
      </c>
    </row>
    <row r="8023" spans="3:5" x14ac:dyDescent="0.25">
      <c r="C8023" t="s">
        <v>14643</v>
      </c>
      <c r="D8023" t="s">
        <v>14644</v>
      </c>
      <c r="E8023" t="str">
        <f>HYPERLINK("https://patents.google.com/patent/CN102176149A/en")</f>
        <v>https://patents.google.com/patent/CN102176149A/en</v>
      </c>
    </row>
    <row r="8024" spans="3:5" x14ac:dyDescent="0.25">
      <c r="C8024" t="s">
        <v>14645</v>
      </c>
      <c r="D8024" t="s">
        <v>14646</v>
      </c>
      <c r="E8024" t="str">
        <f>HYPERLINK("https://patents.google.com/patent/CN102193525A/en")</f>
        <v>https://patents.google.com/patent/CN102193525A/en</v>
      </c>
    </row>
    <row r="8025" spans="3:5" x14ac:dyDescent="0.25">
      <c r="C8025" t="s">
        <v>14647</v>
      </c>
      <c r="D8025" t="s">
        <v>14648</v>
      </c>
      <c r="E8025" t="str">
        <f>HYPERLINK("https://patents.google.com/patent/US20150280823A1/en")</f>
        <v>https://patents.google.com/patent/US20150280823A1/en</v>
      </c>
    </row>
    <row r="8026" spans="3:5" x14ac:dyDescent="0.25">
      <c r="C8026" t="s">
        <v>14649</v>
      </c>
      <c r="D8026" t="s">
        <v>14650</v>
      </c>
      <c r="E8026" t="str">
        <f>HYPERLINK("https://patents.google.com/patent/US20170012667A1/en")</f>
        <v>https://patents.google.com/patent/US20170012667A1/en</v>
      </c>
    </row>
    <row r="8027" spans="3:5" x14ac:dyDescent="0.25">
      <c r="C8027" t="s">
        <v>14651</v>
      </c>
      <c r="D8027" t="s">
        <v>14652</v>
      </c>
      <c r="E8027" t="str">
        <f>HYPERLINK("https://patents.google.com/patent/US20100306733A1/en")</f>
        <v>https://patents.google.com/patent/US20100306733A1/en</v>
      </c>
    </row>
    <row r="8028" spans="3:5" x14ac:dyDescent="0.25">
      <c r="C8028" t="s">
        <v>14653</v>
      </c>
      <c r="D8028" t="s">
        <v>14654</v>
      </c>
      <c r="E8028" t="str">
        <f>HYPERLINK("https://patents.google.com/patent/CN102193528A/en")</f>
        <v>https://patents.google.com/patent/CN102193528A/en</v>
      </c>
    </row>
    <row r="8029" spans="3:5" x14ac:dyDescent="0.25">
      <c r="C8029" t="s">
        <v>14303</v>
      </c>
      <c r="D8029" t="s">
        <v>14655</v>
      </c>
      <c r="E8029" t="str">
        <f>HYPERLINK("https://patents.google.com/patent/US3591236A/en")</f>
        <v>https://patents.google.com/patent/US3591236A/en</v>
      </c>
    </row>
    <row r="8030" spans="3:5" x14ac:dyDescent="0.25">
      <c r="C8030" t="s">
        <v>14656</v>
      </c>
      <c r="D8030" t="s">
        <v>14657</v>
      </c>
      <c r="E8030" t="str">
        <f>HYPERLINK("https://patents.google.com/patent/US4454613A/en")</f>
        <v>https://patents.google.com/patent/US4454613A/en</v>
      </c>
    </row>
    <row r="8031" spans="3:5" x14ac:dyDescent="0.25">
      <c r="C8031" t="s">
        <v>14658</v>
      </c>
      <c r="D8031" t="s">
        <v>14659</v>
      </c>
      <c r="E8031" t="str">
        <f>HYPERLINK("https://patents.google.com/patent/CN101959196A/en")</f>
        <v>https://patents.google.com/patent/CN101959196A/en</v>
      </c>
    </row>
    <row r="8032" spans="3:5" x14ac:dyDescent="0.25">
      <c r="C8032" t="s">
        <v>14660</v>
      </c>
      <c r="D8032" t="s">
        <v>14661</v>
      </c>
      <c r="E8032" t="str">
        <f>HYPERLINK("https://patents.google.com/patent/CN101949570A/en")</f>
        <v>https://patents.google.com/patent/CN101949570A/en</v>
      </c>
    </row>
    <row r="8033" spans="3:5" x14ac:dyDescent="0.25">
      <c r="C8033" t="s">
        <v>14662</v>
      </c>
      <c r="D8033" t="s">
        <v>14663</v>
      </c>
      <c r="E8033" t="str">
        <f>HYPERLINK("https://patents.google.com/patent/US20140302915A1/en")</f>
        <v>https://patents.google.com/patent/US20140302915A1/en</v>
      </c>
    </row>
    <row r="8034" spans="3:5" x14ac:dyDescent="0.25">
      <c r="C8034" t="s">
        <v>14664</v>
      </c>
      <c r="D8034" t="s">
        <v>14665</v>
      </c>
      <c r="E8034" t="str">
        <f>HYPERLINK("https://patents.google.com/patent/US3047291A/en")</f>
        <v>https://patents.google.com/patent/US3047291A/en</v>
      </c>
    </row>
    <row r="8035" spans="3:5" x14ac:dyDescent="0.25">
      <c r="C8035" t="s">
        <v>14666</v>
      </c>
      <c r="D8035" t="s">
        <v>14667</v>
      </c>
      <c r="E8035" t="str">
        <f>HYPERLINK("https://patents.google.com/patent/CN102819258A/en")</f>
        <v>https://patents.google.com/patent/CN102819258A/en</v>
      </c>
    </row>
    <row r="8036" spans="3:5" x14ac:dyDescent="0.25">
      <c r="C8036" t="s">
        <v>14668</v>
      </c>
      <c r="D8036" t="s">
        <v>14669</v>
      </c>
      <c r="E8036" t="str">
        <f>HYPERLINK("https://patents.google.com/patent/US20130017841A1/en")</f>
        <v>https://patents.google.com/patent/US20130017841A1/en</v>
      </c>
    </row>
    <row r="8037" spans="3:5" x14ac:dyDescent="0.25">
      <c r="C8037" t="s">
        <v>14670</v>
      </c>
      <c r="D8037" t="s">
        <v>14671</v>
      </c>
      <c r="E8037" t="str">
        <f>HYPERLINK("https://patents.google.com/patent/CN101976429A/en")</f>
        <v>https://patents.google.com/patent/CN101976429A/en</v>
      </c>
    </row>
    <row r="8038" spans="3:5" x14ac:dyDescent="0.25">
      <c r="C8038" t="s">
        <v>14672</v>
      </c>
      <c r="D8038" t="s">
        <v>14673</v>
      </c>
      <c r="E8038" t="str">
        <f>HYPERLINK("https://patents.google.com/patent/US20150281905A1/en")</f>
        <v>https://patents.google.com/patent/US20150281905A1/en</v>
      </c>
    </row>
    <row r="8039" spans="3:5" x14ac:dyDescent="0.25">
      <c r="C8039" t="s">
        <v>14457</v>
      </c>
      <c r="D8039" t="s">
        <v>14674</v>
      </c>
      <c r="E8039" t="str">
        <f>HYPERLINK("https://patents.google.com/patent/US20150023019A1/en")</f>
        <v>https://patents.google.com/patent/US20150023019A1/en</v>
      </c>
    </row>
    <row r="8040" spans="3:5" x14ac:dyDescent="0.25">
      <c r="C8040" t="s">
        <v>14675</v>
      </c>
      <c r="D8040" t="s">
        <v>14676</v>
      </c>
      <c r="E8040" t="str">
        <f>HYPERLINK("https://patents.google.com/patent/WO2012099514A1/en")</f>
        <v>https://patents.google.com/patent/WO2012099514A1/en</v>
      </c>
    </row>
    <row r="8041" spans="3:5" x14ac:dyDescent="0.25">
      <c r="C8041" t="s">
        <v>14677</v>
      </c>
      <c r="D8041" t="s">
        <v>14678</v>
      </c>
      <c r="E8041" t="str">
        <f>HYPERLINK("https://patents.google.com/patent/US4571157A/en")</f>
        <v>https://patents.google.com/patent/US4571157A/en</v>
      </c>
    </row>
    <row r="8042" spans="3:5" x14ac:dyDescent="0.25">
      <c r="C8042" t="s">
        <v>14679</v>
      </c>
      <c r="D8042" t="s">
        <v>14680</v>
      </c>
      <c r="E8042" t="str">
        <f>HYPERLINK("https://patents.google.com/patent/US20140279733A1/en")</f>
        <v>https://patents.google.com/patent/US20140279733A1/en</v>
      </c>
    </row>
    <row r="8043" spans="3:5" x14ac:dyDescent="0.25">
      <c r="C8043" t="s">
        <v>14681</v>
      </c>
      <c r="D8043" t="s">
        <v>14682</v>
      </c>
      <c r="E8043" t="str">
        <f>HYPERLINK("https://patents.google.com/patent/US20150098709A1/en")</f>
        <v>https://patents.google.com/patent/US20150098709A1/en</v>
      </c>
    </row>
    <row r="8044" spans="3:5" x14ac:dyDescent="0.25">
      <c r="C8044" t="s">
        <v>14683</v>
      </c>
      <c r="D8044" t="s">
        <v>14684</v>
      </c>
      <c r="E8044" t="str">
        <f>HYPERLINK("https://patents.google.com/patent/WO2014113882A1/en")</f>
        <v>https://patents.google.com/patent/WO2014113882A1/en</v>
      </c>
    </row>
    <row r="8045" spans="3:5" x14ac:dyDescent="0.25">
      <c r="C8045" t="s">
        <v>14685</v>
      </c>
      <c r="D8045" t="s">
        <v>14686</v>
      </c>
      <c r="E8045" t="str">
        <f>HYPERLINK("https://patents.google.com/patent/CN104809913A/en")</f>
        <v>https://patents.google.com/patent/CN104809913A/en</v>
      </c>
    </row>
    <row r="8046" spans="3:5" x14ac:dyDescent="0.25">
      <c r="C8046" t="s">
        <v>14687</v>
      </c>
      <c r="D8046" t="s">
        <v>14688</v>
      </c>
      <c r="E8046" t="str">
        <f>HYPERLINK("https://patents.google.com/patent/JP2002010277A/en")</f>
        <v>https://patents.google.com/patent/JP2002010277A/en</v>
      </c>
    </row>
    <row r="8047" spans="3:5" x14ac:dyDescent="0.25">
      <c r="C8047" t="s">
        <v>12044</v>
      </c>
      <c r="D8047" t="s">
        <v>14689</v>
      </c>
      <c r="E8047" t="str">
        <f>HYPERLINK("https://patents.google.com/patent/US20160066137A1/en")</f>
        <v>https://patents.google.com/patent/US20160066137A1/en</v>
      </c>
    </row>
    <row r="8048" spans="3:5" x14ac:dyDescent="0.25">
      <c r="C8048" t="s">
        <v>12042</v>
      </c>
      <c r="D8048" t="s">
        <v>14690</v>
      </c>
      <c r="E8048" t="str">
        <f>HYPERLINK("https://patents.google.com/patent/US20130203490A1/en")</f>
        <v>https://patents.google.com/patent/US20130203490A1/en</v>
      </c>
    </row>
    <row r="8049" spans="3:5" x14ac:dyDescent="0.25">
      <c r="C8049" t="s">
        <v>14691</v>
      </c>
      <c r="D8049" t="s">
        <v>14692</v>
      </c>
      <c r="E8049" t="str">
        <f>HYPERLINK("https://patents.google.com/patent/US6743111B2/en")</f>
        <v>https://patents.google.com/patent/US6743111B2/en</v>
      </c>
    </row>
    <row r="8050" spans="3:5" x14ac:dyDescent="0.25">
      <c r="C8050" t="s">
        <v>14527</v>
      </c>
      <c r="D8050" t="s">
        <v>14693</v>
      </c>
      <c r="E8050" t="str">
        <f>HYPERLINK("https://patents.google.com/patent/US8244296B2/en")</f>
        <v>https://patents.google.com/patent/US8244296B2/en</v>
      </c>
    </row>
    <row r="8051" spans="3:5" x14ac:dyDescent="0.25">
      <c r="C8051" t="s">
        <v>14694</v>
      </c>
      <c r="D8051" t="s">
        <v>14695</v>
      </c>
      <c r="E8051" t="str">
        <f>HYPERLINK("https://patents.google.com/patent/US20080258098A1/en")</f>
        <v>https://patents.google.com/patent/US20080258098A1/en</v>
      </c>
    </row>
    <row r="8052" spans="3:5" x14ac:dyDescent="0.25">
      <c r="C8052" t="s">
        <v>14696</v>
      </c>
      <c r="D8052" t="s">
        <v>14697</v>
      </c>
      <c r="E8052" t="str">
        <f>HYPERLINK("https://patents.google.com/patent/US20140222570A1/en")</f>
        <v>https://patents.google.com/patent/US20140222570A1/en</v>
      </c>
    </row>
    <row r="8053" spans="3:5" x14ac:dyDescent="0.25">
      <c r="C8053" t="s">
        <v>14698</v>
      </c>
      <c r="D8053" t="s">
        <v>14699</v>
      </c>
      <c r="E8053" t="str">
        <f>HYPERLINK("https://patents.google.com/patent/CN1841953A/en")</f>
        <v>https://patents.google.com/patent/CN1841953A/en</v>
      </c>
    </row>
    <row r="8054" spans="3:5" x14ac:dyDescent="0.25">
      <c r="C8054" t="s">
        <v>14700</v>
      </c>
      <c r="D8054" t="s">
        <v>14701</v>
      </c>
      <c r="E8054" t="str">
        <f>HYPERLINK("https://patents.google.com/patent/CN102186181A/en")</f>
        <v>https://patents.google.com/patent/CN102186181A/en</v>
      </c>
    </row>
    <row r="8055" spans="3:5" x14ac:dyDescent="0.25">
      <c r="C8055" t="s">
        <v>14702</v>
      </c>
      <c r="D8055" t="s">
        <v>14703</v>
      </c>
      <c r="E8055" t="str">
        <f>HYPERLINK("https://patents.google.com/patent/CN102680328A/en")</f>
        <v>https://patents.google.com/patent/CN102680328A/en</v>
      </c>
    </row>
    <row r="8056" spans="3:5" x14ac:dyDescent="0.25">
      <c r="C8056" t="s">
        <v>14704</v>
      </c>
      <c r="D8056" t="s">
        <v>14705</v>
      </c>
      <c r="E8056" t="str">
        <f>HYPERLINK("https://patents.google.com/patent/CN101037598A/en")</f>
        <v>https://patents.google.com/patent/CN101037598A/en</v>
      </c>
    </row>
    <row r="8057" spans="3:5" x14ac:dyDescent="0.25">
      <c r="C8057" t="s">
        <v>14392</v>
      </c>
      <c r="D8057" t="s">
        <v>14706</v>
      </c>
      <c r="E8057" t="str">
        <f>HYPERLINK("https://patents.google.com/patent/EP2172887A2/en")</f>
        <v>https://patents.google.com/patent/EP2172887A2/en</v>
      </c>
    </row>
    <row r="8058" spans="3:5" x14ac:dyDescent="0.25">
      <c r="C8058" t="s">
        <v>14707</v>
      </c>
      <c r="D8058" t="s">
        <v>14708</v>
      </c>
      <c r="E8058" t="str">
        <f>HYPERLINK("https://patents.google.com/patent/US20150280820A1/en")</f>
        <v>https://patents.google.com/patent/US20150280820A1/en</v>
      </c>
    </row>
    <row r="8059" spans="3:5" x14ac:dyDescent="0.25">
      <c r="C8059" t="s">
        <v>14561</v>
      </c>
      <c r="D8059" t="s">
        <v>14709</v>
      </c>
      <c r="E8059" t="str">
        <f>HYPERLINK("https://patents.google.com/patent/US9013301B2/en")</f>
        <v>https://patents.google.com/patent/US9013301B2/en</v>
      </c>
    </row>
    <row r="8060" spans="3:5" x14ac:dyDescent="0.25">
      <c r="C8060" t="s">
        <v>14710</v>
      </c>
      <c r="D8060" t="s">
        <v>14711</v>
      </c>
      <c r="E8060" t="str">
        <f>HYPERLINK("https://patents.google.com/patent/US20140071856A1/en")</f>
        <v>https://patents.google.com/patent/US20140071856A1/en</v>
      </c>
    </row>
    <row r="8061" spans="3:5" x14ac:dyDescent="0.25">
      <c r="C8061" t="s">
        <v>14712</v>
      </c>
      <c r="D8061" t="s">
        <v>14713</v>
      </c>
      <c r="E8061" t="str">
        <f>HYPERLINK("https://patents.google.com/patent/CN1448017A/en")</f>
        <v>https://patents.google.com/patent/CN1448017A/en</v>
      </c>
    </row>
    <row r="8062" spans="3:5" x14ac:dyDescent="0.25">
      <c r="C8062" t="s">
        <v>14714</v>
      </c>
      <c r="D8062" t="s">
        <v>14715</v>
      </c>
      <c r="E8062" t="str">
        <f>HYPERLINK("https://patents.google.com/patent/CN101777797A/en")</f>
        <v>https://patents.google.com/patent/CN101777797A/en</v>
      </c>
    </row>
    <row r="8063" spans="3:5" x14ac:dyDescent="0.25">
      <c r="C8063" t="s">
        <v>14716</v>
      </c>
      <c r="D8063" t="s">
        <v>14717</v>
      </c>
      <c r="E8063" t="str">
        <f>HYPERLINK("https://patents.google.com/patent/CN102890033A/en")</f>
        <v>https://patents.google.com/patent/CN102890033A/en</v>
      </c>
    </row>
    <row r="8064" spans="3:5" x14ac:dyDescent="0.25">
      <c r="C8064" t="s">
        <v>14718</v>
      </c>
      <c r="D8064" t="s">
        <v>14719</v>
      </c>
      <c r="E8064" t="str">
        <f>HYPERLINK("https://patents.google.com/patent/WO2012011547A1/en")</f>
        <v>https://patents.google.com/patent/WO2012011547A1/en</v>
      </c>
    </row>
    <row r="8065" spans="3:5" x14ac:dyDescent="0.25">
      <c r="C8065" t="s">
        <v>14720</v>
      </c>
      <c r="D8065" t="s">
        <v>14721</v>
      </c>
      <c r="E8065" t="str">
        <f>HYPERLINK("https://patents.google.com/patent/US20140162682A1/en")</f>
        <v>https://patents.google.com/patent/US20140162682A1/en</v>
      </c>
    </row>
    <row r="8066" spans="3:5" x14ac:dyDescent="0.25">
      <c r="C8066" t="s">
        <v>14722</v>
      </c>
      <c r="D8066" t="s">
        <v>14723</v>
      </c>
      <c r="E8066" t="str">
        <f>HYPERLINK("https://patents.google.com/patent/CN101937596A/en")</f>
        <v>https://patents.google.com/patent/CN101937596A/en</v>
      </c>
    </row>
    <row r="8067" spans="3:5" x14ac:dyDescent="0.25">
      <c r="C8067" t="s">
        <v>14724</v>
      </c>
      <c r="D8067" t="s">
        <v>14725</v>
      </c>
      <c r="E8067" t="str">
        <f>HYPERLINK("https://patents.google.com/patent/CN101599938A/en")</f>
        <v>https://patents.google.com/patent/CN101599938A/en</v>
      </c>
    </row>
    <row r="8068" spans="3:5" x14ac:dyDescent="0.25">
      <c r="C8068" t="s">
        <v>14726</v>
      </c>
      <c r="D8068" t="s">
        <v>14727</v>
      </c>
      <c r="E8068" t="str">
        <f>HYPERLINK("https://patents.google.com/patent/CN102023082A/en")</f>
        <v>https://patents.google.com/patent/CN102023082A/en</v>
      </c>
    </row>
    <row r="8069" spans="3:5" x14ac:dyDescent="0.25">
      <c r="C8069" t="s">
        <v>14728</v>
      </c>
      <c r="D8069" t="s">
        <v>14729</v>
      </c>
      <c r="E8069" t="str">
        <f>HYPERLINK("https://patents.google.com/patent/CN102238018A/en")</f>
        <v>https://patents.google.com/patent/CN102238018A/en</v>
      </c>
    </row>
    <row r="8070" spans="3:5" x14ac:dyDescent="0.25">
      <c r="C8070" t="s">
        <v>14730</v>
      </c>
      <c r="D8070" t="s">
        <v>14731</v>
      </c>
      <c r="E8070" t="str">
        <f>HYPERLINK("https://patents.google.com/patent/US20170134963A1/en")</f>
        <v>https://patents.google.com/patent/US20170134963A1/en</v>
      </c>
    </row>
    <row r="8071" spans="3:5" x14ac:dyDescent="0.25">
      <c r="C8071" t="s">
        <v>14732</v>
      </c>
      <c r="D8071" t="s">
        <v>14733</v>
      </c>
      <c r="E8071" t="str">
        <f>HYPERLINK("https://patents.google.com/patent/US9888337B1/en")</f>
        <v>https://patents.google.com/patent/US9888337B1/en</v>
      </c>
    </row>
    <row r="8072" spans="3:5" x14ac:dyDescent="0.25">
      <c r="C8072" t="s">
        <v>14734</v>
      </c>
      <c r="D8072" t="s">
        <v>14735</v>
      </c>
      <c r="E8072" t="str">
        <f>HYPERLINK("https://patents.google.com/patent/CN104141982A/en")</f>
        <v>https://patents.google.com/patent/CN104141982A/en</v>
      </c>
    </row>
    <row r="8073" spans="3:5" x14ac:dyDescent="0.25">
      <c r="C8073" t="s">
        <v>14736</v>
      </c>
      <c r="D8073" t="s">
        <v>14737</v>
      </c>
      <c r="E8073" t="str">
        <f>HYPERLINK("https://patents.google.com/patent/CN107807661A/en")</f>
        <v>https://patents.google.com/patent/CN107807661A/en</v>
      </c>
    </row>
    <row r="8074" spans="3:5" x14ac:dyDescent="0.25">
      <c r="C8074" t="s">
        <v>14738</v>
      </c>
      <c r="D8074" t="s">
        <v>14739</v>
      </c>
      <c r="E8074" t="str">
        <f>HYPERLINK("https://patents.google.com/patent/CN206476002U/en")</f>
        <v>https://patents.google.com/patent/CN206476002U/en</v>
      </c>
    </row>
    <row r="8075" spans="3:5" x14ac:dyDescent="0.25">
      <c r="C8075" t="s">
        <v>14740</v>
      </c>
      <c r="D8075" t="s">
        <v>14741</v>
      </c>
      <c r="E8075" t="str">
        <f>HYPERLINK("https://patents.google.com/patent/CN204231419U/en")</f>
        <v>https://patents.google.com/patent/CN204231419U/en</v>
      </c>
    </row>
    <row r="8076" spans="3:5" x14ac:dyDescent="0.25">
      <c r="C8076" t="s">
        <v>14742</v>
      </c>
      <c r="D8076" t="s">
        <v>14743</v>
      </c>
      <c r="E8076" t="str">
        <f>HYPERLINK("https://patents.google.com/patent/US20130296147A1/en")</f>
        <v>https://patents.google.com/patent/US20130296147A1/en</v>
      </c>
    </row>
    <row r="8077" spans="3:5" x14ac:dyDescent="0.25">
      <c r="C8077" t="s">
        <v>14744</v>
      </c>
      <c r="D8077" t="s">
        <v>14745</v>
      </c>
      <c r="E8077" t="str">
        <f>HYPERLINK("https://patents.google.com/patent/WO2014190208A2/en")</f>
        <v>https://patents.google.com/patent/WO2014190208A2/en</v>
      </c>
    </row>
    <row r="8078" spans="3:5" x14ac:dyDescent="0.25">
      <c r="C8078" t="s">
        <v>14746</v>
      </c>
      <c r="D8078" t="s">
        <v>14747</v>
      </c>
      <c r="E8078" t="str">
        <f>HYPERLINK("https://patents.google.com/patent/US20150031354A1/en")</f>
        <v>https://patents.google.com/patent/US20150031354A1/en</v>
      </c>
    </row>
    <row r="8079" spans="3:5" x14ac:dyDescent="0.25">
      <c r="C8079" t="s">
        <v>14748</v>
      </c>
      <c r="D8079" t="s">
        <v>14749</v>
      </c>
      <c r="E8079" t="str">
        <f>HYPERLINK("https://patents.google.com/patent/CN103873848A/en")</f>
        <v>https://patents.google.com/patent/CN103873848A/en</v>
      </c>
    </row>
    <row r="8080" spans="3:5" x14ac:dyDescent="0.25">
      <c r="C8080" t="s">
        <v>14750</v>
      </c>
      <c r="D8080" t="s">
        <v>14751</v>
      </c>
      <c r="E8080" t="str">
        <f>HYPERLINK("https://patents.google.com/patent/CN102222393A/en")</f>
        <v>https://patents.google.com/patent/CN102222393A/en</v>
      </c>
    </row>
    <row r="8081" spans="3:5" x14ac:dyDescent="0.25">
      <c r="C8081" t="s">
        <v>14752</v>
      </c>
      <c r="D8081" t="s">
        <v>14753</v>
      </c>
      <c r="E8081" t="str">
        <f>HYPERLINK("https://patents.google.com/patent/CN104295448A/en")</f>
        <v>https://patents.google.com/patent/CN104295448A/en</v>
      </c>
    </row>
    <row r="8082" spans="3:5" x14ac:dyDescent="0.25">
      <c r="C8082" t="s">
        <v>14754</v>
      </c>
      <c r="D8082" t="s">
        <v>14755</v>
      </c>
      <c r="E8082" t="str">
        <f>HYPERLINK("https://patents.google.com/patent/CN204910199U/en")</f>
        <v>https://patents.google.com/patent/CN204910199U/en</v>
      </c>
    </row>
    <row r="8083" spans="3:5" x14ac:dyDescent="0.25">
      <c r="C8083" t="s">
        <v>14756</v>
      </c>
      <c r="D8083" t="s">
        <v>14757</v>
      </c>
      <c r="E8083" t="str">
        <f>HYPERLINK("https://patents.google.com/patent/US20150066673A1/en")</f>
        <v>https://patents.google.com/patent/US20150066673A1/en</v>
      </c>
    </row>
    <row r="8084" spans="3:5" x14ac:dyDescent="0.25">
      <c r="C8084" t="s">
        <v>14758</v>
      </c>
      <c r="D8084" t="s">
        <v>14759</v>
      </c>
      <c r="E8084" t="str">
        <f>HYPERLINK("https://patents.google.com/patent/CN102496042A/en")</f>
        <v>https://patents.google.com/patent/CN102496042A/en</v>
      </c>
    </row>
    <row r="8085" spans="3:5" x14ac:dyDescent="0.25">
      <c r="C8085" t="s">
        <v>14760</v>
      </c>
      <c r="D8085" t="s">
        <v>14761</v>
      </c>
      <c r="E8085" t="str">
        <f>HYPERLINK("https://patents.google.com/patent/CN104320494A/en")</f>
        <v>https://patents.google.com/patent/CN104320494A/en</v>
      </c>
    </row>
    <row r="8086" spans="3:5" x14ac:dyDescent="0.25">
      <c r="C8086" t="s">
        <v>14762</v>
      </c>
      <c r="D8086" t="s">
        <v>14763</v>
      </c>
      <c r="E8086" t="str">
        <f>HYPERLINK("https://patents.google.com/patent/CN204907628U/en")</f>
        <v>https://patents.google.com/patent/CN204907628U/en</v>
      </c>
    </row>
    <row r="8087" spans="3:5" x14ac:dyDescent="0.25">
      <c r="C8087" t="s">
        <v>14764</v>
      </c>
      <c r="D8087" t="s">
        <v>14765</v>
      </c>
      <c r="E8087" t="str">
        <f>HYPERLINK("https://patents.google.com/patent/US20140379139A1/en")</f>
        <v>https://patents.google.com/patent/US20140379139A1/en</v>
      </c>
    </row>
    <row r="8088" spans="3:5" x14ac:dyDescent="0.25">
      <c r="C8088" t="s">
        <v>14764</v>
      </c>
      <c r="D8088" t="s">
        <v>14766</v>
      </c>
      <c r="E8088" t="str">
        <f>HYPERLINK("https://patents.google.com/patent/US20140012429A1/en")</f>
        <v>https://patents.google.com/patent/US20140012429A1/en</v>
      </c>
    </row>
    <row r="8089" spans="3:5" x14ac:dyDescent="0.25">
      <c r="C8089" t="s">
        <v>14767</v>
      </c>
      <c r="D8089" t="s">
        <v>14768</v>
      </c>
      <c r="E8089" t="str">
        <f>HYPERLINK("https://patents.google.com/patent/CN204907629U/en")</f>
        <v>https://patents.google.com/patent/CN204907629U/en</v>
      </c>
    </row>
    <row r="8090" spans="3:5" x14ac:dyDescent="0.25">
      <c r="C8090" t="s">
        <v>14769</v>
      </c>
      <c r="D8090" t="s">
        <v>14770</v>
      </c>
      <c r="E8090" t="str">
        <f>HYPERLINK("https://patents.google.com/patent/US20170045255A1/en")</f>
        <v>https://patents.google.com/patent/US20170045255A1/en</v>
      </c>
    </row>
    <row r="8091" spans="3:5" x14ac:dyDescent="0.25">
      <c r="C8091" t="s">
        <v>14771</v>
      </c>
      <c r="D8091" t="s">
        <v>14772</v>
      </c>
      <c r="E8091" t="str">
        <f>HYPERLINK("https://patents.google.com/patent/US20170259811A1/en")</f>
        <v>https://patents.google.com/patent/US20170259811A1/en</v>
      </c>
    </row>
    <row r="8092" spans="3:5" x14ac:dyDescent="0.25">
      <c r="C8092" t="s">
        <v>14771</v>
      </c>
      <c r="D8092" t="s">
        <v>14773</v>
      </c>
      <c r="E8092" t="str">
        <f>HYPERLINK("https://patents.google.com/patent/US20180056985A1/en")</f>
        <v>https://patents.google.com/patent/US20180056985A1/en</v>
      </c>
    </row>
    <row r="8093" spans="3:5" x14ac:dyDescent="0.25">
      <c r="C8093" t="s">
        <v>14774</v>
      </c>
      <c r="D8093" t="s">
        <v>14775</v>
      </c>
      <c r="E8093" t="str">
        <f>HYPERLINK("https://patents.google.com/patent/US20150310634A1/en")</f>
        <v>https://patents.google.com/patent/US20150310634A1/en</v>
      </c>
    </row>
    <row r="8094" spans="3:5" x14ac:dyDescent="0.25">
      <c r="C8094" t="s">
        <v>14776</v>
      </c>
      <c r="D8094" t="s">
        <v>14777</v>
      </c>
      <c r="E8094" t="str">
        <f>HYPERLINK("https://patents.google.com/patent/US9521560B2/en")</f>
        <v>https://patents.google.com/patent/US9521560B2/en</v>
      </c>
    </row>
    <row r="8095" spans="3:5" x14ac:dyDescent="0.25">
      <c r="C8095" t="s">
        <v>14778</v>
      </c>
      <c r="D8095" t="s">
        <v>14779</v>
      </c>
      <c r="E8095" t="str">
        <f>HYPERLINK("https://patents.google.com/patent/CN104077552A/en")</f>
        <v>https://patents.google.com/patent/CN104077552A/en</v>
      </c>
    </row>
    <row r="8096" spans="3:5" x14ac:dyDescent="0.25">
      <c r="C8096" t="s">
        <v>14780</v>
      </c>
      <c r="D8096" t="s">
        <v>14781</v>
      </c>
      <c r="E8096" t="str">
        <f>HYPERLINK("https://patents.google.com/patent/US20170171761A1/en")</f>
        <v>https://patents.google.com/patent/US20170171761A1/en</v>
      </c>
    </row>
    <row r="8097" spans="3:5" x14ac:dyDescent="0.25">
      <c r="C8097" t="s">
        <v>14782</v>
      </c>
      <c r="D8097" t="s">
        <v>14783</v>
      </c>
      <c r="E8097" t="str">
        <f>HYPERLINK("https://patents.google.com/patent/CN105182889A/en")</f>
        <v>https://patents.google.com/patent/CN105182889A/en</v>
      </c>
    </row>
    <row r="8098" spans="3:5" x14ac:dyDescent="0.25">
      <c r="C8098" t="s">
        <v>14784</v>
      </c>
      <c r="D8098" t="s">
        <v>14785</v>
      </c>
      <c r="E8098" t="str">
        <f>HYPERLINK("https://patents.google.com/patent/US9881416B2/en")</f>
        <v>https://patents.google.com/patent/US9881416B2/en</v>
      </c>
    </row>
    <row r="8099" spans="3:5" x14ac:dyDescent="0.25">
      <c r="C8099" t="s">
        <v>14786</v>
      </c>
      <c r="D8099" t="s">
        <v>14787</v>
      </c>
      <c r="E8099" t="str">
        <f>HYPERLINK("https://patents.google.com/patent/US20130116726A1/en")</f>
        <v>https://patents.google.com/patent/US20130116726A1/en</v>
      </c>
    </row>
    <row r="8100" spans="3:5" x14ac:dyDescent="0.25">
      <c r="C8100" t="s">
        <v>14788</v>
      </c>
      <c r="D8100" t="s">
        <v>14789</v>
      </c>
      <c r="E8100" t="str">
        <f>HYPERLINK("https://patents.google.com/patent/US20170046873A1/en")</f>
        <v>https://patents.google.com/patent/US20170046873A1/en</v>
      </c>
    </row>
    <row r="8101" spans="3:5" x14ac:dyDescent="0.25">
      <c r="C8101" t="s">
        <v>14790</v>
      </c>
      <c r="D8101" t="s">
        <v>14791</v>
      </c>
      <c r="E8101" t="str">
        <f>HYPERLINK("https://patents.google.com/patent/WO2011047401A2/en")</f>
        <v>https://patents.google.com/patent/WO2011047401A2/en</v>
      </c>
    </row>
    <row r="8102" spans="3:5" x14ac:dyDescent="0.25">
      <c r="C8102" t="s">
        <v>13017</v>
      </c>
      <c r="D8102" t="s">
        <v>14792</v>
      </c>
      <c r="E8102" t="str">
        <f>HYPERLINK("https://patents.google.com/patent/WO2014161083A1/en")</f>
        <v>https://patents.google.com/patent/WO2014161083A1/en</v>
      </c>
    </row>
    <row r="8103" spans="3:5" x14ac:dyDescent="0.25">
      <c r="C8103" t="s">
        <v>14793</v>
      </c>
      <c r="D8103" t="s">
        <v>14794</v>
      </c>
      <c r="E8103" t="str">
        <f>HYPERLINK("https://patents.google.com/patent/CN202047797U/en")</f>
        <v>https://patents.google.com/patent/CN202047797U/en</v>
      </c>
    </row>
    <row r="8104" spans="3:5" x14ac:dyDescent="0.25">
      <c r="C8104" t="s">
        <v>14795</v>
      </c>
      <c r="D8104" t="s">
        <v>14796</v>
      </c>
      <c r="E8104" t="str">
        <f>HYPERLINK("https://patents.google.com/patent/CN102530187A/en")</f>
        <v>https://patents.google.com/patent/CN102530187A/en</v>
      </c>
    </row>
    <row r="8105" spans="3:5" x14ac:dyDescent="0.25">
      <c r="C8105" t="s">
        <v>14797</v>
      </c>
      <c r="D8105" t="s">
        <v>14798</v>
      </c>
      <c r="E8105" t="str">
        <f>HYPERLINK("https://patents.google.com/patent/CN204904049U/en")</f>
        <v>https://patents.google.com/patent/CN204904049U/en</v>
      </c>
    </row>
    <row r="8106" spans="3:5" x14ac:dyDescent="0.25">
      <c r="C8106" t="s">
        <v>14799</v>
      </c>
      <c r="D8106" t="s">
        <v>14800</v>
      </c>
      <c r="E8106" t="str">
        <f>HYPERLINK("https://patents.google.com/patent/US10052026B1/en")</f>
        <v>https://patents.google.com/patent/US10052026B1/en</v>
      </c>
    </row>
    <row r="8107" spans="3:5" x14ac:dyDescent="0.25">
      <c r="C8107" t="s">
        <v>14801</v>
      </c>
      <c r="D8107" t="s">
        <v>14802</v>
      </c>
      <c r="E8107" t="str">
        <f>HYPERLINK("https://patents.google.com/patent/CN205220854U/en")</f>
        <v>https://patents.google.com/patent/CN205220854U/en</v>
      </c>
    </row>
    <row r="8108" spans="3:5" x14ac:dyDescent="0.25">
      <c r="C8108" t="s">
        <v>14803</v>
      </c>
      <c r="D8108" t="s">
        <v>14804</v>
      </c>
      <c r="E8108" t="str">
        <f>HYPERLINK("https://patents.google.com/patent/CN105026002B/en")</f>
        <v>https://patents.google.com/patent/CN105026002B/en</v>
      </c>
    </row>
    <row r="8109" spans="3:5" x14ac:dyDescent="0.25">
      <c r="C8109" t="s">
        <v>14805</v>
      </c>
      <c r="D8109" t="s">
        <v>14806</v>
      </c>
      <c r="E8109" t="str">
        <f>HYPERLINK("https://patents.google.com/patent/US20160140521A1/en")</f>
        <v>https://patents.google.com/patent/US20160140521A1/en</v>
      </c>
    </row>
    <row r="8110" spans="3:5" x14ac:dyDescent="0.25">
      <c r="C8110" t="s">
        <v>14807</v>
      </c>
      <c r="D8110" t="s">
        <v>14808</v>
      </c>
      <c r="E8110" t="str">
        <f>HYPERLINK("https://patents.google.com/patent/CN1076551C/en")</f>
        <v>https://patents.google.com/patent/CN1076551C/en</v>
      </c>
    </row>
    <row r="8111" spans="3:5" x14ac:dyDescent="0.25">
      <c r="C8111" t="s">
        <v>12044</v>
      </c>
      <c r="D8111" t="s">
        <v>14809</v>
      </c>
      <c r="E8111" t="str">
        <f>HYPERLINK("https://patents.google.com/patent/WO2016118776A1/en")</f>
        <v>https://patents.google.com/patent/WO2016118776A1/en</v>
      </c>
    </row>
    <row r="8112" spans="3:5" x14ac:dyDescent="0.25">
      <c r="C8112" t="s">
        <v>14810</v>
      </c>
      <c r="D8112" t="s">
        <v>14811</v>
      </c>
      <c r="E8112" t="str">
        <f>HYPERLINK("https://patents.google.com/patent/US20180131371A1/en")</f>
        <v>https://patents.google.com/patent/US20180131371A1/en</v>
      </c>
    </row>
    <row r="8113" spans="1:5" x14ac:dyDescent="0.25">
      <c r="C8113" t="s">
        <v>14812</v>
      </c>
      <c r="D8113" t="s">
        <v>14813</v>
      </c>
      <c r="E8113" t="str">
        <f>HYPERLINK("https://patents.google.com/patent/CN104871172B/en")</f>
        <v>https://patents.google.com/patent/CN104871172B/en</v>
      </c>
    </row>
    <row r="8114" spans="1:5" x14ac:dyDescent="0.25">
      <c r="C8114" t="s">
        <v>14814</v>
      </c>
      <c r="D8114" t="s">
        <v>14815</v>
      </c>
      <c r="E8114" t="str">
        <f>HYPERLINK("https://patents.google.com/patent/CN106135175A/en")</f>
        <v>https://patents.google.com/patent/CN106135175A/en</v>
      </c>
    </row>
    <row r="8115" spans="1:5" x14ac:dyDescent="0.25">
      <c r="A8115" t="s">
        <v>1341</v>
      </c>
      <c r="B8115">
        <v>582</v>
      </c>
    </row>
    <row r="8116" spans="1:5" x14ac:dyDescent="0.25">
      <c r="C8116" t="s">
        <v>14816</v>
      </c>
      <c r="D8116" t="s">
        <v>14817</v>
      </c>
      <c r="E8116" t="str">
        <f>HYPERLINK("https://patents.google.com/patent/CN103414991A/en")</f>
        <v>https://patents.google.com/patent/CN103414991A/en</v>
      </c>
    </row>
    <row r="8117" spans="1:5" x14ac:dyDescent="0.25">
      <c r="C8117" t="s">
        <v>14818</v>
      </c>
      <c r="D8117" t="s">
        <v>14819</v>
      </c>
      <c r="E8117" t="str">
        <f>HYPERLINK("https://patents.google.com/patent/CN105072648B/en")</f>
        <v>https://patents.google.com/patent/CN105072648B/en</v>
      </c>
    </row>
    <row r="8118" spans="1:5" x14ac:dyDescent="0.25">
      <c r="C8118" t="s">
        <v>14820</v>
      </c>
      <c r="D8118" t="s">
        <v>14821</v>
      </c>
      <c r="E8118" t="str">
        <f>HYPERLINK("https://patents.google.com/patent/KR101449768B1/en")</f>
        <v>https://patents.google.com/patent/KR101449768B1/en</v>
      </c>
    </row>
    <row r="8119" spans="1:5" x14ac:dyDescent="0.25">
      <c r="C8119" t="s">
        <v>14822</v>
      </c>
      <c r="D8119" t="s">
        <v>14823</v>
      </c>
      <c r="E8119" t="str">
        <f>HYPERLINK("https://patents.google.com/patent/US20160057679A1/en")</f>
        <v>https://patents.google.com/patent/US20160057679A1/en</v>
      </c>
    </row>
    <row r="8120" spans="1:5" x14ac:dyDescent="0.25">
      <c r="C8120" t="s">
        <v>14824</v>
      </c>
      <c r="D8120" t="s">
        <v>14825</v>
      </c>
      <c r="E8120" t="str">
        <f>HYPERLINK("https://patents.google.com/patent/US6327254B1/en")</f>
        <v>https://patents.google.com/patent/US6327254B1/en</v>
      </c>
    </row>
    <row r="8121" spans="1:5" x14ac:dyDescent="0.25">
      <c r="C8121" t="s">
        <v>14826</v>
      </c>
      <c r="D8121" t="s">
        <v>14827</v>
      </c>
      <c r="E8121" t="str">
        <f>HYPERLINK("https://patents.google.com/patent/US6226277B1/en")</f>
        <v>https://patents.google.com/patent/US6226277B1/en</v>
      </c>
    </row>
    <row r="8122" spans="1:5" x14ac:dyDescent="0.25">
      <c r="C8122" t="s">
        <v>14828</v>
      </c>
      <c r="D8122" t="s">
        <v>14829</v>
      </c>
      <c r="E8122" t="str">
        <f>HYPERLINK("https://patents.google.com/patent/US6469991B1/en")</f>
        <v>https://patents.google.com/patent/US6469991B1/en</v>
      </c>
    </row>
    <row r="8123" spans="1:5" x14ac:dyDescent="0.25">
      <c r="C8123" t="s">
        <v>14830</v>
      </c>
      <c r="D8123" t="s">
        <v>14831</v>
      </c>
      <c r="E8123" t="str">
        <f>HYPERLINK("https://patents.google.com/patent/US6115390A/en")</f>
        <v>https://patents.google.com/patent/US6115390A/en</v>
      </c>
    </row>
    <row r="8124" spans="1:5" x14ac:dyDescent="0.25">
      <c r="C8124" t="s">
        <v>14832</v>
      </c>
      <c r="D8124" t="s">
        <v>14833</v>
      </c>
      <c r="E8124" t="str">
        <f>HYPERLINK("https://patents.google.com/patent/US6377548B1/en")</f>
        <v>https://patents.google.com/patent/US6377548B1/en</v>
      </c>
    </row>
    <row r="8125" spans="1:5" x14ac:dyDescent="0.25">
      <c r="C8125" t="s">
        <v>14834</v>
      </c>
      <c r="D8125" t="s">
        <v>14835</v>
      </c>
      <c r="E8125" t="str">
        <f>HYPERLINK("https://patents.google.com/patent/US6285665B1/en")</f>
        <v>https://patents.google.com/patent/US6285665B1/en</v>
      </c>
    </row>
    <row r="8126" spans="1:5" x14ac:dyDescent="0.25">
      <c r="C8126" t="s">
        <v>14836</v>
      </c>
      <c r="D8126" t="s">
        <v>14837</v>
      </c>
      <c r="E8126" t="str">
        <f>HYPERLINK("https://patents.google.com/patent/US7197025B2/en")</f>
        <v>https://patents.google.com/patent/US7197025B2/en</v>
      </c>
    </row>
    <row r="8127" spans="1:5" x14ac:dyDescent="0.25">
      <c r="C8127" t="s">
        <v>14838</v>
      </c>
      <c r="D8127" t="s">
        <v>14839</v>
      </c>
      <c r="E8127" t="str">
        <f>HYPERLINK("https://patents.google.com/patent/KR20100062862A/en")</f>
        <v>https://patents.google.com/patent/KR20100062862A/en</v>
      </c>
    </row>
    <row r="8128" spans="1:5" x14ac:dyDescent="0.25">
      <c r="C8128" t="s">
        <v>14840</v>
      </c>
      <c r="D8128" t="s">
        <v>14841</v>
      </c>
      <c r="E8128" t="str">
        <f>HYPERLINK("https://patents.google.com/patent/US7949615B2/en")</f>
        <v>https://patents.google.com/patent/US7949615B2/en</v>
      </c>
    </row>
    <row r="8129" spans="3:5" x14ac:dyDescent="0.25">
      <c r="C8129" t="s">
        <v>14842</v>
      </c>
      <c r="D8129" t="s">
        <v>14843</v>
      </c>
      <c r="E8129" t="str">
        <f>HYPERLINK("https://patents.google.com/patent/US7296088B1/en")</f>
        <v>https://patents.google.com/patent/US7296088B1/en</v>
      </c>
    </row>
    <row r="8130" spans="3:5" x14ac:dyDescent="0.25">
      <c r="C8130" t="s">
        <v>14844</v>
      </c>
      <c r="D8130" t="s">
        <v>14845</v>
      </c>
      <c r="E8130" t="str">
        <f>HYPERLINK("https://patents.google.com/patent/US6312114B1/en")</f>
        <v>https://patents.google.com/patent/US6312114B1/en</v>
      </c>
    </row>
    <row r="8131" spans="3:5" x14ac:dyDescent="0.25">
      <c r="C8131" t="s">
        <v>14846</v>
      </c>
      <c r="D8131" t="s">
        <v>14847</v>
      </c>
      <c r="E8131" t="str">
        <f>HYPERLINK("https://patents.google.com/patent/US6652082B2/en")</f>
        <v>https://patents.google.com/patent/US6652082B2/en</v>
      </c>
    </row>
    <row r="8132" spans="3:5" x14ac:dyDescent="0.25">
      <c r="C8132" t="s">
        <v>14848</v>
      </c>
      <c r="D8132" t="s">
        <v>14849</v>
      </c>
      <c r="E8132" t="str">
        <f>HYPERLINK("https://patents.google.com/patent/CN204404424U/en")</f>
        <v>https://patents.google.com/patent/CN204404424U/en</v>
      </c>
    </row>
    <row r="8133" spans="3:5" x14ac:dyDescent="0.25">
      <c r="C8133" t="s">
        <v>14850</v>
      </c>
      <c r="D8133" t="s">
        <v>14851</v>
      </c>
      <c r="E8133" t="str">
        <f>HYPERLINK("https://patents.google.com/patent/US6634735B1/en")</f>
        <v>https://patents.google.com/patent/US6634735B1/en</v>
      </c>
    </row>
    <row r="8134" spans="3:5" x14ac:dyDescent="0.25">
      <c r="C8134" t="s">
        <v>14852</v>
      </c>
      <c r="D8134" t="s">
        <v>14853</v>
      </c>
      <c r="E8134" t="str">
        <f>HYPERLINK("https://patents.google.com/patent/US7556351B2/en")</f>
        <v>https://patents.google.com/patent/US7556351B2/en</v>
      </c>
    </row>
    <row r="8135" spans="3:5" x14ac:dyDescent="0.25">
      <c r="C8135" t="s">
        <v>14854</v>
      </c>
      <c r="D8135" t="s">
        <v>14855</v>
      </c>
      <c r="E8135" t="str">
        <f>HYPERLINK("https://patents.google.com/patent/CN204110220U/en")</f>
        <v>https://patents.google.com/patent/CN204110220U/en</v>
      </c>
    </row>
    <row r="8136" spans="3:5" x14ac:dyDescent="0.25">
      <c r="C8136" t="s">
        <v>14856</v>
      </c>
      <c r="D8136" t="s">
        <v>14857</v>
      </c>
      <c r="E8136" t="str">
        <f>HYPERLINK("https://patents.google.com/patent/US7701858B2/en")</f>
        <v>https://patents.google.com/patent/US7701858B2/en</v>
      </c>
    </row>
    <row r="8137" spans="3:5" x14ac:dyDescent="0.25">
      <c r="C8137" t="s">
        <v>14858</v>
      </c>
      <c r="D8137" t="s">
        <v>14859</v>
      </c>
      <c r="E8137" t="str">
        <f>HYPERLINK("https://patents.google.com/patent/US7748827B2/en")</f>
        <v>https://patents.google.com/patent/US7748827B2/en</v>
      </c>
    </row>
    <row r="8138" spans="3:5" x14ac:dyDescent="0.25">
      <c r="C8138" t="s">
        <v>14860</v>
      </c>
      <c r="D8138" t="s">
        <v>14861</v>
      </c>
      <c r="E8138" t="str">
        <f>HYPERLINK("https://patents.google.com/patent/US6824257B2/en")</f>
        <v>https://patents.google.com/patent/US6824257B2/en</v>
      </c>
    </row>
    <row r="8139" spans="3:5" x14ac:dyDescent="0.25">
      <c r="C8139" t="s">
        <v>14862</v>
      </c>
      <c r="D8139" t="s">
        <v>14863</v>
      </c>
      <c r="E8139" t="str">
        <f>HYPERLINK("https://patents.google.com/patent/US8520065B2/en")</f>
        <v>https://patents.google.com/patent/US8520065B2/en</v>
      </c>
    </row>
    <row r="8140" spans="3:5" x14ac:dyDescent="0.25">
      <c r="C8140" t="s">
        <v>14864</v>
      </c>
      <c r="D8140" t="s">
        <v>14865</v>
      </c>
      <c r="E8140" t="str">
        <f>HYPERLINK("https://patents.google.com/patent/US7677686B2/en")</f>
        <v>https://patents.google.com/patent/US7677686B2/en</v>
      </c>
    </row>
    <row r="8141" spans="3:5" x14ac:dyDescent="0.25">
      <c r="C8141" t="s">
        <v>14866</v>
      </c>
      <c r="D8141" t="s">
        <v>14867</v>
      </c>
      <c r="E8141" t="str">
        <f>HYPERLINK("https://patents.google.com/patent/US7661797B2/en")</f>
        <v>https://patents.google.com/patent/US7661797B2/en</v>
      </c>
    </row>
    <row r="8142" spans="3:5" x14ac:dyDescent="0.25">
      <c r="C8142" t="s">
        <v>14868</v>
      </c>
      <c r="D8142" t="s">
        <v>14869</v>
      </c>
      <c r="E8142" t="str">
        <f>HYPERLINK("https://patents.google.com/patent/US6832828B2/en")</f>
        <v>https://patents.google.com/patent/US6832828B2/en</v>
      </c>
    </row>
    <row r="8143" spans="3:5" x14ac:dyDescent="0.25">
      <c r="C8143" t="s">
        <v>14870</v>
      </c>
      <c r="D8143" t="s">
        <v>14871</v>
      </c>
      <c r="E8143" t="str">
        <f>HYPERLINK("https://patents.google.com/patent/US6588882B2/en")</f>
        <v>https://patents.google.com/patent/US6588882B2/en</v>
      </c>
    </row>
    <row r="8144" spans="3:5" x14ac:dyDescent="0.25">
      <c r="C8144" t="s">
        <v>14872</v>
      </c>
      <c r="D8144" t="s">
        <v>14873</v>
      </c>
      <c r="E8144" t="str">
        <f>HYPERLINK("https://patents.google.com/patent/US7148345B2/en")</f>
        <v>https://patents.google.com/patent/US7148345B2/en</v>
      </c>
    </row>
    <row r="8145" spans="3:5" x14ac:dyDescent="0.25">
      <c r="C8145" t="s">
        <v>14874</v>
      </c>
      <c r="D8145" t="s">
        <v>14875</v>
      </c>
      <c r="E8145" t="str">
        <f>HYPERLINK("https://patents.google.com/patent/US7556358B2/en")</f>
        <v>https://patents.google.com/patent/US7556358B2/en</v>
      </c>
    </row>
    <row r="8146" spans="3:5" x14ac:dyDescent="0.25">
      <c r="C8146" t="s">
        <v>14876</v>
      </c>
      <c r="D8146" t="s">
        <v>14877</v>
      </c>
      <c r="E8146" t="str">
        <f>HYPERLINK("https://patents.google.com/patent/US6623108B2/en")</f>
        <v>https://patents.google.com/patent/US6623108B2/en</v>
      </c>
    </row>
    <row r="8147" spans="3:5" x14ac:dyDescent="0.25">
      <c r="C8147" t="s">
        <v>14878</v>
      </c>
      <c r="D8147" t="s">
        <v>14879</v>
      </c>
      <c r="E8147" t="str">
        <f>HYPERLINK("https://patents.google.com/patent/KR20110136424A/en")</f>
        <v>https://patents.google.com/patent/KR20110136424A/en</v>
      </c>
    </row>
    <row r="8148" spans="3:5" x14ac:dyDescent="0.25">
      <c r="C8148" t="s">
        <v>14880</v>
      </c>
      <c r="D8148" t="s">
        <v>14881</v>
      </c>
      <c r="E8148" t="str">
        <f>HYPERLINK("https://patents.google.com/patent/US7384131B2/en")</f>
        <v>https://patents.google.com/patent/US7384131B2/en</v>
      </c>
    </row>
    <row r="8149" spans="3:5" x14ac:dyDescent="0.25">
      <c r="C8149" t="s">
        <v>14882</v>
      </c>
      <c r="D8149" t="s">
        <v>14883</v>
      </c>
      <c r="E8149" t="str">
        <f>HYPERLINK("https://patents.google.com/patent/US6378989B1/en")</f>
        <v>https://patents.google.com/patent/US6378989B1/en</v>
      </c>
    </row>
    <row r="8150" spans="3:5" x14ac:dyDescent="0.25">
      <c r="C8150" t="s">
        <v>14884</v>
      </c>
      <c r="D8150" t="s">
        <v>14885</v>
      </c>
      <c r="E8150" t="str">
        <f>HYPERLINK("https://patents.google.com/patent/US6443558B1/en")</f>
        <v>https://patents.google.com/patent/US6443558B1/en</v>
      </c>
    </row>
    <row r="8151" spans="3:5" x14ac:dyDescent="0.25">
      <c r="C8151" t="s">
        <v>14886</v>
      </c>
      <c r="D8151" t="s">
        <v>14887</v>
      </c>
      <c r="E8151" t="str">
        <f>HYPERLINK("https://patents.google.com/patent/CN207605064U/en")</f>
        <v>https://patents.google.com/patent/CN207605064U/en</v>
      </c>
    </row>
    <row r="8152" spans="3:5" x14ac:dyDescent="0.25">
      <c r="C8152" t="s">
        <v>14888</v>
      </c>
      <c r="D8152" t="s">
        <v>14889</v>
      </c>
      <c r="E8152" t="str">
        <f>HYPERLINK("https://patents.google.com/patent/US7656931B2/en")</f>
        <v>https://patents.google.com/patent/US7656931B2/en</v>
      </c>
    </row>
    <row r="8153" spans="3:5" x14ac:dyDescent="0.25">
      <c r="C8153" t="s">
        <v>14890</v>
      </c>
      <c r="D8153" t="s">
        <v>14891</v>
      </c>
      <c r="E8153" t="str">
        <f>HYPERLINK("https://patents.google.com/patent/US8416290B2/en")</f>
        <v>https://patents.google.com/patent/US8416290B2/en</v>
      </c>
    </row>
    <row r="8154" spans="3:5" x14ac:dyDescent="0.25">
      <c r="C8154" t="s">
        <v>14892</v>
      </c>
      <c r="D8154" t="s">
        <v>14893</v>
      </c>
      <c r="E8154" t="str">
        <f>HYPERLINK("https://patents.google.com/patent/US6763576B2/en")</f>
        <v>https://patents.google.com/patent/US6763576B2/en</v>
      </c>
    </row>
    <row r="8155" spans="3:5" x14ac:dyDescent="0.25">
      <c r="C8155" t="s">
        <v>6392</v>
      </c>
      <c r="D8155" t="s">
        <v>14894</v>
      </c>
      <c r="E8155" t="str">
        <f>HYPERLINK("https://patents.google.com/patent/US8968195B2/en")</f>
        <v>https://patents.google.com/patent/US8968195B2/en</v>
      </c>
    </row>
    <row r="8156" spans="3:5" x14ac:dyDescent="0.25">
      <c r="C8156" t="s">
        <v>14895</v>
      </c>
      <c r="D8156" t="s">
        <v>14896</v>
      </c>
      <c r="E8156" t="str">
        <f>HYPERLINK("https://patents.google.com/patent/US7735963B2/en")</f>
        <v>https://patents.google.com/patent/US7735963B2/en</v>
      </c>
    </row>
    <row r="8157" spans="3:5" x14ac:dyDescent="0.25">
      <c r="C8157" t="s">
        <v>14897</v>
      </c>
      <c r="D8157" t="s">
        <v>14898</v>
      </c>
      <c r="E8157" t="str">
        <f>HYPERLINK("https://patents.google.com/patent/US20080004904A1/en")</f>
        <v>https://patents.google.com/patent/US20080004904A1/en</v>
      </c>
    </row>
    <row r="8158" spans="3:5" x14ac:dyDescent="0.25">
      <c r="C8158" t="s">
        <v>14899</v>
      </c>
      <c r="D8158" t="s">
        <v>14900</v>
      </c>
      <c r="E8158" t="str">
        <f>HYPERLINK("https://patents.google.com/patent/US20030035917A1/en")</f>
        <v>https://patents.google.com/patent/US20030035917A1/en</v>
      </c>
    </row>
    <row r="8159" spans="3:5" x14ac:dyDescent="0.25">
      <c r="C8159" t="s">
        <v>14901</v>
      </c>
      <c r="D8159" t="s">
        <v>14902</v>
      </c>
      <c r="E8159" t="str">
        <f>HYPERLINK("https://patents.google.com/patent/US20080294019A1/en")</f>
        <v>https://patents.google.com/patent/US20080294019A1/en</v>
      </c>
    </row>
    <row r="8160" spans="3:5" x14ac:dyDescent="0.25">
      <c r="C8160" t="s">
        <v>14903</v>
      </c>
      <c r="D8160" t="s">
        <v>14904</v>
      </c>
      <c r="E8160" t="str">
        <f>HYPERLINK("https://patents.google.com/patent/US20120040696A1/en")</f>
        <v>https://patents.google.com/patent/US20120040696A1/en</v>
      </c>
    </row>
    <row r="8161" spans="3:5" x14ac:dyDescent="0.25">
      <c r="C8161" t="s">
        <v>14905</v>
      </c>
      <c r="D8161" t="s">
        <v>14906</v>
      </c>
      <c r="E8161" t="str">
        <f>HYPERLINK("https://patents.google.com/patent/US20110004072A1/en")</f>
        <v>https://patents.google.com/patent/US20110004072A1/en</v>
      </c>
    </row>
    <row r="8162" spans="3:5" x14ac:dyDescent="0.25">
      <c r="C8162" t="s">
        <v>14907</v>
      </c>
      <c r="D8162" t="s">
        <v>14908</v>
      </c>
      <c r="E8162" t="str">
        <f>HYPERLINK("https://patents.google.com/patent/US20060221920A1/en")</f>
        <v>https://patents.google.com/patent/US20060221920A1/en</v>
      </c>
    </row>
    <row r="8163" spans="3:5" x14ac:dyDescent="0.25">
      <c r="C8163" t="s">
        <v>14909</v>
      </c>
      <c r="D8163" t="s">
        <v>14910</v>
      </c>
      <c r="E8163" t="str">
        <f>HYPERLINK("https://patents.google.com/patent/US20090018668A1/en")</f>
        <v>https://patents.google.com/patent/US20090018668A1/en</v>
      </c>
    </row>
    <row r="8164" spans="3:5" x14ac:dyDescent="0.25">
      <c r="C8164" t="s">
        <v>14911</v>
      </c>
      <c r="D8164" t="s">
        <v>14912</v>
      </c>
      <c r="E8164" t="str">
        <f>HYPERLINK("https://patents.google.com/patent/US20140348018A1/en")</f>
        <v>https://patents.google.com/patent/US20140348018A1/en</v>
      </c>
    </row>
    <row r="8165" spans="3:5" x14ac:dyDescent="0.25">
      <c r="C8165" t="s">
        <v>14913</v>
      </c>
      <c r="D8165" t="s">
        <v>14914</v>
      </c>
      <c r="E8165" t="str">
        <f>HYPERLINK("https://patents.google.com/patent/US20130084910A1/en")</f>
        <v>https://patents.google.com/patent/US20130084910A1/en</v>
      </c>
    </row>
    <row r="8166" spans="3:5" x14ac:dyDescent="0.25">
      <c r="C8166" t="s">
        <v>14915</v>
      </c>
      <c r="D8166" t="s">
        <v>14916</v>
      </c>
      <c r="E8166" t="str">
        <f>HYPERLINK("https://patents.google.com/patent/US20100216477A1/en")</f>
        <v>https://patents.google.com/patent/US20100216477A1/en</v>
      </c>
    </row>
    <row r="8167" spans="3:5" x14ac:dyDescent="0.25">
      <c r="C8167" t="s">
        <v>14917</v>
      </c>
      <c r="D8167" t="s">
        <v>14918</v>
      </c>
      <c r="E8167" t="str">
        <f>HYPERLINK("https://patents.google.com/patent/US20140018095A1/en")</f>
        <v>https://patents.google.com/patent/US20140018095A1/en</v>
      </c>
    </row>
    <row r="8168" spans="3:5" x14ac:dyDescent="0.25">
      <c r="C8168" t="s">
        <v>14919</v>
      </c>
      <c r="D8168" t="s">
        <v>14920</v>
      </c>
      <c r="E8168" t="str">
        <f>HYPERLINK("https://patents.google.com/patent/US20130162481A1/en")</f>
        <v>https://patents.google.com/patent/US20130162481A1/en</v>
      </c>
    </row>
    <row r="8169" spans="3:5" x14ac:dyDescent="0.25">
      <c r="C8169" t="s">
        <v>14921</v>
      </c>
      <c r="D8169" t="s">
        <v>14922</v>
      </c>
      <c r="E8169" t="str">
        <f>HYPERLINK("https://patents.google.com/patent/US20110051047A1/en")</f>
        <v>https://patents.google.com/patent/US20110051047A1/en</v>
      </c>
    </row>
    <row r="8170" spans="3:5" x14ac:dyDescent="0.25">
      <c r="C8170" t="s">
        <v>14923</v>
      </c>
      <c r="D8170" t="s">
        <v>14924</v>
      </c>
      <c r="E8170" t="str">
        <f>HYPERLINK("https://patents.google.com/patent/US20160226653A1/en")</f>
        <v>https://patents.google.com/patent/US20160226653A1/en</v>
      </c>
    </row>
    <row r="8171" spans="3:5" x14ac:dyDescent="0.25">
      <c r="C8171" t="s">
        <v>14925</v>
      </c>
      <c r="D8171" t="s">
        <v>14926</v>
      </c>
      <c r="E8171" t="str">
        <f>HYPERLINK("https://patents.google.com/patent/US6439699B1/en")</f>
        <v>https://patents.google.com/patent/US6439699B1/en</v>
      </c>
    </row>
    <row r="8172" spans="3:5" x14ac:dyDescent="0.25">
      <c r="C8172" t="s">
        <v>14927</v>
      </c>
      <c r="D8172" t="s">
        <v>14928</v>
      </c>
      <c r="E8172" t="str">
        <f>HYPERLINK("https://patents.google.com/patent/US20080006177A1/en")</f>
        <v>https://patents.google.com/patent/US20080006177A1/en</v>
      </c>
    </row>
    <row r="8173" spans="3:5" x14ac:dyDescent="0.25">
      <c r="C8173" t="s">
        <v>14929</v>
      </c>
      <c r="D8173" t="s">
        <v>14930</v>
      </c>
      <c r="E8173" t="str">
        <f>HYPERLINK("https://patents.google.com/patent/US20060098047A1/en")</f>
        <v>https://patents.google.com/patent/US20060098047A1/en</v>
      </c>
    </row>
    <row r="8174" spans="3:5" x14ac:dyDescent="0.25">
      <c r="C8174" t="s">
        <v>14931</v>
      </c>
      <c r="D8174" t="s">
        <v>14932</v>
      </c>
      <c r="E8174" t="str">
        <f>HYPERLINK("https://patents.google.com/patent/US8751432B2/en")</f>
        <v>https://patents.google.com/patent/US8751432B2/en</v>
      </c>
    </row>
    <row r="8175" spans="3:5" x14ac:dyDescent="0.25">
      <c r="C8175" t="s">
        <v>14933</v>
      </c>
      <c r="D8175" t="s">
        <v>14934</v>
      </c>
      <c r="E8175" t="str">
        <f>HYPERLINK("https://patents.google.com/patent/US7001007B2/en")</f>
        <v>https://patents.google.com/patent/US7001007B2/en</v>
      </c>
    </row>
    <row r="8176" spans="3:5" x14ac:dyDescent="0.25">
      <c r="C8176" t="s">
        <v>14935</v>
      </c>
      <c r="D8176" t="s">
        <v>14936</v>
      </c>
      <c r="E8176" t="str">
        <f>HYPERLINK("https://patents.google.com/patent/US20100190533A1/en")</f>
        <v>https://patents.google.com/patent/US20100190533A1/en</v>
      </c>
    </row>
    <row r="8177" spans="3:5" x14ac:dyDescent="0.25">
      <c r="C8177" t="s">
        <v>14937</v>
      </c>
      <c r="D8177" t="s">
        <v>14938</v>
      </c>
      <c r="E8177" t="str">
        <f>HYPERLINK("https://patents.google.com/patent/US20110075604A1/en")</f>
        <v>https://patents.google.com/patent/US20110075604A1/en</v>
      </c>
    </row>
    <row r="8178" spans="3:5" x14ac:dyDescent="0.25">
      <c r="C8178" t="s">
        <v>14939</v>
      </c>
      <c r="D8178" t="s">
        <v>14940</v>
      </c>
      <c r="E8178" t="str">
        <f>HYPERLINK("https://patents.google.com/patent/US7658792B2/en")</f>
        <v>https://patents.google.com/patent/US7658792B2/en</v>
      </c>
    </row>
    <row r="8179" spans="3:5" x14ac:dyDescent="0.25">
      <c r="C8179" t="s">
        <v>14941</v>
      </c>
      <c r="D8179" t="s">
        <v>14942</v>
      </c>
      <c r="E8179" t="str">
        <f>HYPERLINK("https://patents.google.com/patent/JP2005533393A/en")</f>
        <v>https://patents.google.com/patent/JP2005533393A/en</v>
      </c>
    </row>
    <row r="8180" spans="3:5" x14ac:dyDescent="0.25">
      <c r="C8180" t="s">
        <v>13513</v>
      </c>
      <c r="D8180" t="s">
        <v>14943</v>
      </c>
      <c r="E8180" t="str">
        <f>HYPERLINK("https://patents.google.com/patent/WO1998010538A1/en")</f>
        <v>https://patents.google.com/patent/WO1998010538A1/en</v>
      </c>
    </row>
    <row r="8181" spans="3:5" x14ac:dyDescent="0.25">
      <c r="C8181" t="s">
        <v>14909</v>
      </c>
      <c r="D8181" t="s">
        <v>14944</v>
      </c>
      <c r="E8181" t="str">
        <f>HYPERLINK("https://patents.google.com/patent/US20100043633A1/en")</f>
        <v>https://patents.google.com/patent/US20100043633A1/en</v>
      </c>
    </row>
    <row r="8182" spans="3:5" x14ac:dyDescent="0.25">
      <c r="C8182" t="s">
        <v>14945</v>
      </c>
      <c r="D8182" t="s">
        <v>14946</v>
      </c>
      <c r="E8182" t="str">
        <f>HYPERLINK("https://patents.google.com/patent/WO2000023279A1/en")</f>
        <v>https://patents.google.com/patent/WO2000023279A1/en</v>
      </c>
    </row>
    <row r="8183" spans="3:5" x14ac:dyDescent="0.25">
      <c r="C8183" t="s">
        <v>14947</v>
      </c>
      <c r="D8183" t="s">
        <v>14948</v>
      </c>
      <c r="E8183" t="str">
        <f>HYPERLINK("https://patents.google.com/patent/US20140249853A1/en")</f>
        <v>https://patents.google.com/patent/US20140249853A1/en</v>
      </c>
    </row>
    <row r="8184" spans="3:5" x14ac:dyDescent="0.25">
      <c r="C8184" t="s">
        <v>14949</v>
      </c>
      <c r="D8184" t="s">
        <v>14950</v>
      </c>
      <c r="E8184" t="str">
        <f>HYPERLINK("https://patents.google.com/patent/US20130222115A1/en")</f>
        <v>https://patents.google.com/patent/US20130222115A1/en</v>
      </c>
    </row>
    <row r="8185" spans="3:5" x14ac:dyDescent="0.25">
      <c r="C8185" t="s">
        <v>14951</v>
      </c>
      <c r="D8185" t="s">
        <v>14952</v>
      </c>
      <c r="E8185" t="str">
        <f>HYPERLINK("https://patents.google.com/patent/US7669950B2/en")</f>
        <v>https://patents.google.com/patent/US7669950B2/en</v>
      </c>
    </row>
    <row r="8186" spans="3:5" x14ac:dyDescent="0.25">
      <c r="C8186" t="s">
        <v>14953</v>
      </c>
      <c r="D8186" t="s">
        <v>14954</v>
      </c>
      <c r="E8186" t="str">
        <f>HYPERLINK("https://patents.google.com/patent/JP2008125295A/en")</f>
        <v>https://patents.google.com/patent/JP2008125295A/en</v>
      </c>
    </row>
    <row r="8187" spans="3:5" x14ac:dyDescent="0.25">
      <c r="C8187" t="s">
        <v>14955</v>
      </c>
      <c r="D8187" t="s">
        <v>14956</v>
      </c>
      <c r="E8187" t="str">
        <f>HYPERLINK("https://patents.google.com/patent/US20130337811A1/en")</f>
        <v>https://patents.google.com/patent/US20130337811A1/en</v>
      </c>
    </row>
    <row r="8188" spans="3:5" x14ac:dyDescent="0.25">
      <c r="C8188" t="s">
        <v>14957</v>
      </c>
      <c r="D8188" t="s">
        <v>14958</v>
      </c>
      <c r="E8188" t="str">
        <f>HYPERLINK("https://patents.google.com/patent/US20140057627A1/en")</f>
        <v>https://patents.google.com/patent/US20140057627A1/en</v>
      </c>
    </row>
    <row r="8189" spans="3:5" x14ac:dyDescent="0.25">
      <c r="C8189" t="s">
        <v>14959</v>
      </c>
      <c r="D8189" t="s">
        <v>14960</v>
      </c>
      <c r="E8189" t="str">
        <f>HYPERLINK("https://patents.google.com/patent/US20150088546A1/en")</f>
        <v>https://patents.google.com/patent/US20150088546A1/en</v>
      </c>
    </row>
    <row r="8190" spans="3:5" x14ac:dyDescent="0.25">
      <c r="C8190" t="s">
        <v>14961</v>
      </c>
      <c r="D8190" t="s">
        <v>14962</v>
      </c>
      <c r="E8190" t="str">
        <f>HYPERLINK("https://patents.google.com/patent/CN101459870A/en")</f>
        <v>https://patents.google.com/patent/CN101459870A/en</v>
      </c>
    </row>
    <row r="8191" spans="3:5" x14ac:dyDescent="0.25">
      <c r="C8191" t="s">
        <v>14963</v>
      </c>
      <c r="D8191" t="s">
        <v>14964</v>
      </c>
      <c r="E8191" t="str">
        <f>HYPERLINK("https://patents.google.com/patent/US20150087257A1/en")</f>
        <v>https://patents.google.com/patent/US20150087257A1/en</v>
      </c>
    </row>
    <row r="8192" spans="3:5" x14ac:dyDescent="0.25">
      <c r="C8192" t="s">
        <v>14965</v>
      </c>
      <c r="D8192" t="s">
        <v>14966</v>
      </c>
      <c r="E8192" t="str">
        <f>HYPERLINK("https://patents.google.com/patent/US20150059002A1/en")</f>
        <v>https://patents.google.com/patent/US20150059002A1/en</v>
      </c>
    </row>
    <row r="8193" spans="3:5" x14ac:dyDescent="0.25">
      <c r="C8193" t="s">
        <v>14967</v>
      </c>
      <c r="D8193" t="s">
        <v>14968</v>
      </c>
      <c r="E8193" t="str">
        <f>HYPERLINK("https://patents.google.com/patent/JP2008125290A/en")</f>
        <v>https://patents.google.com/patent/JP2008125290A/en</v>
      </c>
    </row>
    <row r="8194" spans="3:5" x14ac:dyDescent="0.25">
      <c r="C8194" t="s">
        <v>14969</v>
      </c>
      <c r="D8194" t="s">
        <v>14970</v>
      </c>
      <c r="E8194" t="str">
        <f>HYPERLINK("https://patents.google.com/patent/US20070299257A1/en")</f>
        <v>https://patents.google.com/patent/US20070299257A1/en</v>
      </c>
    </row>
    <row r="8195" spans="3:5" x14ac:dyDescent="0.25">
      <c r="C8195" t="s">
        <v>14971</v>
      </c>
      <c r="D8195" t="s">
        <v>14972</v>
      </c>
      <c r="E8195" t="str">
        <f>HYPERLINK("https://patents.google.com/patent/US20140176076A1/en")</f>
        <v>https://patents.google.com/patent/US20140176076A1/en</v>
      </c>
    </row>
    <row r="8196" spans="3:5" x14ac:dyDescent="0.25">
      <c r="C8196" t="s">
        <v>14973</v>
      </c>
      <c r="D8196" t="s">
        <v>14974</v>
      </c>
      <c r="E8196" t="str">
        <f>HYPERLINK("https://patents.google.com/patent/JP2003530922A/en")</f>
        <v>https://patents.google.com/patent/JP2003530922A/en</v>
      </c>
    </row>
    <row r="8197" spans="3:5" x14ac:dyDescent="0.25">
      <c r="C8197" t="s">
        <v>14975</v>
      </c>
      <c r="D8197" t="s">
        <v>14976</v>
      </c>
      <c r="E8197" t="str">
        <f>HYPERLINK("https://patents.google.com/patent/US20100049431A1/en")</f>
        <v>https://patents.google.com/patent/US20100049431A1/en</v>
      </c>
    </row>
    <row r="8198" spans="3:5" x14ac:dyDescent="0.25">
      <c r="C8198" t="s">
        <v>14977</v>
      </c>
      <c r="D8198" t="s">
        <v>14978</v>
      </c>
      <c r="E8198" t="str">
        <f>HYPERLINK("https://patents.google.com/patent/US6983757B1/en")</f>
        <v>https://patents.google.com/patent/US6983757B1/en</v>
      </c>
    </row>
    <row r="8199" spans="3:5" x14ac:dyDescent="0.25">
      <c r="C8199" t="s">
        <v>14979</v>
      </c>
      <c r="D8199" t="s">
        <v>14980</v>
      </c>
      <c r="E8199" t="str">
        <f>HYPERLINK("https://patents.google.com/patent/US4239217A/en")</f>
        <v>https://patents.google.com/patent/US4239217A/en</v>
      </c>
    </row>
    <row r="8200" spans="3:5" x14ac:dyDescent="0.25">
      <c r="C8200" t="s">
        <v>6598</v>
      </c>
      <c r="D8200" t="s">
        <v>14981</v>
      </c>
      <c r="E8200" t="str">
        <f>HYPERLINK("https://patents.google.com/patent/US20150125832A1/en")</f>
        <v>https://patents.google.com/patent/US20150125832A1/en</v>
      </c>
    </row>
    <row r="8201" spans="3:5" x14ac:dyDescent="0.25">
      <c r="C8201" t="s">
        <v>14982</v>
      </c>
      <c r="D8201" t="s">
        <v>14983</v>
      </c>
      <c r="E8201" t="str">
        <f>HYPERLINK("https://patents.google.com/patent/CN101035040A/en")</f>
        <v>https://patents.google.com/patent/CN101035040A/en</v>
      </c>
    </row>
    <row r="8202" spans="3:5" x14ac:dyDescent="0.25">
      <c r="C8202" t="s">
        <v>14984</v>
      </c>
      <c r="D8202" t="s">
        <v>14985</v>
      </c>
      <c r="E8202" t="str">
        <f>HYPERLINK("https://patents.google.com/patent/US20130229939A1/en")</f>
        <v>https://patents.google.com/patent/US20130229939A1/en</v>
      </c>
    </row>
    <row r="8203" spans="3:5" x14ac:dyDescent="0.25">
      <c r="C8203" t="s">
        <v>14986</v>
      </c>
      <c r="D8203" t="s">
        <v>14987</v>
      </c>
      <c r="E8203" t="str">
        <f>HYPERLINK("https://patents.google.com/patent/JP2006518322A/en")</f>
        <v>https://patents.google.com/patent/JP2006518322A/en</v>
      </c>
    </row>
    <row r="8204" spans="3:5" x14ac:dyDescent="0.25">
      <c r="C8204" t="s">
        <v>14988</v>
      </c>
      <c r="D8204" t="s">
        <v>14989</v>
      </c>
      <c r="E8204" t="str">
        <f>HYPERLINK("https://patents.google.com/patent/CN101547449A/en")</f>
        <v>https://patents.google.com/patent/CN101547449A/en</v>
      </c>
    </row>
    <row r="8205" spans="3:5" x14ac:dyDescent="0.25">
      <c r="C8205" t="s">
        <v>14990</v>
      </c>
      <c r="D8205" t="s">
        <v>14991</v>
      </c>
      <c r="E8205" t="str">
        <f>HYPERLINK("https://patents.google.com/patent/US20150085684A1/en")</f>
        <v>https://patents.google.com/patent/US20150085684A1/en</v>
      </c>
    </row>
    <row r="8206" spans="3:5" x14ac:dyDescent="0.25">
      <c r="C8206" t="s">
        <v>14992</v>
      </c>
      <c r="D8206" t="s">
        <v>14993</v>
      </c>
      <c r="E8206" t="str">
        <f>HYPERLINK("https://patents.google.com/patent/US6598964B2/en")</f>
        <v>https://patents.google.com/patent/US6598964B2/en</v>
      </c>
    </row>
    <row r="8207" spans="3:5" x14ac:dyDescent="0.25">
      <c r="C8207" t="s">
        <v>14994</v>
      </c>
      <c r="D8207" t="s">
        <v>14995</v>
      </c>
      <c r="E8207" t="str">
        <f>HYPERLINK("https://patents.google.com/patent/US20050099466A1/en")</f>
        <v>https://patents.google.com/patent/US20050099466A1/en</v>
      </c>
    </row>
    <row r="8208" spans="3:5" x14ac:dyDescent="0.25">
      <c r="C8208" t="s">
        <v>14996</v>
      </c>
      <c r="D8208" t="s">
        <v>14997</v>
      </c>
      <c r="E8208" t="str">
        <f>HYPERLINK("https://patents.google.com/patent/JP2003157029A/en")</f>
        <v>https://patents.google.com/patent/JP2003157029A/en</v>
      </c>
    </row>
    <row r="8209" spans="3:5" x14ac:dyDescent="0.25">
      <c r="C8209" t="s">
        <v>14998</v>
      </c>
      <c r="D8209" t="s">
        <v>14999</v>
      </c>
      <c r="E8209" t="str">
        <f>HYPERLINK("https://patents.google.com/patent/EP1610503A1/en")</f>
        <v>https://patents.google.com/patent/EP1610503A1/en</v>
      </c>
    </row>
    <row r="8210" spans="3:5" x14ac:dyDescent="0.25">
      <c r="C8210" t="s">
        <v>15000</v>
      </c>
      <c r="D8210" t="s">
        <v>15001</v>
      </c>
      <c r="E8210" t="str">
        <f>HYPERLINK("https://patents.google.com/patent/US8612278B1/en")</f>
        <v>https://patents.google.com/patent/US8612278B1/en</v>
      </c>
    </row>
    <row r="8211" spans="3:5" x14ac:dyDescent="0.25">
      <c r="C8211" t="s">
        <v>15002</v>
      </c>
      <c r="D8211" t="s">
        <v>15003</v>
      </c>
      <c r="E8211" t="str">
        <f>HYPERLINK("https://patents.google.com/patent/US20140328423A1/en")</f>
        <v>https://patents.google.com/patent/US20140328423A1/en</v>
      </c>
    </row>
    <row r="8212" spans="3:5" x14ac:dyDescent="0.25">
      <c r="C8212" t="s">
        <v>6651</v>
      </c>
      <c r="D8212" t="s">
        <v>15004</v>
      </c>
      <c r="E8212" t="str">
        <f>HYPERLINK("https://patents.google.com/patent/US20160287166A1/en")</f>
        <v>https://patents.google.com/patent/US20160287166A1/en</v>
      </c>
    </row>
    <row r="8213" spans="3:5" x14ac:dyDescent="0.25">
      <c r="C8213" t="s">
        <v>15005</v>
      </c>
      <c r="D8213" t="s">
        <v>15006</v>
      </c>
      <c r="E8213" t="str">
        <f>HYPERLINK("https://patents.google.com/patent/US20160073886A1/en")</f>
        <v>https://patents.google.com/patent/US20160073886A1/en</v>
      </c>
    </row>
    <row r="8214" spans="3:5" x14ac:dyDescent="0.25">
      <c r="C8214" t="s">
        <v>15007</v>
      </c>
      <c r="D8214" t="s">
        <v>15008</v>
      </c>
      <c r="E8214" t="str">
        <f>HYPERLINK("https://patents.google.com/patent/US7052114B2/en")</f>
        <v>https://patents.google.com/patent/US7052114B2/en</v>
      </c>
    </row>
    <row r="8215" spans="3:5" x14ac:dyDescent="0.25">
      <c r="C8215" t="s">
        <v>15009</v>
      </c>
      <c r="D8215" t="s">
        <v>15010</v>
      </c>
      <c r="E8215" t="str">
        <f>HYPERLINK("https://patents.google.com/patent/US20150063151A1/en")</f>
        <v>https://patents.google.com/patent/US20150063151A1/en</v>
      </c>
    </row>
    <row r="8216" spans="3:5" x14ac:dyDescent="0.25">
      <c r="C8216" t="s">
        <v>15000</v>
      </c>
      <c r="D8216" t="s">
        <v>15011</v>
      </c>
      <c r="E8216" t="str">
        <f>HYPERLINK("https://patents.google.com/patent/US20140257889A1/en")</f>
        <v>https://patents.google.com/patent/US20140257889A1/en</v>
      </c>
    </row>
    <row r="8217" spans="3:5" x14ac:dyDescent="0.25">
      <c r="C8217" t="s">
        <v>15012</v>
      </c>
      <c r="D8217" t="s">
        <v>15013</v>
      </c>
      <c r="E8217" t="str">
        <f>HYPERLINK("https://patents.google.com/patent/US20130172000A1/en")</f>
        <v>https://patents.google.com/patent/US20130172000A1/en</v>
      </c>
    </row>
    <row r="8218" spans="3:5" x14ac:dyDescent="0.25">
      <c r="C8218" t="s">
        <v>15014</v>
      </c>
      <c r="D8218" t="s">
        <v>15015</v>
      </c>
      <c r="E8218" t="str">
        <f>HYPERLINK("https://patents.google.com/patent/US20160295521A1/en")</f>
        <v>https://patents.google.com/patent/US20160295521A1/en</v>
      </c>
    </row>
    <row r="8219" spans="3:5" x14ac:dyDescent="0.25">
      <c r="C8219" t="s">
        <v>15016</v>
      </c>
      <c r="D8219" t="s">
        <v>15017</v>
      </c>
      <c r="E8219" t="str">
        <f>HYPERLINK("https://patents.google.com/patent/WO2001006801A1/en")</f>
        <v>https://patents.google.com/patent/WO2001006801A1/en</v>
      </c>
    </row>
    <row r="8220" spans="3:5" x14ac:dyDescent="0.25">
      <c r="C8220" t="s">
        <v>15018</v>
      </c>
      <c r="D8220" t="s">
        <v>15019</v>
      </c>
      <c r="E8220" t="str">
        <f>HYPERLINK("https://patents.google.com/patent/US20110230226A1/en")</f>
        <v>https://patents.google.com/patent/US20110230226A1/en</v>
      </c>
    </row>
    <row r="8221" spans="3:5" x14ac:dyDescent="0.25">
      <c r="C8221" t="s">
        <v>15020</v>
      </c>
      <c r="D8221" t="s">
        <v>15021</v>
      </c>
      <c r="E8221" t="str">
        <f>HYPERLINK("https://patents.google.com/patent/US20150319688A1/en")</f>
        <v>https://patents.google.com/patent/US20150319688A1/en</v>
      </c>
    </row>
    <row r="8222" spans="3:5" x14ac:dyDescent="0.25">
      <c r="C8222" t="s">
        <v>14601</v>
      </c>
      <c r="D8222" t="s">
        <v>15022</v>
      </c>
      <c r="E8222" t="str">
        <f>HYPERLINK("https://patents.google.com/patent/CN1310894A/en")</f>
        <v>https://patents.google.com/patent/CN1310894A/en</v>
      </c>
    </row>
    <row r="8223" spans="3:5" x14ac:dyDescent="0.25">
      <c r="C8223" t="s">
        <v>15023</v>
      </c>
      <c r="D8223" t="s">
        <v>15024</v>
      </c>
      <c r="E8223" t="str">
        <f>HYPERLINK("https://patents.google.com/patent/CN104360607A/en")</f>
        <v>https://patents.google.com/patent/CN104360607A/en</v>
      </c>
    </row>
    <row r="8224" spans="3:5" x14ac:dyDescent="0.25">
      <c r="C8224" t="s">
        <v>15025</v>
      </c>
      <c r="D8224" t="s">
        <v>15026</v>
      </c>
      <c r="E8224" t="str">
        <f>HYPERLINK("https://patents.google.com/patent/CN101956606A/en")</f>
        <v>https://patents.google.com/patent/CN101956606A/en</v>
      </c>
    </row>
    <row r="8225" spans="1:5" x14ac:dyDescent="0.25">
      <c r="C8225" t="s">
        <v>15027</v>
      </c>
      <c r="D8225" t="s">
        <v>15028</v>
      </c>
      <c r="E8225" t="str">
        <f>HYPERLINK("https://patents.google.com/patent/KR20120112315A/en")</f>
        <v>https://patents.google.com/patent/KR20120112315A/en</v>
      </c>
    </row>
    <row r="8226" spans="1:5" x14ac:dyDescent="0.25">
      <c r="C8226" t="s">
        <v>15029</v>
      </c>
      <c r="D8226" t="s">
        <v>15030</v>
      </c>
      <c r="E8226" t="str">
        <f>HYPERLINK("https://patents.google.com/patent/US20150085792A1/en")</f>
        <v>https://patents.google.com/patent/US20150085792A1/en</v>
      </c>
    </row>
    <row r="8227" spans="1:5" x14ac:dyDescent="0.25">
      <c r="C8227" t="s">
        <v>15031</v>
      </c>
      <c r="D8227" t="s">
        <v>15032</v>
      </c>
      <c r="E8227" t="str">
        <f>HYPERLINK("https://patents.google.com/patent/US20130303152A1/en")</f>
        <v>https://patents.google.com/patent/US20130303152A1/en</v>
      </c>
    </row>
    <row r="8228" spans="1:5" x14ac:dyDescent="0.25">
      <c r="C8228" t="s">
        <v>15033</v>
      </c>
      <c r="D8228" t="s">
        <v>15034</v>
      </c>
      <c r="E8228" t="str">
        <f>HYPERLINK("https://patents.google.com/patent/JP2006285833A/en")</f>
        <v>https://patents.google.com/patent/JP2006285833A/en</v>
      </c>
    </row>
    <row r="8229" spans="1:5" x14ac:dyDescent="0.25">
      <c r="C8229" t="s">
        <v>15035</v>
      </c>
      <c r="D8229" t="s">
        <v>15036</v>
      </c>
      <c r="E8229" t="str">
        <f>HYPERLINK("https://patents.google.com/patent/US20130242744A1/en")</f>
        <v>https://patents.google.com/patent/US20130242744A1/en</v>
      </c>
    </row>
    <row r="8230" spans="1:5" x14ac:dyDescent="0.25">
      <c r="C8230" t="s">
        <v>15037</v>
      </c>
      <c r="D8230" t="s">
        <v>15038</v>
      </c>
      <c r="E8230" t="str">
        <f>HYPERLINK("https://patents.google.com/patent/US20120140656A1/en")</f>
        <v>https://patents.google.com/patent/US20120140656A1/en</v>
      </c>
    </row>
    <row r="8231" spans="1:5" x14ac:dyDescent="0.25">
      <c r="C8231" t="s">
        <v>15039</v>
      </c>
      <c r="D8231" t="s">
        <v>15040</v>
      </c>
      <c r="E8231" t="str">
        <f>HYPERLINK("https://patents.google.com/patent/US20110216741A1/en")</f>
        <v>https://patents.google.com/patent/US20110216741A1/en</v>
      </c>
    </row>
    <row r="8232" spans="1:5" x14ac:dyDescent="0.25">
      <c r="C8232" t="s">
        <v>11515</v>
      </c>
      <c r="D8232" t="s">
        <v>15041</v>
      </c>
      <c r="E8232" t="str">
        <f>HYPERLINK("https://patents.google.com/patent/CN103201958A/en")</f>
        <v>https://patents.google.com/patent/CN103201958A/en</v>
      </c>
    </row>
    <row r="8233" spans="1:5" x14ac:dyDescent="0.25">
      <c r="C8233" t="s">
        <v>15042</v>
      </c>
      <c r="D8233" t="s">
        <v>15043</v>
      </c>
      <c r="E8233" t="str">
        <f>HYPERLINK("https://patents.google.com/patent/RU2399550C1/en")</f>
        <v>https://patents.google.com/patent/RU2399550C1/en</v>
      </c>
    </row>
    <row r="8234" spans="1:5" x14ac:dyDescent="0.25">
      <c r="C8234" t="s">
        <v>15044</v>
      </c>
      <c r="D8234" t="s">
        <v>15045</v>
      </c>
      <c r="E8234" t="str">
        <f>HYPERLINK("https://patents.google.com/patent/US20160012611A1/en")</f>
        <v>https://patents.google.com/patent/US20160012611A1/en</v>
      </c>
    </row>
    <row r="8235" spans="1:5" x14ac:dyDescent="0.25">
      <c r="C8235" t="s">
        <v>15046</v>
      </c>
      <c r="D8235" t="s">
        <v>15047</v>
      </c>
      <c r="E8235" t="str">
        <f>HYPERLINK("https://patents.google.com/patent/JP2007509681A/en")</f>
        <v>https://patents.google.com/patent/JP2007509681A/en</v>
      </c>
    </row>
    <row r="8236" spans="1:5" x14ac:dyDescent="0.25">
      <c r="A8236" t="s">
        <v>1342</v>
      </c>
      <c r="B8236">
        <v>552</v>
      </c>
    </row>
    <row r="8237" spans="1:5" x14ac:dyDescent="0.25">
      <c r="C8237" t="s">
        <v>6300</v>
      </c>
      <c r="D8237" t="s">
        <v>15048</v>
      </c>
      <c r="E8237" t="str">
        <f>HYPERLINK("https://patents.google.com/patent/US8618696B2/en")</f>
        <v>https://patents.google.com/patent/US8618696B2/en</v>
      </c>
    </row>
    <row r="8238" spans="1:5" x14ac:dyDescent="0.25">
      <c r="C8238" t="s">
        <v>6300</v>
      </c>
      <c r="D8238" t="s">
        <v>15049</v>
      </c>
      <c r="E8238" t="str">
        <f>HYPERLINK("https://patents.google.com/patent/US8461719B2/en")</f>
        <v>https://patents.google.com/patent/US8461719B2/en</v>
      </c>
    </row>
    <row r="8239" spans="1:5" x14ac:dyDescent="0.25">
      <c r="C8239" t="s">
        <v>15050</v>
      </c>
      <c r="D8239" t="s">
        <v>15051</v>
      </c>
      <c r="E8239" t="str">
        <f>HYPERLINK("https://patents.google.com/patent/US7167775B2/en")</f>
        <v>https://patents.google.com/patent/US7167775B2/en</v>
      </c>
    </row>
    <row r="8240" spans="1:5" x14ac:dyDescent="0.25">
      <c r="C8240" t="s">
        <v>15050</v>
      </c>
      <c r="D8240" t="s">
        <v>15052</v>
      </c>
      <c r="E8240" t="str">
        <f>HYPERLINK("https://patents.google.com/patent/US7079923B2/en")</f>
        <v>https://patents.google.com/patent/US7079923B2/en</v>
      </c>
    </row>
    <row r="8241" spans="3:5" x14ac:dyDescent="0.25">
      <c r="C8241" t="s">
        <v>15053</v>
      </c>
      <c r="D8241" t="s">
        <v>15054</v>
      </c>
      <c r="E8241" t="str">
        <f>HYPERLINK("https://patents.google.com/patent/US7539532B2/en")</f>
        <v>https://patents.google.com/patent/US7539532B2/en</v>
      </c>
    </row>
    <row r="8242" spans="3:5" x14ac:dyDescent="0.25">
      <c r="C8242" t="s">
        <v>15055</v>
      </c>
      <c r="D8242" t="s">
        <v>15056</v>
      </c>
      <c r="E8242" t="str">
        <f>HYPERLINK("https://patents.google.com/patent/US7646544B2/en")</f>
        <v>https://patents.google.com/patent/US7646544B2/en</v>
      </c>
    </row>
    <row r="8243" spans="3:5" x14ac:dyDescent="0.25">
      <c r="C8243" t="s">
        <v>15057</v>
      </c>
      <c r="D8243" t="s">
        <v>15058</v>
      </c>
      <c r="E8243" t="str">
        <f>HYPERLINK("https://patents.google.com/patent/US6627154B1/en")</f>
        <v>https://patents.google.com/patent/US6627154B1/en</v>
      </c>
    </row>
    <row r="8244" spans="3:5" x14ac:dyDescent="0.25">
      <c r="C8244" t="s">
        <v>15059</v>
      </c>
      <c r="D8244" t="s">
        <v>15060</v>
      </c>
      <c r="E8244" t="str">
        <f>HYPERLINK("https://patents.google.com/patent/US4979949A/en")</f>
        <v>https://patents.google.com/patent/US4979949A/en</v>
      </c>
    </row>
    <row r="8245" spans="3:5" x14ac:dyDescent="0.25">
      <c r="C8245" t="s">
        <v>15061</v>
      </c>
      <c r="D8245" t="s">
        <v>15062</v>
      </c>
      <c r="E8245" t="str">
        <f>HYPERLINK("https://patents.google.com/patent/US5435963A/en")</f>
        <v>https://patents.google.com/patent/US5435963A/en</v>
      </c>
    </row>
    <row r="8246" spans="3:5" x14ac:dyDescent="0.25">
      <c r="C8246" t="s">
        <v>15063</v>
      </c>
      <c r="D8246" t="s">
        <v>15064</v>
      </c>
      <c r="E8246" t="str">
        <f>HYPERLINK("https://patents.google.com/patent/US5889507A/en")</f>
        <v>https://patents.google.com/patent/US5889507A/en</v>
      </c>
    </row>
    <row r="8247" spans="3:5" x14ac:dyDescent="0.25">
      <c r="C8247" t="s">
        <v>15065</v>
      </c>
      <c r="D8247" t="s">
        <v>15066</v>
      </c>
      <c r="E8247" t="str">
        <f>HYPERLINK("https://patents.google.com/patent/US6493212B1/en")</f>
        <v>https://patents.google.com/patent/US6493212B1/en</v>
      </c>
    </row>
    <row r="8248" spans="3:5" x14ac:dyDescent="0.25">
      <c r="C8248" t="s">
        <v>15067</v>
      </c>
      <c r="D8248" t="s">
        <v>15068</v>
      </c>
      <c r="E8248" t="str">
        <f>HYPERLINK("https://patents.google.com/patent/US6004682A/en")</f>
        <v>https://patents.google.com/patent/US6004682A/en</v>
      </c>
    </row>
    <row r="8249" spans="3:5" x14ac:dyDescent="0.25">
      <c r="C8249" t="s">
        <v>15061</v>
      </c>
      <c r="D8249" t="s">
        <v>15069</v>
      </c>
      <c r="E8249" t="str">
        <f>HYPERLINK("https://patents.google.com/patent/US5242650A/en")</f>
        <v>https://patents.google.com/patent/US5242650A/en</v>
      </c>
    </row>
    <row r="8250" spans="3:5" x14ac:dyDescent="0.25">
      <c r="C8250" t="s">
        <v>15070</v>
      </c>
      <c r="D8250" t="s">
        <v>15071</v>
      </c>
      <c r="E8250" t="str">
        <f>HYPERLINK("https://patents.google.com/patent/US5959747A/en")</f>
        <v>https://patents.google.com/patent/US5959747A/en</v>
      </c>
    </row>
    <row r="8251" spans="3:5" x14ac:dyDescent="0.25">
      <c r="C8251" t="s">
        <v>15072</v>
      </c>
      <c r="D8251" t="s">
        <v>15073</v>
      </c>
      <c r="E8251" t="str">
        <f>HYPERLINK("https://patents.google.com/patent/US6663832B2/en")</f>
        <v>https://patents.google.com/patent/US6663832B2/en</v>
      </c>
    </row>
    <row r="8252" spans="3:5" x14ac:dyDescent="0.25">
      <c r="C8252" t="s">
        <v>15074</v>
      </c>
      <c r="D8252" t="s">
        <v>15075</v>
      </c>
      <c r="E8252" t="str">
        <f>HYPERLINK("https://patents.google.com/patent/US7510142B2/en")</f>
        <v>https://patents.google.com/patent/US7510142B2/en</v>
      </c>
    </row>
    <row r="8253" spans="3:5" x14ac:dyDescent="0.25">
      <c r="C8253" t="s">
        <v>15076</v>
      </c>
      <c r="D8253" t="s">
        <v>15077</v>
      </c>
      <c r="E8253" t="str">
        <f>HYPERLINK("https://patents.google.com/patent/US5183999A/en")</f>
        <v>https://patents.google.com/patent/US5183999A/en</v>
      </c>
    </row>
    <row r="8254" spans="3:5" x14ac:dyDescent="0.25">
      <c r="C8254" t="s">
        <v>15078</v>
      </c>
      <c r="D8254" t="s">
        <v>15079</v>
      </c>
      <c r="E8254" t="str">
        <f>HYPERLINK("https://patents.google.com/patent/CN201677940U/en")</f>
        <v>https://patents.google.com/patent/CN201677940U/en</v>
      </c>
    </row>
    <row r="8255" spans="3:5" x14ac:dyDescent="0.25">
      <c r="C8255" t="s">
        <v>15080</v>
      </c>
      <c r="D8255" t="s">
        <v>15081</v>
      </c>
      <c r="E8255" t="str">
        <f>HYPERLINK("https://patents.google.com/patent/CN107065561A/en")</f>
        <v>https://patents.google.com/patent/CN107065561A/en</v>
      </c>
    </row>
    <row r="8256" spans="3:5" x14ac:dyDescent="0.25">
      <c r="C8256" t="s">
        <v>15082</v>
      </c>
      <c r="D8256" t="s">
        <v>15083</v>
      </c>
      <c r="E8256" t="str">
        <f>HYPERLINK("https://patents.google.com/patent/US20030135971A1/en")</f>
        <v>https://patents.google.com/patent/US20030135971A1/en</v>
      </c>
    </row>
    <row r="8257" spans="3:5" x14ac:dyDescent="0.25">
      <c r="C8257" t="s">
        <v>15084</v>
      </c>
      <c r="D8257" t="s">
        <v>15085</v>
      </c>
      <c r="E8257" t="str">
        <f>HYPERLINK("https://patents.google.com/patent/US20130223673A1/en")</f>
        <v>https://patents.google.com/patent/US20130223673A1/en</v>
      </c>
    </row>
    <row r="8258" spans="3:5" x14ac:dyDescent="0.25">
      <c r="C8258" t="s">
        <v>15086</v>
      </c>
      <c r="D8258" t="s">
        <v>15087</v>
      </c>
      <c r="E8258" t="str">
        <f>HYPERLINK("https://patents.google.com/patent/US20060229108A1/en")</f>
        <v>https://patents.google.com/patent/US20060229108A1/en</v>
      </c>
    </row>
    <row r="8259" spans="3:5" x14ac:dyDescent="0.25">
      <c r="C8259" t="s">
        <v>15088</v>
      </c>
      <c r="D8259" t="s">
        <v>15089</v>
      </c>
      <c r="E8259" t="str">
        <f>HYPERLINK("https://patents.google.com/patent/US20100109842A1/en")</f>
        <v>https://patents.google.com/patent/US20100109842A1/en</v>
      </c>
    </row>
    <row r="8260" spans="3:5" x14ac:dyDescent="0.25">
      <c r="C8260" t="s">
        <v>15090</v>
      </c>
      <c r="D8260" t="s">
        <v>15091</v>
      </c>
      <c r="E8260" t="str">
        <f>HYPERLINK("https://patents.google.com/patent/US20140222298A1/en")</f>
        <v>https://patents.google.com/patent/US20140222298A1/en</v>
      </c>
    </row>
    <row r="8261" spans="3:5" x14ac:dyDescent="0.25">
      <c r="C8261" t="s">
        <v>15084</v>
      </c>
      <c r="D8261" t="s">
        <v>15092</v>
      </c>
      <c r="E8261" t="str">
        <f>HYPERLINK("https://patents.google.com/patent/US20140052555A1/en")</f>
        <v>https://patents.google.com/patent/US20140052555A1/en</v>
      </c>
    </row>
    <row r="8262" spans="3:5" x14ac:dyDescent="0.25">
      <c r="C8262" t="s">
        <v>15093</v>
      </c>
      <c r="D8262" t="s">
        <v>15094</v>
      </c>
      <c r="E8262" t="str">
        <f>HYPERLINK("https://patents.google.com/patent/CN105999913A/en")</f>
        <v>https://patents.google.com/patent/CN105999913A/en</v>
      </c>
    </row>
    <row r="8263" spans="3:5" x14ac:dyDescent="0.25">
      <c r="C8263" t="s">
        <v>6386</v>
      </c>
      <c r="D8263" t="s">
        <v>15095</v>
      </c>
      <c r="E8263" t="str">
        <f>HYPERLINK("https://patents.google.com/patent/US20040198159A1/en")</f>
        <v>https://patents.google.com/patent/US20040198159A1/en</v>
      </c>
    </row>
    <row r="8264" spans="3:5" x14ac:dyDescent="0.25">
      <c r="C8264" t="s">
        <v>15096</v>
      </c>
      <c r="D8264" t="s">
        <v>15097</v>
      </c>
      <c r="E8264" t="str">
        <f>HYPERLINK("https://patents.google.com/patent/US20140344118A1/en")</f>
        <v>https://patents.google.com/patent/US20140344118A1/en</v>
      </c>
    </row>
    <row r="8265" spans="3:5" x14ac:dyDescent="0.25">
      <c r="C8265" t="s">
        <v>15072</v>
      </c>
      <c r="D8265" t="s">
        <v>15098</v>
      </c>
      <c r="E8265" t="str">
        <f>HYPERLINK("https://patents.google.com/patent/US20020044894A1/en")</f>
        <v>https://patents.google.com/patent/US20020044894A1/en</v>
      </c>
    </row>
    <row r="8266" spans="3:5" x14ac:dyDescent="0.25">
      <c r="C8266" t="s">
        <v>15099</v>
      </c>
      <c r="D8266" t="s">
        <v>15100</v>
      </c>
      <c r="E8266" t="str">
        <f>HYPERLINK("https://patents.google.com/patent/US20120101652A1/en")</f>
        <v>https://patents.google.com/patent/US20120101652A1/en</v>
      </c>
    </row>
    <row r="8267" spans="3:5" x14ac:dyDescent="0.25">
      <c r="C8267" t="s">
        <v>15101</v>
      </c>
      <c r="D8267" t="s">
        <v>15102</v>
      </c>
      <c r="E8267" t="str">
        <f>HYPERLINK("https://patents.google.com/patent/US20080091345A1/en")</f>
        <v>https://patents.google.com/patent/US20080091345A1/en</v>
      </c>
    </row>
    <row r="8268" spans="3:5" x14ac:dyDescent="0.25">
      <c r="C8268" t="s">
        <v>15103</v>
      </c>
      <c r="D8268" t="s">
        <v>15104</v>
      </c>
      <c r="E8268" t="str">
        <f>HYPERLINK("https://patents.google.com/patent/CN102490172A/en")</f>
        <v>https://patents.google.com/patent/CN102490172A/en</v>
      </c>
    </row>
    <row r="8269" spans="3:5" x14ac:dyDescent="0.25">
      <c r="C8269" t="s">
        <v>15105</v>
      </c>
      <c r="D8269" t="s">
        <v>15106</v>
      </c>
      <c r="E8269" t="str">
        <f>HYPERLINK("https://patents.google.com/patent/US20070127704A1/en")</f>
        <v>https://patents.google.com/patent/US20070127704A1/en</v>
      </c>
    </row>
    <row r="8270" spans="3:5" x14ac:dyDescent="0.25">
      <c r="C8270" t="s">
        <v>15107</v>
      </c>
      <c r="D8270" t="s">
        <v>15108</v>
      </c>
      <c r="E8270" t="str">
        <f>HYPERLINK("https://patents.google.com/patent/US20030079207A1/en")</f>
        <v>https://patents.google.com/patent/US20030079207A1/en</v>
      </c>
    </row>
    <row r="8271" spans="3:5" x14ac:dyDescent="0.25">
      <c r="C8271" t="s">
        <v>15109</v>
      </c>
      <c r="D8271" t="s">
        <v>15110</v>
      </c>
      <c r="E8271" t="str">
        <f>HYPERLINK("https://patents.google.com/patent/US20060241809A1/en")</f>
        <v>https://patents.google.com/patent/US20060241809A1/en</v>
      </c>
    </row>
    <row r="8272" spans="3:5" x14ac:dyDescent="0.25">
      <c r="C8272" t="s">
        <v>15111</v>
      </c>
      <c r="D8272" t="s">
        <v>15112</v>
      </c>
      <c r="E8272" t="str">
        <f>HYPERLINK("https://patents.google.com/patent/US20130079693A1/en")</f>
        <v>https://patents.google.com/patent/US20130079693A1/en</v>
      </c>
    </row>
    <row r="8273" spans="3:5" x14ac:dyDescent="0.25">
      <c r="C8273" t="s">
        <v>15113</v>
      </c>
      <c r="D8273" t="s">
        <v>15114</v>
      </c>
      <c r="E8273" t="str">
        <f>HYPERLINK("https://patents.google.com/patent/CN105093986A/en")</f>
        <v>https://patents.google.com/patent/CN105093986A/en</v>
      </c>
    </row>
    <row r="8274" spans="3:5" x14ac:dyDescent="0.25">
      <c r="C8274" t="s">
        <v>15084</v>
      </c>
      <c r="D8274" t="s">
        <v>15115</v>
      </c>
      <c r="E8274" t="str">
        <f>HYPERLINK("https://patents.google.com/patent/WO2013033442A1/en")</f>
        <v>https://patents.google.com/patent/WO2013033442A1/en</v>
      </c>
    </row>
    <row r="8275" spans="3:5" x14ac:dyDescent="0.25">
      <c r="C8275" t="s">
        <v>15116</v>
      </c>
      <c r="D8275" t="s">
        <v>15117</v>
      </c>
      <c r="E8275" t="str">
        <f>HYPERLINK("https://patents.google.com/patent/WO1999051302A1/en")</f>
        <v>https://patents.google.com/patent/WO1999051302A1/en</v>
      </c>
    </row>
    <row r="8276" spans="3:5" x14ac:dyDescent="0.25">
      <c r="C8276" t="s">
        <v>15118</v>
      </c>
      <c r="D8276" t="s">
        <v>15119</v>
      </c>
      <c r="E8276" t="str">
        <f>HYPERLINK("https://patents.google.com/patent/CN103273982A/en")</f>
        <v>https://patents.google.com/patent/CN103273982A/en</v>
      </c>
    </row>
    <row r="8277" spans="3:5" x14ac:dyDescent="0.25">
      <c r="C8277" t="s">
        <v>6392</v>
      </c>
      <c r="D8277" t="s">
        <v>15120</v>
      </c>
      <c r="E8277" t="str">
        <f>HYPERLINK("https://patents.google.com/patent/US8500636B2/en")</f>
        <v>https://patents.google.com/patent/US8500636B2/en</v>
      </c>
    </row>
    <row r="8278" spans="3:5" x14ac:dyDescent="0.25">
      <c r="C8278" t="s">
        <v>15121</v>
      </c>
      <c r="D8278" t="s">
        <v>15122</v>
      </c>
      <c r="E8278" t="str">
        <f>HYPERLINK("https://patents.google.com/patent/US20130204430A1/en")</f>
        <v>https://patents.google.com/patent/US20130204430A1/en</v>
      </c>
    </row>
    <row r="8279" spans="3:5" x14ac:dyDescent="0.25">
      <c r="C8279" t="s">
        <v>15123</v>
      </c>
      <c r="D8279" t="s">
        <v>15124</v>
      </c>
      <c r="E8279" t="str">
        <f>HYPERLINK("https://patents.google.com/patent/US20140175898A1/en")</f>
        <v>https://patents.google.com/patent/US20140175898A1/en</v>
      </c>
    </row>
    <row r="8280" spans="3:5" x14ac:dyDescent="0.25">
      <c r="C8280" t="s">
        <v>15125</v>
      </c>
      <c r="D8280" t="s">
        <v>15126</v>
      </c>
      <c r="E8280" t="str">
        <f>HYPERLINK("https://patents.google.com/patent/JP2004169261A/en")</f>
        <v>https://patents.google.com/patent/JP2004169261A/en</v>
      </c>
    </row>
    <row r="8281" spans="3:5" x14ac:dyDescent="0.25">
      <c r="C8281" t="s">
        <v>15127</v>
      </c>
      <c r="D8281" t="s">
        <v>15128</v>
      </c>
      <c r="E8281" t="str">
        <f>HYPERLINK("https://patents.google.com/patent/CN101189516A/en")</f>
        <v>https://patents.google.com/patent/CN101189516A/en</v>
      </c>
    </row>
    <row r="8282" spans="3:5" x14ac:dyDescent="0.25">
      <c r="C8282" t="s">
        <v>6392</v>
      </c>
      <c r="D8282" t="s">
        <v>15129</v>
      </c>
      <c r="E8282" t="str">
        <f>HYPERLINK("https://patents.google.com/patent/US20150099941A1/en")</f>
        <v>https://patents.google.com/patent/US20150099941A1/en</v>
      </c>
    </row>
    <row r="8283" spans="3:5" x14ac:dyDescent="0.25">
      <c r="C8283" t="s">
        <v>15130</v>
      </c>
      <c r="D8283" t="s">
        <v>15131</v>
      </c>
      <c r="E8283" t="str">
        <f>HYPERLINK("https://patents.google.com/patent/CN1311644A/en")</f>
        <v>https://patents.google.com/patent/CN1311644A/en</v>
      </c>
    </row>
    <row r="8284" spans="3:5" x14ac:dyDescent="0.25">
      <c r="C8284" t="s">
        <v>15132</v>
      </c>
      <c r="D8284" t="s">
        <v>15133</v>
      </c>
      <c r="E8284" t="str">
        <f>HYPERLINK("https://patents.google.com/patent/US7712886B2/en")</f>
        <v>https://patents.google.com/patent/US7712886B2/en</v>
      </c>
    </row>
    <row r="8285" spans="3:5" x14ac:dyDescent="0.25">
      <c r="C8285" t="s">
        <v>15134</v>
      </c>
      <c r="D8285" t="s">
        <v>15135</v>
      </c>
      <c r="E8285" t="str">
        <f>HYPERLINK("https://patents.google.com/patent/CN101501693A/en")</f>
        <v>https://patents.google.com/patent/CN101501693A/en</v>
      </c>
    </row>
    <row r="8286" spans="3:5" x14ac:dyDescent="0.25">
      <c r="C8286" t="s">
        <v>15136</v>
      </c>
      <c r="D8286" t="s">
        <v>15137</v>
      </c>
      <c r="E8286" t="str">
        <f>HYPERLINK("https://patents.google.com/patent/CN1732288A/en")</f>
        <v>https://patents.google.com/patent/CN1732288A/en</v>
      </c>
    </row>
    <row r="8287" spans="3:5" x14ac:dyDescent="0.25">
      <c r="C8287" t="s">
        <v>15138</v>
      </c>
      <c r="D8287" t="s">
        <v>15139</v>
      </c>
      <c r="E8287" t="str">
        <f>HYPERLINK("https://patents.google.com/patent/US20150269825A1/en")</f>
        <v>https://patents.google.com/patent/US20150269825A1/en</v>
      </c>
    </row>
    <row r="8288" spans="3:5" x14ac:dyDescent="0.25">
      <c r="C8288" t="s">
        <v>15140</v>
      </c>
      <c r="D8288" t="s">
        <v>15141</v>
      </c>
      <c r="E8288" t="str">
        <f>HYPERLINK("https://patents.google.com/patent/JP2003153831A/en")</f>
        <v>https://patents.google.com/patent/JP2003153831A/en</v>
      </c>
    </row>
    <row r="8289" spans="3:5" x14ac:dyDescent="0.25">
      <c r="C8289" t="s">
        <v>15142</v>
      </c>
      <c r="D8289" t="s">
        <v>15143</v>
      </c>
      <c r="E8289" t="str">
        <f>HYPERLINK("https://patents.google.com/patent/US7581495B2/en")</f>
        <v>https://patents.google.com/patent/US7581495B2/en</v>
      </c>
    </row>
    <row r="8290" spans="3:5" x14ac:dyDescent="0.25">
      <c r="C8290" t="s">
        <v>15144</v>
      </c>
      <c r="D8290" t="s">
        <v>15145</v>
      </c>
      <c r="E8290" t="str">
        <f>HYPERLINK("https://patents.google.com/patent/US20150270719A1/en")</f>
        <v>https://patents.google.com/patent/US20150270719A1/en</v>
      </c>
    </row>
    <row r="8291" spans="3:5" x14ac:dyDescent="0.25">
      <c r="C8291" t="s">
        <v>15146</v>
      </c>
      <c r="D8291" t="s">
        <v>15147</v>
      </c>
      <c r="E8291" t="str">
        <f>HYPERLINK("https://patents.google.com/patent/CN102631172A/en")</f>
        <v>https://patents.google.com/patent/CN102631172A/en</v>
      </c>
    </row>
    <row r="8292" spans="3:5" x14ac:dyDescent="0.25">
      <c r="C8292" t="s">
        <v>15148</v>
      </c>
      <c r="D8292" t="s">
        <v>15149</v>
      </c>
      <c r="E8292" t="str">
        <f>HYPERLINK("https://patents.google.com/patent/US20140287960A1/en")</f>
        <v>https://patents.google.com/patent/US20140287960A1/en</v>
      </c>
    </row>
    <row r="8293" spans="3:5" x14ac:dyDescent="0.25">
      <c r="C8293" t="s">
        <v>6600</v>
      </c>
      <c r="D8293" t="s">
        <v>15150</v>
      </c>
      <c r="E8293" t="str">
        <f>HYPERLINK("https://patents.google.com/patent/US20140225449A1/en")</f>
        <v>https://patents.google.com/patent/US20140225449A1/en</v>
      </c>
    </row>
    <row r="8294" spans="3:5" x14ac:dyDescent="0.25">
      <c r="C8294" t="s">
        <v>15151</v>
      </c>
      <c r="D8294" t="s">
        <v>15152</v>
      </c>
      <c r="E8294" t="str">
        <f>HYPERLINK("https://patents.google.com/patent/US20140342331A1/en")</f>
        <v>https://patents.google.com/patent/US20140342331A1/en</v>
      </c>
    </row>
    <row r="8295" spans="3:5" x14ac:dyDescent="0.25">
      <c r="C8295" t="s">
        <v>15153</v>
      </c>
      <c r="D8295" t="s">
        <v>15154</v>
      </c>
      <c r="E8295" t="str">
        <f>HYPERLINK("https://patents.google.com/patent/CN104295517A/en")</f>
        <v>https://patents.google.com/patent/CN104295517A/en</v>
      </c>
    </row>
    <row r="8296" spans="3:5" x14ac:dyDescent="0.25">
      <c r="C8296" t="s">
        <v>15155</v>
      </c>
      <c r="D8296" t="s">
        <v>15156</v>
      </c>
      <c r="E8296" t="str">
        <f>HYPERLINK("https://patents.google.com/patent/CN102390528A/en")</f>
        <v>https://patents.google.com/patent/CN102390528A/en</v>
      </c>
    </row>
    <row r="8297" spans="3:5" x14ac:dyDescent="0.25">
      <c r="C8297" t="s">
        <v>15157</v>
      </c>
      <c r="D8297" t="s">
        <v>15158</v>
      </c>
      <c r="E8297" t="str">
        <f>HYPERLINK("https://patents.google.com/patent/US7484841B2/en")</f>
        <v>https://patents.google.com/patent/US7484841B2/en</v>
      </c>
    </row>
    <row r="8298" spans="3:5" x14ac:dyDescent="0.25">
      <c r="C8298" t="s">
        <v>15159</v>
      </c>
      <c r="D8298" t="s">
        <v>15160</v>
      </c>
      <c r="E8298" t="str">
        <f>HYPERLINK("https://patents.google.com/patent/CN103926933A/en")</f>
        <v>https://patents.google.com/patent/CN103926933A/en</v>
      </c>
    </row>
    <row r="8299" spans="3:5" x14ac:dyDescent="0.25">
      <c r="C8299" t="s">
        <v>15161</v>
      </c>
      <c r="D8299" t="s">
        <v>15162</v>
      </c>
      <c r="E8299" t="str">
        <f>HYPERLINK("https://patents.google.com/patent/WO2013105431A1/en")</f>
        <v>https://patents.google.com/patent/WO2013105431A1/en</v>
      </c>
    </row>
    <row r="8300" spans="3:5" x14ac:dyDescent="0.25">
      <c r="C8300" t="s">
        <v>15163</v>
      </c>
      <c r="D8300" t="s">
        <v>15164</v>
      </c>
      <c r="E8300" t="str">
        <f>HYPERLINK("https://patents.google.com/patent/US20140341132A1/en")</f>
        <v>https://patents.google.com/patent/US20140341132A1/en</v>
      </c>
    </row>
    <row r="8301" spans="3:5" x14ac:dyDescent="0.25">
      <c r="C8301" t="s">
        <v>5993</v>
      </c>
      <c r="D8301" t="s">
        <v>15165</v>
      </c>
      <c r="E8301" t="str">
        <f>HYPERLINK("https://patents.google.com/patent/JP2009509673A/en")</f>
        <v>https://patents.google.com/patent/JP2009509673A/en</v>
      </c>
    </row>
    <row r="8302" spans="3:5" x14ac:dyDescent="0.25">
      <c r="C8302" t="s">
        <v>6308</v>
      </c>
      <c r="D8302" t="s">
        <v>15166</v>
      </c>
      <c r="E8302" t="str">
        <f>HYPERLINK("https://patents.google.com/patent/US20140361627A1/en")</f>
        <v>https://patents.google.com/patent/US20140361627A1/en</v>
      </c>
    </row>
    <row r="8303" spans="3:5" x14ac:dyDescent="0.25">
      <c r="C8303" t="s">
        <v>15167</v>
      </c>
      <c r="D8303" t="s">
        <v>15168</v>
      </c>
      <c r="E8303" t="str">
        <f>HYPERLINK("https://patents.google.com/patent/US7163287B2/en")</f>
        <v>https://patents.google.com/patent/US7163287B2/en</v>
      </c>
    </row>
    <row r="8304" spans="3:5" x14ac:dyDescent="0.25">
      <c r="C8304" t="s">
        <v>15169</v>
      </c>
      <c r="D8304" t="s">
        <v>15170</v>
      </c>
      <c r="E8304" t="str">
        <f>HYPERLINK("https://patents.google.com/patent/US7322677B2/en")</f>
        <v>https://patents.google.com/patent/US7322677B2/en</v>
      </c>
    </row>
    <row r="8305" spans="3:5" x14ac:dyDescent="0.25">
      <c r="C8305" t="s">
        <v>15171</v>
      </c>
      <c r="D8305" t="s">
        <v>15172</v>
      </c>
      <c r="E8305" t="str">
        <f>HYPERLINK("https://patents.google.com/patent/KR20120095337A/en")</f>
        <v>https://patents.google.com/patent/KR20120095337A/en</v>
      </c>
    </row>
    <row r="8306" spans="3:5" x14ac:dyDescent="0.25">
      <c r="C8306" t="s">
        <v>15173</v>
      </c>
      <c r="D8306" t="s">
        <v>15174</v>
      </c>
      <c r="E8306" t="str">
        <f>HYPERLINK("https://patents.google.com/patent/US20050157120A1/en")</f>
        <v>https://patents.google.com/patent/US20050157120A1/en</v>
      </c>
    </row>
    <row r="8307" spans="3:5" x14ac:dyDescent="0.25">
      <c r="C8307" t="s">
        <v>15175</v>
      </c>
      <c r="D8307" t="s">
        <v>15176</v>
      </c>
      <c r="E8307" t="str">
        <f>HYPERLINK("https://patents.google.com/patent/US20050046687A1/en")</f>
        <v>https://patents.google.com/patent/US20050046687A1/en</v>
      </c>
    </row>
    <row r="8308" spans="3:5" x14ac:dyDescent="0.25">
      <c r="C8308" t="s">
        <v>15177</v>
      </c>
      <c r="D8308" t="s">
        <v>15178</v>
      </c>
      <c r="E8308" t="str">
        <f>HYPERLINK("https://patents.google.com/patent/US20160087687A1/en")</f>
        <v>https://patents.google.com/patent/US20160087687A1/en</v>
      </c>
    </row>
    <row r="8309" spans="3:5" x14ac:dyDescent="0.25">
      <c r="C8309" t="s">
        <v>15179</v>
      </c>
      <c r="D8309" t="s">
        <v>15180</v>
      </c>
      <c r="E8309" t="str">
        <f>HYPERLINK("https://patents.google.com/patent/CN101431968A/en")</f>
        <v>https://patents.google.com/patent/CN101431968A/en</v>
      </c>
    </row>
    <row r="8310" spans="3:5" x14ac:dyDescent="0.25">
      <c r="C8310" t="s">
        <v>15181</v>
      </c>
      <c r="D8310" t="s">
        <v>15182</v>
      </c>
      <c r="E8310" t="str">
        <f>HYPERLINK("https://patents.google.com/patent/US20150236546A1/en")</f>
        <v>https://patents.google.com/patent/US20150236546A1/en</v>
      </c>
    </row>
    <row r="8311" spans="3:5" x14ac:dyDescent="0.25">
      <c r="C8311" t="s">
        <v>15183</v>
      </c>
      <c r="D8311" t="s">
        <v>15184</v>
      </c>
      <c r="E8311" t="str">
        <f>HYPERLINK("https://patents.google.com/patent/EP2511656A1/en")</f>
        <v>https://patents.google.com/patent/EP2511656A1/en</v>
      </c>
    </row>
    <row r="8312" spans="3:5" x14ac:dyDescent="0.25">
      <c r="C8312" t="s">
        <v>15185</v>
      </c>
      <c r="D8312" t="s">
        <v>15186</v>
      </c>
      <c r="E8312" t="str">
        <f>HYPERLINK("https://patents.google.com/patent/CN102990640A/en")</f>
        <v>https://patents.google.com/patent/CN102990640A/en</v>
      </c>
    </row>
    <row r="8313" spans="3:5" x14ac:dyDescent="0.25">
      <c r="C8313" t="s">
        <v>15187</v>
      </c>
      <c r="D8313" t="s">
        <v>15188</v>
      </c>
      <c r="E8313" t="str">
        <f>HYPERLINK("https://patents.google.com/patent/KR20030065347A/en")</f>
        <v>https://patents.google.com/patent/KR20030065347A/en</v>
      </c>
    </row>
    <row r="8314" spans="3:5" x14ac:dyDescent="0.25">
      <c r="C8314" t="s">
        <v>15189</v>
      </c>
      <c r="D8314" t="s">
        <v>15190</v>
      </c>
      <c r="E8314" t="str">
        <f>HYPERLINK("https://patents.google.com/patent/US20120206093A1/en")</f>
        <v>https://patents.google.com/patent/US20120206093A1/en</v>
      </c>
    </row>
    <row r="8315" spans="3:5" x14ac:dyDescent="0.25">
      <c r="C8315" t="s">
        <v>15191</v>
      </c>
      <c r="D8315" t="s">
        <v>15192</v>
      </c>
      <c r="E8315" t="str">
        <f>HYPERLINK("https://patents.google.com/patent/JP2005111637A/en")</f>
        <v>https://patents.google.com/patent/JP2005111637A/en</v>
      </c>
    </row>
    <row r="8316" spans="3:5" x14ac:dyDescent="0.25">
      <c r="C8316" t="s">
        <v>15193</v>
      </c>
      <c r="D8316" t="s">
        <v>15194</v>
      </c>
      <c r="E8316" t="str">
        <f>HYPERLINK("https://patents.google.com/patent/JPH06222816A/en")</f>
        <v>https://patents.google.com/patent/JPH06222816A/en</v>
      </c>
    </row>
    <row r="8317" spans="3:5" x14ac:dyDescent="0.25">
      <c r="C8317" t="s">
        <v>14392</v>
      </c>
      <c r="D8317" t="s">
        <v>15195</v>
      </c>
      <c r="E8317" t="str">
        <f>HYPERLINK("https://patents.google.com/patent/CN101807265A/en")</f>
        <v>https://patents.google.com/patent/CN101807265A/en</v>
      </c>
    </row>
    <row r="8318" spans="3:5" x14ac:dyDescent="0.25">
      <c r="C8318" t="s">
        <v>15196</v>
      </c>
      <c r="D8318" t="s">
        <v>15197</v>
      </c>
      <c r="E8318" t="str">
        <f>HYPERLINK("https://patents.google.com/patent/CN108297108A/en")</f>
        <v>https://patents.google.com/patent/CN108297108A/en</v>
      </c>
    </row>
    <row r="8319" spans="3:5" x14ac:dyDescent="0.25">
      <c r="C8319" t="s">
        <v>15198</v>
      </c>
      <c r="D8319" t="s">
        <v>15199</v>
      </c>
      <c r="E8319" t="str">
        <f>HYPERLINK("https://patents.google.com/patent/CN103673023A/en")</f>
        <v>https://patents.google.com/patent/CN103673023A/en</v>
      </c>
    </row>
    <row r="8320" spans="3:5" x14ac:dyDescent="0.25">
      <c r="C8320" t="s">
        <v>15200</v>
      </c>
      <c r="D8320" t="s">
        <v>15201</v>
      </c>
      <c r="E8320" t="str">
        <f>HYPERLINK("https://patents.google.com/patent/CN104965552A/en")</f>
        <v>https://patents.google.com/patent/CN104965552A/en</v>
      </c>
    </row>
    <row r="8321" spans="3:5" x14ac:dyDescent="0.25">
      <c r="C8321" t="s">
        <v>15202</v>
      </c>
      <c r="D8321" t="s">
        <v>15203</v>
      </c>
      <c r="E8321" t="str">
        <f>HYPERLINK("https://patents.google.com/patent/JP2013223650A/en")</f>
        <v>https://patents.google.com/patent/JP2013223650A/en</v>
      </c>
    </row>
    <row r="8322" spans="3:5" x14ac:dyDescent="0.25">
      <c r="C8322" t="s">
        <v>15204</v>
      </c>
      <c r="D8322" t="s">
        <v>15205</v>
      </c>
      <c r="E8322" t="str">
        <f>HYPERLINK("https://patents.google.com/patent/CN104586324A/en")</f>
        <v>https://patents.google.com/patent/CN104586324A/en</v>
      </c>
    </row>
    <row r="8323" spans="3:5" x14ac:dyDescent="0.25">
      <c r="C8323" t="s">
        <v>15206</v>
      </c>
      <c r="D8323" t="s">
        <v>15207</v>
      </c>
      <c r="E8323" t="str">
        <f>HYPERLINK("https://patents.google.com/patent/US20130222185A1/en")</f>
        <v>https://patents.google.com/patent/US20130222185A1/en</v>
      </c>
    </row>
    <row r="8324" spans="3:5" x14ac:dyDescent="0.25">
      <c r="C8324" t="s">
        <v>15208</v>
      </c>
      <c r="D8324" t="s">
        <v>15209</v>
      </c>
      <c r="E8324" t="str">
        <f>HYPERLINK("https://patents.google.com/patent/JP2008254167A/en")</f>
        <v>https://patents.google.com/patent/JP2008254167A/en</v>
      </c>
    </row>
    <row r="8325" spans="3:5" x14ac:dyDescent="0.25">
      <c r="C8325" t="s">
        <v>15210</v>
      </c>
      <c r="D8325" t="s">
        <v>15211</v>
      </c>
      <c r="E8325" t="str">
        <f>HYPERLINK("https://patents.google.com/patent/CN101266659A/en")</f>
        <v>https://patents.google.com/patent/CN101266659A/en</v>
      </c>
    </row>
    <row r="8326" spans="3:5" x14ac:dyDescent="0.25">
      <c r="C8326" t="s">
        <v>15212</v>
      </c>
      <c r="D8326" t="s">
        <v>15213</v>
      </c>
      <c r="E8326" t="str">
        <f>HYPERLINK("https://patents.google.com/patent/JP2002166379A/en")</f>
        <v>https://patents.google.com/patent/JP2002166379A/en</v>
      </c>
    </row>
    <row r="8327" spans="3:5" x14ac:dyDescent="0.25">
      <c r="C8327" t="s">
        <v>15214</v>
      </c>
      <c r="D8327" t="s">
        <v>15215</v>
      </c>
      <c r="E8327" t="str">
        <f>HYPERLINK("https://patents.google.com/patent/US20160014568A1/en")</f>
        <v>https://patents.google.com/patent/US20160014568A1/en</v>
      </c>
    </row>
    <row r="8328" spans="3:5" x14ac:dyDescent="0.25">
      <c r="C8328" t="s">
        <v>15216</v>
      </c>
      <c r="D8328" t="s">
        <v>15217</v>
      </c>
      <c r="E8328" t="str">
        <f>HYPERLINK("https://patents.google.com/patent/CN103699136A/en")</f>
        <v>https://patents.google.com/patent/CN103699136A/en</v>
      </c>
    </row>
    <row r="8329" spans="3:5" x14ac:dyDescent="0.25">
      <c r="C8329" t="s">
        <v>15218</v>
      </c>
      <c r="D8329" t="s">
        <v>15219</v>
      </c>
      <c r="E8329" t="str">
        <f>HYPERLINK("https://patents.google.com/patent/JP2012064131A/en")</f>
        <v>https://patents.google.com/patent/JP2012064131A/en</v>
      </c>
    </row>
    <row r="8330" spans="3:5" x14ac:dyDescent="0.25">
      <c r="C8330" t="s">
        <v>15220</v>
      </c>
      <c r="D8330" t="s">
        <v>15221</v>
      </c>
      <c r="E8330" t="str">
        <f>HYPERLINK("https://patents.google.com/patent/JP2011088052A/en")</f>
        <v>https://patents.google.com/patent/JP2011088052A/en</v>
      </c>
    </row>
    <row r="8331" spans="3:5" x14ac:dyDescent="0.25">
      <c r="C8331" t="s">
        <v>15222</v>
      </c>
      <c r="D8331" t="s">
        <v>15223</v>
      </c>
      <c r="E8331" t="str">
        <f>HYPERLINK("https://patents.google.com/patent/CN103895728A/en")</f>
        <v>https://patents.google.com/patent/CN103895728A/en</v>
      </c>
    </row>
    <row r="8332" spans="3:5" x14ac:dyDescent="0.25">
      <c r="C8332" t="s">
        <v>15224</v>
      </c>
      <c r="D8332" t="s">
        <v>15225</v>
      </c>
      <c r="E8332" t="str">
        <f>HYPERLINK("https://patents.google.com/patent/CN104809469A/en")</f>
        <v>https://patents.google.com/patent/CN104809469A/en</v>
      </c>
    </row>
    <row r="8333" spans="3:5" x14ac:dyDescent="0.25">
      <c r="C8333" t="s">
        <v>15226</v>
      </c>
      <c r="D8333" t="s">
        <v>15227</v>
      </c>
      <c r="E8333" t="str">
        <f>HYPERLINK("https://patents.google.com/patent/CN204379173U/en")</f>
        <v>https://patents.google.com/patent/CN204379173U/en</v>
      </c>
    </row>
    <row r="8334" spans="3:5" x14ac:dyDescent="0.25">
      <c r="C8334" t="s">
        <v>15228</v>
      </c>
      <c r="D8334" t="s">
        <v>15229</v>
      </c>
      <c r="E8334" t="str">
        <f>HYPERLINK("https://patents.google.com/patent/WO2013157324A1/en")</f>
        <v>https://patents.google.com/patent/WO2013157324A1/en</v>
      </c>
    </row>
    <row r="8335" spans="3:5" x14ac:dyDescent="0.25">
      <c r="C8335" t="s">
        <v>15230</v>
      </c>
      <c r="D8335" t="s">
        <v>15231</v>
      </c>
      <c r="E8335" t="str">
        <f>HYPERLINK("https://patents.google.com/patent/CN205662058U/en")</f>
        <v>https://patents.google.com/patent/CN205662058U/en</v>
      </c>
    </row>
    <row r="8336" spans="3:5" x14ac:dyDescent="0.25">
      <c r="C8336" t="s">
        <v>15232</v>
      </c>
      <c r="D8336" t="s">
        <v>15233</v>
      </c>
      <c r="E8336" t="str">
        <f>HYPERLINK("https://patents.google.com/patent/US9353514B1/en")</f>
        <v>https://patents.google.com/patent/US9353514B1/en</v>
      </c>
    </row>
    <row r="8337" spans="3:5" x14ac:dyDescent="0.25">
      <c r="C8337" t="s">
        <v>15234</v>
      </c>
      <c r="D8337" t="s">
        <v>15235</v>
      </c>
      <c r="E8337" t="str">
        <f>HYPERLINK("https://patents.google.com/patent/JP2008529752A/en")</f>
        <v>https://patents.google.com/patent/JP2008529752A/en</v>
      </c>
    </row>
    <row r="8338" spans="3:5" x14ac:dyDescent="0.25">
      <c r="C8338" t="s">
        <v>15236</v>
      </c>
      <c r="D8338" t="s">
        <v>15237</v>
      </c>
      <c r="E8338" t="str">
        <f>HYPERLINK("https://patents.google.com/patent/WO2014152004A1/en")</f>
        <v>https://patents.google.com/patent/WO2014152004A1/en</v>
      </c>
    </row>
    <row r="8339" spans="3:5" x14ac:dyDescent="0.25">
      <c r="C8339" t="s">
        <v>15238</v>
      </c>
      <c r="D8339" t="s">
        <v>15239</v>
      </c>
      <c r="E8339" t="str">
        <f>HYPERLINK("https://patents.google.com/patent/CN202855522U/en")</f>
        <v>https://patents.google.com/patent/CN202855522U/en</v>
      </c>
    </row>
    <row r="8340" spans="3:5" x14ac:dyDescent="0.25">
      <c r="C8340" t="s">
        <v>15240</v>
      </c>
      <c r="D8340" t="s">
        <v>15241</v>
      </c>
      <c r="E8340" t="str">
        <f>HYPERLINK("https://patents.google.com/patent/US20160201933A1/en")</f>
        <v>https://patents.google.com/patent/US20160201933A1/en</v>
      </c>
    </row>
    <row r="8341" spans="3:5" x14ac:dyDescent="0.25">
      <c r="C8341" t="s">
        <v>15242</v>
      </c>
      <c r="D8341" t="s">
        <v>15243</v>
      </c>
      <c r="E8341" t="str">
        <f>HYPERLINK("https://patents.google.com/patent/KR20040066348A/en")</f>
        <v>https://patents.google.com/patent/KR20040066348A/en</v>
      </c>
    </row>
    <row r="8342" spans="3:5" x14ac:dyDescent="0.25">
      <c r="C8342" t="s">
        <v>15244</v>
      </c>
      <c r="D8342" t="s">
        <v>15245</v>
      </c>
      <c r="E8342" t="str">
        <f>HYPERLINK("https://patents.google.com/patent/WO2010068198A1/en")</f>
        <v>https://patents.google.com/patent/WO2010068198A1/en</v>
      </c>
    </row>
    <row r="8343" spans="3:5" x14ac:dyDescent="0.25">
      <c r="C8343" t="s">
        <v>15246</v>
      </c>
      <c r="D8343" t="s">
        <v>15247</v>
      </c>
      <c r="E8343" t="str">
        <f>HYPERLINK("https://patents.google.com/patent/JP5357941B2/en")</f>
        <v>https://patents.google.com/patent/JP5357941B2/en</v>
      </c>
    </row>
    <row r="8344" spans="3:5" x14ac:dyDescent="0.25">
      <c r="C8344" t="s">
        <v>6282</v>
      </c>
      <c r="D8344" t="s">
        <v>15248</v>
      </c>
      <c r="E8344" t="str">
        <f>HYPERLINK("https://patents.google.com/patent/KR101519685B1/en")</f>
        <v>https://patents.google.com/patent/KR101519685B1/en</v>
      </c>
    </row>
    <row r="8345" spans="3:5" x14ac:dyDescent="0.25">
      <c r="C8345" t="s">
        <v>15249</v>
      </c>
      <c r="D8345" t="s">
        <v>15250</v>
      </c>
      <c r="E8345" t="str">
        <f>HYPERLINK("https://patents.google.com/patent/CN203586452U/en")</f>
        <v>https://patents.google.com/patent/CN203586452U/en</v>
      </c>
    </row>
    <row r="8346" spans="3:5" x14ac:dyDescent="0.25">
      <c r="C8346" t="s">
        <v>15251</v>
      </c>
      <c r="D8346" t="s">
        <v>15252</v>
      </c>
      <c r="E8346" t="str">
        <f>HYPERLINK("https://patents.google.com/patent/KR101184012B1/en")</f>
        <v>https://patents.google.com/patent/KR101184012B1/en</v>
      </c>
    </row>
    <row r="8347" spans="3:5" x14ac:dyDescent="0.25">
      <c r="C8347" t="s">
        <v>15253</v>
      </c>
      <c r="D8347" t="s">
        <v>15254</v>
      </c>
      <c r="E8347" t="str">
        <f>HYPERLINK("https://patents.google.com/patent/DE19718204A1/en")</f>
        <v>https://patents.google.com/patent/DE19718204A1/en</v>
      </c>
    </row>
    <row r="8348" spans="3:5" x14ac:dyDescent="0.25">
      <c r="C8348" t="s">
        <v>6825</v>
      </c>
      <c r="D8348" t="s">
        <v>15255</v>
      </c>
      <c r="E8348" t="str">
        <f>HYPERLINK("https://patents.google.com/patent/JP2010182287A/en")</f>
        <v>https://patents.google.com/patent/JP2010182287A/en</v>
      </c>
    </row>
    <row r="8349" spans="3:5" x14ac:dyDescent="0.25">
      <c r="C8349" t="s">
        <v>15256</v>
      </c>
      <c r="D8349" t="s">
        <v>15257</v>
      </c>
      <c r="E8349" t="str">
        <f>HYPERLINK("https://patents.google.com/patent/JP2006199108A/en")</f>
        <v>https://patents.google.com/patent/JP2006199108A/en</v>
      </c>
    </row>
    <row r="8350" spans="3:5" x14ac:dyDescent="0.25">
      <c r="C8350" t="s">
        <v>15258</v>
      </c>
      <c r="D8350" t="s">
        <v>15259</v>
      </c>
      <c r="E8350" t="str">
        <f>HYPERLINK("https://patents.google.com/patent/WO2017059830A1/en")</f>
        <v>https://patents.google.com/patent/WO2017059830A1/en</v>
      </c>
    </row>
    <row r="8351" spans="3:5" x14ac:dyDescent="0.25">
      <c r="C8351" t="s">
        <v>15260</v>
      </c>
      <c r="D8351" t="s">
        <v>15261</v>
      </c>
      <c r="E8351" t="str">
        <f>HYPERLINK("https://patents.google.com/patent/US20180014988A1/en")</f>
        <v>https://patents.google.com/patent/US20180014988A1/en</v>
      </c>
    </row>
    <row r="8352" spans="3:5" x14ac:dyDescent="0.25">
      <c r="C8352" t="s">
        <v>15262</v>
      </c>
      <c r="D8352" t="s">
        <v>15263</v>
      </c>
      <c r="E8352" t="str">
        <f>HYPERLINK("https://patents.google.com/patent/CN206612752U/en")</f>
        <v>https://patents.google.com/patent/CN206612752U/en</v>
      </c>
    </row>
    <row r="8353" spans="1:5" x14ac:dyDescent="0.25">
      <c r="C8353" t="s">
        <v>15264</v>
      </c>
      <c r="D8353" t="s">
        <v>15265</v>
      </c>
      <c r="E8353" t="str">
        <f>HYPERLINK("https://patents.google.com/patent/DE102004020282A1/en")</f>
        <v>https://patents.google.com/patent/DE102004020282A1/en</v>
      </c>
    </row>
    <row r="8354" spans="1:5" x14ac:dyDescent="0.25">
      <c r="C8354" t="s">
        <v>15266</v>
      </c>
      <c r="D8354" t="s">
        <v>15267</v>
      </c>
      <c r="E8354" t="str">
        <f>HYPERLINK("https://patents.google.com/patent/CN101700522B/en")</f>
        <v>https://patents.google.com/patent/CN101700522B/en</v>
      </c>
    </row>
    <row r="8355" spans="1:5" x14ac:dyDescent="0.25">
      <c r="C8355" t="s">
        <v>15268</v>
      </c>
      <c r="D8355" t="s">
        <v>15269</v>
      </c>
      <c r="E8355" t="str">
        <f>HYPERLINK("https://patents.google.com/patent/JP2012210703A/en")</f>
        <v>https://patents.google.com/patent/JP2012210703A/en</v>
      </c>
    </row>
    <row r="8356" spans="1:5" x14ac:dyDescent="0.25">
      <c r="C8356" t="s">
        <v>15270</v>
      </c>
      <c r="D8356" t="s">
        <v>15271</v>
      </c>
      <c r="E8356" t="str">
        <f>HYPERLINK("https://patents.google.com/patent/CN1263210A/en")</f>
        <v>https://patents.google.com/patent/CN1263210A/en</v>
      </c>
    </row>
    <row r="8357" spans="1:5" x14ac:dyDescent="0.25">
      <c r="C8357" t="s">
        <v>15272</v>
      </c>
      <c r="D8357" t="s">
        <v>15273</v>
      </c>
      <c r="E8357" t="str">
        <f>HYPERLINK("https://patents.google.com/patent/DE102004013179A1/en")</f>
        <v>https://patents.google.com/patent/DE102004013179A1/en</v>
      </c>
    </row>
    <row r="8358" spans="1:5" x14ac:dyDescent="0.25">
      <c r="C8358" t="s">
        <v>15274</v>
      </c>
      <c r="D8358" t="s">
        <v>15275</v>
      </c>
      <c r="E8358" t="str">
        <f>HYPERLINK("https://patents.google.com/patent/US20180093133A1/en")</f>
        <v>https://patents.google.com/patent/US20180093133A1/en</v>
      </c>
    </row>
    <row r="8359" spans="1:5" x14ac:dyDescent="0.25">
      <c r="C8359" t="s">
        <v>15276</v>
      </c>
      <c r="D8359" t="s">
        <v>15277</v>
      </c>
      <c r="E8359" t="str">
        <f>HYPERLINK("https://patents.google.com/patent/JP2016539178A/en")</f>
        <v>https://patents.google.com/patent/JP2016539178A/en</v>
      </c>
    </row>
    <row r="8360" spans="1:5" x14ac:dyDescent="0.25">
      <c r="C8360" t="s">
        <v>15278</v>
      </c>
      <c r="D8360" t="s">
        <v>15279</v>
      </c>
      <c r="E8360" t="str">
        <f>HYPERLINK("https://patents.google.com/patent/KR20150125571A/en")</f>
        <v>https://patents.google.com/patent/KR20150125571A/en</v>
      </c>
    </row>
    <row r="8361" spans="1:5" x14ac:dyDescent="0.25">
      <c r="C8361" t="s">
        <v>14299</v>
      </c>
      <c r="D8361" t="s">
        <v>15280</v>
      </c>
      <c r="E8361" t="str">
        <f>HYPERLINK("https://patents.google.com/patent/US20180087795A1/en")</f>
        <v>https://patents.google.com/patent/US20180087795A1/en</v>
      </c>
    </row>
    <row r="8362" spans="1:5" x14ac:dyDescent="0.25">
      <c r="C8362" t="s">
        <v>7280</v>
      </c>
      <c r="D8362" t="s">
        <v>15281</v>
      </c>
      <c r="E8362" t="str">
        <f>HYPERLINK("https://patents.google.com/patent/CN1130969A/en")</f>
        <v>https://patents.google.com/patent/CN1130969A/en</v>
      </c>
    </row>
    <row r="8363" spans="1:5" x14ac:dyDescent="0.25">
      <c r="C8363" t="s">
        <v>15282</v>
      </c>
      <c r="D8363" t="s">
        <v>15283</v>
      </c>
      <c r="E8363" t="str">
        <f>HYPERLINK("https://patents.google.com/patent/CN106135174A/en")</f>
        <v>https://patents.google.com/patent/CN106135174A/en</v>
      </c>
    </row>
    <row r="8364" spans="1:5" x14ac:dyDescent="0.25">
      <c r="C8364" t="s">
        <v>15284</v>
      </c>
      <c r="D8364" t="s">
        <v>15285</v>
      </c>
      <c r="E8364" t="str">
        <f>HYPERLINK("https://patents.google.com/patent/CN206586881U/en")</f>
        <v>https://patents.google.com/patent/CN206586881U/en</v>
      </c>
    </row>
    <row r="8365" spans="1:5" x14ac:dyDescent="0.25">
      <c r="A8365" t="s">
        <v>1343</v>
      </c>
      <c r="B8365">
        <v>589</v>
      </c>
    </row>
    <row r="8366" spans="1:5" x14ac:dyDescent="0.25">
      <c r="C8366" t="s">
        <v>15286</v>
      </c>
      <c r="D8366" t="s">
        <v>15287</v>
      </c>
      <c r="E8366" t="str">
        <f>HYPERLINK("https://patents.google.com/patent/CN102681542A/en")</f>
        <v>https://patents.google.com/patent/CN102681542A/en</v>
      </c>
    </row>
    <row r="8367" spans="1:5" x14ac:dyDescent="0.25">
      <c r="C8367" t="s">
        <v>15288</v>
      </c>
      <c r="D8367" t="s">
        <v>15289</v>
      </c>
      <c r="E8367" t="str">
        <f>HYPERLINK("https://patents.google.com/patent/CN201273999Y/en")</f>
        <v>https://patents.google.com/patent/CN201273999Y/en</v>
      </c>
    </row>
    <row r="8368" spans="1:5" x14ac:dyDescent="0.25">
      <c r="C8368" t="s">
        <v>15290</v>
      </c>
      <c r="D8368" t="s">
        <v>15291</v>
      </c>
      <c r="E8368" t="str">
        <f>HYPERLINK("https://patents.google.com/patent/CN107877493A/en")</f>
        <v>https://patents.google.com/patent/CN107877493A/en</v>
      </c>
    </row>
    <row r="8369" spans="3:5" x14ac:dyDescent="0.25">
      <c r="C8369" t="s">
        <v>15292</v>
      </c>
      <c r="D8369" t="s">
        <v>15293</v>
      </c>
      <c r="E8369" t="str">
        <f>HYPERLINK("https://patents.google.com/patent/CN205378108U/en")</f>
        <v>https://patents.google.com/patent/CN205378108U/en</v>
      </c>
    </row>
    <row r="8370" spans="3:5" x14ac:dyDescent="0.25">
      <c r="C8370" t="s">
        <v>15294</v>
      </c>
      <c r="D8370" t="s">
        <v>15295</v>
      </c>
      <c r="E8370" t="str">
        <f>HYPERLINK("https://patents.google.com/patent/CN204650272U/en")</f>
        <v>https://patents.google.com/patent/CN204650272U/en</v>
      </c>
    </row>
    <row r="8371" spans="3:5" x14ac:dyDescent="0.25">
      <c r="C8371" t="s">
        <v>15296</v>
      </c>
      <c r="D8371" t="s">
        <v>15297</v>
      </c>
      <c r="E8371" t="str">
        <f>HYPERLINK("https://patents.google.com/patent/CN202582585U/en")</f>
        <v>https://patents.google.com/patent/CN202582585U/en</v>
      </c>
    </row>
    <row r="8372" spans="3:5" x14ac:dyDescent="0.25">
      <c r="C8372" t="s">
        <v>15298</v>
      </c>
      <c r="D8372" t="s">
        <v>15299</v>
      </c>
      <c r="E8372" t="str">
        <f>HYPERLINK("https://patents.google.com/patent/CN106313114B/en")</f>
        <v>https://patents.google.com/patent/CN106313114B/en</v>
      </c>
    </row>
    <row r="8373" spans="3:5" x14ac:dyDescent="0.25">
      <c r="C8373" t="s">
        <v>15300</v>
      </c>
      <c r="D8373" t="s">
        <v>15301</v>
      </c>
      <c r="E8373" t="str">
        <f>HYPERLINK("https://patents.google.com/patent/CN107186734A/en")</f>
        <v>https://patents.google.com/patent/CN107186734A/en</v>
      </c>
    </row>
    <row r="8374" spans="3:5" x14ac:dyDescent="0.25">
      <c r="C8374" t="s">
        <v>15302</v>
      </c>
      <c r="D8374" t="s">
        <v>15303</v>
      </c>
      <c r="E8374" t="str">
        <f>HYPERLINK("https://patents.google.com/patent/CN108597169A/en")</f>
        <v>https://patents.google.com/patent/CN108597169A/en</v>
      </c>
    </row>
    <row r="8375" spans="3:5" x14ac:dyDescent="0.25">
      <c r="C8375" t="s">
        <v>15304</v>
      </c>
      <c r="D8375" t="s">
        <v>15305</v>
      </c>
      <c r="E8375" t="str">
        <f>HYPERLINK("https://patents.google.com/patent/CN107655480A/en")</f>
        <v>https://patents.google.com/patent/CN107655480A/en</v>
      </c>
    </row>
    <row r="8376" spans="3:5" x14ac:dyDescent="0.25">
      <c r="C8376" t="s">
        <v>15306</v>
      </c>
      <c r="D8376" t="s">
        <v>15307</v>
      </c>
      <c r="E8376" t="str">
        <f>HYPERLINK("https://patents.google.com/patent/CN107657680A/en")</f>
        <v>https://patents.google.com/patent/CN107657680A/en</v>
      </c>
    </row>
    <row r="8377" spans="3:5" x14ac:dyDescent="0.25">
      <c r="C8377" t="s">
        <v>15308</v>
      </c>
      <c r="D8377" t="s">
        <v>15309</v>
      </c>
      <c r="E8377" t="str">
        <f>HYPERLINK("https://patents.google.com/patent/CN205375734U/en")</f>
        <v>https://patents.google.com/patent/CN205375734U/en</v>
      </c>
    </row>
    <row r="8378" spans="3:5" x14ac:dyDescent="0.25">
      <c r="C8378" t="s">
        <v>15310</v>
      </c>
      <c r="D8378" t="s">
        <v>15311</v>
      </c>
      <c r="E8378" t="str">
        <f>HYPERLINK("https://patents.google.com/patent/CN103419202B/en")</f>
        <v>https://patents.google.com/patent/CN103419202B/en</v>
      </c>
    </row>
    <row r="8379" spans="3:5" x14ac:dyDescent="0.25">
      <c r="C8379" t="s">
        <v>15312</v>
      </c>
      <c r="D8379" t="s">
        <v>15313</v>
      </c>
      <c r="E8379" t="str">
        <f>HYPERLINK("https://patents.google.com/patent/CN105082137A/en")</f>
        <v>https://patents.google.com/patent/CN105082137A/en</v>
      </c>
    </row>
    <row r="8380" spans="3:5" x14ac:dyDescent="0.25">
      <c r="C8380" t="s">
        <v>15314</v>
      </c>
      <c r="D8380" t="s">
        <v>15315</v>
      </c>
      <c r="E8380" t="str">
        <f>HYPERLINK("https://patents.google.com/patent/CN203070100U/en")</f>
        <v>https://patents.google.com/patent/CN203070100U/en</v>
      </c>
    </row>
    <row r="8381" spans="3:5" x14ac:dyDescent="0.25">
      <c r="C8381" t="s">
        <v>15316</v>
      </c>
      <c r="D8381" t="s">
        <v>15317</v>
      </c>
      <c r="E8381" t="str">
        <f>HYPERLINK("https://patents.google.com/patent/US6323807B1/en")</f>
        <v>https://patents.google.com/patent/US6323807B1/en</v>
      </c>
    </row>
    <row r="8382" spans="3:5" x14ac:dyDescent="0.25">
      <c r="C8382" t="s">
        <v>15318</v>
      </c>
      <c r="D8382" t="s">
        <v>15319</v>
      </c>
      <c r="E8382" t="str">
        <f>HYPERLINK("https://patents.google.com/patent/US5961571A/en")</f>
        <v>https://patents.google.com/patent/US5961571A/en</v>
      </c>
    </row>
    <row r="8383" spans="3:5" x14ac:dyDescent="0.25">
      <c r="C8383" t="s">
        <v>15320</v>
      </c>
      <c r="D8383" t="s">
        <v>15321</v>
      </c>
      <c r="E8383" t="str">
        <f>HYPERLINK("https://patents.google.com/patent/CN103149934A/en")</f>
        <v>https://patents.google.com/patent/CN103149934A/en</v>
      </c>
    </row>
    <row r="8384" spans="3:5" x14ac:dyDescent="0.25">
      <c r="C8384" t="s">
        <v>15322</v>
      </c>
      <c r="D8384" t="s">
        <v>15323</v>
      </c>
      <c r="E8384" t="str">
        <f>HYPERLINK("https://patents.google.com/patent/CN206710590U/en")</f>
        <v>https://patents.google.com/patent/CN206710590U/en</v>
      </c>
    </row>
    <row r="8385" spans="3:5" x14ac:dyDescent="0.25">
      <c r="C8385" t="s">
        <v>15324</v>
      </c>
      <c r="D8385" t="s">
        <v>15325</v>
      </c>
      <c r="E8385" t="str">
        <f>HYPERLINK("https://patents.google.com/patent/CN108262736A/en")</f>
        <v>https://patents.google.com/patent/CN108262736A/en</v>
      </c>
    </row>
    <row r="8386" spans="3:5" x14ac:dyDescent="0.25">
      <c r="C8386" t="s">
        <v>15326</v>
      </c>
      <c r="D8386" t="s">
        <v>15327</v>
      </c>
      <c r="E8386" t="str">
        <f>HYPERLINK("https://patents.google.com/patent/US20140320661A1/en")</f>
        <v>https://patents.google.com/patent/US20140320661A1/en</v>
      </c>
    </row>
    <row r="8387" spans="3:5" x14ac:dyDescent="0.25">
      <c r="C8387" t="s">
        <v>15328</v>
      </c>
      <c r="D8387" t="s">
        <v>15329</v>
      </c>
      <c r="E8387" t="str">
        <f>HYPERLINK("https://patents.google.com/patent/CN105252515A/en")</f>
        <v>https://patents.google.com/patent/CN105252515A/en</v>
      </c>
    </row>
    <row r="8388" spans="3:5" x14ac:dyDescent="0.25">
      <c r="C8388" t="s">
        <v>5967</v>
      </c>
      <c r="D8388" t="s">
        <v>15330</v>
      </c>
      <c r="E8388" t="str">
        <f>HYPERLINK("https://patents.google.com/patent/US7066291B2/en")</f>
        <v>https://patents.google.com/patent/US7066291B2/en</v>
      </c>
    </row>
    <row r="8389" spans="3:5" x14ac:dyDescent="0.25">
      <c r="C8389" t="s">
        <v>15331</v>
      </c>
      <c r="D8389" t="s">
        <v>15332</v>
      </c>
      <c r="E8389" t="str">
        <f>HYPERLINK("https://patents.google.com/patent/US5111401A/en")</f>
        <v>https://patents.google.com/patent/US5111401A/en</v>
      </c>
    </row>
    <row r="8390" spans="3:5" x14ac:dyDescent="0.25">
      <c r="C8390" t="s">
        <v>15333</v>
      </c>
      <c r="D8390" t="s">
        <v>15334</v>
      </c>
      <c r="E8390" t="str">
        <f>HYPERLINK("https://patents.google.com/patent/US7555363B2/en")</f>
        <v>https://patents.google.com/patent/US7555363B2/en</v>
      </c>
    </row>
    <row r="8391" spans="3:5" x14ac:dyDescent="0.25">
      <c r="C8391" t="s">
        <v>15335</v>
      </c>
      <c r="D8391" t="s">
        <v>15336</v>
      </c>
      <c r="E8391" t="str">
        <f>HYPERLINK("https://patents.google.com/patent/US7323991B1/en")</f>
        <v>https://patents.google.com/patent/US7323991B1/en</v>
      </c>
    </row>
    <row r="8392" spans="3:5" x14ac:dyDescent="0.25">
      <c r="C8392" t="s">
        <v>15337</v>
      </c>
      <c r="D8392" t="s">
        <v>15338</v>
      </c>
      <c r="E8392" t="str">
        <f>HYPERLINK("https://patents.google.com/patent/US6801223B1/en")</f>
        <v>https://patents.google.com/patent/US6801223B1/en</v>
      </c>
    </row>
    <row r="8393" spans="3:5" x14ac:dyDescent="0.25">
      <c r="C8393" t="s">
        <v>15339</v>
      </c>
      <c r="D8393" t="s">
        <v>15340</v>
      </c>
      <c r="E8393" t="str">
        <f>HYPERLINK("https://patents.google.com/patent/US6812937B1/en")</f>
        <v>https://patents.google.com/patent/US6812937B1/en</v>
      </c>
    </row>
    <row r="8394" spans="3:5" x14ac:dyDescent="0.25">
      <c r="C8394" t="s">
        <v>15341</v>
      </c>
      <c r="D8394" t="s">
        <v>15342</v>
      </c>
      <c r="E8394" t="str">
        <f>HYPERLINK("https://patents.google.com/patent/US6791580B1/en")</f>
        <v>https://patents.google.com/patent/US6791580B1/en</v>
      </c>
    </row>
    <row r="8395" spans="3:5" x14ac:dyDescent="0.25">
      <c r="C8395" t="s">
        <v>15343</v>
      </c>
      <c r="D8395" t="s">
        <v>15344</v>
      </c>
      <c r="E8395" t="str">
        <f>HYPERLINK("https://patents.google.com/patent/US6338013B1/en")</f>
        <v>https://patents.google.com/patent/US6338013B1/en</v>
      </c>
    </row>
    <row r="8396" spans="3:5" x14ac:dyDescent="0.25">
      <c r="C8396" t="s">
        <v>7654</v>
      </c>
      <c r="D8396" t="s">
        <v>15345</v>
      </c>
      <c r="E8396" t="str">
        <f>HYPERLINK("https://patents.google.com/patent/US6345112B1/en")</f>
        <v>https://patents.google.com/patent/US6345112B1/en</v>
      </c>
    </row>
    <row r="8397" spans="3:5" x14ac:dyDescent="0.25">
      <c r="C8397" t="s">
        <v>15346</v>
      </c>
      <c r="D8397" t="s">
        <v>15347</v>
      </c>
      <c r="E8397" t="str">
        <f>HYPERLINK("https://patents.google.com/patent/US6747675B1/en")</f>
        <v>https://patents.google.com/patent/US6747675B1/en</v>
      </c>
    </row>
    <row r="8398" spans="3:5" x14ac:dyDescent="0.25">
      <c r="C8398" t="s">
        <v>15348</v>
      </c>
      <c r="D8398" t="s">
        <v>15349</v>
      </c>
      <c r="E8398" t="str">
        <f>HYPERLINK("https://patents.google.com/patent/US5598000A/en")</f>
        <v>https://patents.google.com/patent/US5598000A/en</v>
      </c>
    </row>
    <row r="8399" spans="3:5" x14ac:dyDescent="0.25">
      <c r="C8399" t="s">
        <v>15350</v>
      </c>
      <c r="D8399" t="s">
        <v>15351</v>
      </c>
      <c r="E8399" t="str">
        <f>HYPERLINK("https://patents.google.com/patent/US4922435A/en")</f>
        <v>https://patents.google.com/patent/US4922435A/en</v>
      </c>
    </row>
    <row r="8400" spans="3:5" x14ac:dyDescent="0.25">
      <c r="C8400" t="s">
        <v>15352</v>
      </c>
      <c r="D8400" t="s">
        <v>15353</v>
      </c>
      <c r="E8400" t="str">
        <f>HYPERLINK("https://patents.google.com/patent/US5132914A/en")</f>
        <v>https://patents.google.com/patent/US5132914A/en</v>
      </c>
    </row>
    <row r="8401" spans="3:5" x14ac:dyDescent="0.25">
      <c r="C8401" t="s">
        <v>15354</v>
      </c>
      <c r="D8401" t="s">
        <v>15355</v>
      </c>
      <c r="E8401" t="str">
        <f>HYPERLINK("https://patents.google.com/patent/US5764276A/en")</f>
        <v>https://patents.google.com/patent/US5764276A/en</v>
      </c>
    </row>
    <row r="8402" spans="3:5" x14ac:dyDescent="0.25">
      <c r="C8402" t="s">
        <v>15356</v>
      </c>
      <c r="D8402" t="s">
        <v>15357</v>
      </c>
      <c r="E8402" t="str">
        <f>HYPERLINK("https://patents.google.com/patent/US6429812B1/en")</f>
        <v>https://patents.google.com/patent/US6429812B1/en</v>
      </c>
    </row>
    <row r="8403" spans="3:5" x14ac:dyDescent="0.25">
      <c r="C8403" t="s">
        <v>15343</v>
      </c>
      <c r="D8403" t="s">
        <v>15358</v>
      </c>
      <c r="E8403" t="str">
        <f>HYPERLINK("https://patents.google.com/patent/US6611738B2/en")</f>
        <v>https://patents.google.com/patent/US6611738B2/en</v>
      </c>
    </row>
    <row r="8404" spans="3:5" x14ac:dyDescent="0.25">
      <c r="C8404" t="s">
        <v>15359</v>
      </c>
      <c r="D8404" t="s">
        <v>15360</v>
      </c>
      <c r="E8404" t="str">
        <f>HYPERLINK("https://patents.google.com/patent/US7872669B2/en")</f>
        <v>https://patents.google.com/patent/US7872669B2/en</v>
      </c>
    </row>
    <row r="8405" spans="3:5" x14ac:dyDescent="0.25">
      <c r="C8405" t="s">
        <v>15361</v>
      </c>
      <c r="D8405" t="s">
        <v>15362</v>
      </c>
      <c r="E8405" t="str">
        <f>HYPERLINK("https://patents.google.com/patent/US5815114A/en")</f>
        <v>https://patents.google.com/patent/US5815114A/en</v>
      </c>
    </row>
    <row r="8406" spans="3:5" x14ac:dyDescent="0.25">
      <c r="C8406" t="s">
        <v>15363</v>
      </c>
      <c r="D8406" t="s">
        <v>15364</v>
      </c>
      <c r="E8406" t="str">
        <f>HYPERLINK("https://patents.google.com/patent/US7478091B2/en")</f>
        <v>https://patents.google.com/patent/US7478091B2/en</v>
      </c>
    </row>
    <row r="8407" spans="3:5" x14ac:dyDescent="0.25">
      <c r="C8407" t="s">
        <v>15365</v>
      </c>
      <c r="D8407" t="s">
        <v>15366</v>
      </c>
      <c r="E8407" t="str">
        <f>HYPERLINK("https://patents.google.com/patent/US5155684A/en")</f>
        <v>https://patents.google.com/patent/US5155684A/en</v>
      </c>
    </row>
    <row r="8408" spans="3:5" x14ac:dyDescent="0.25">
      <c r="C8408" t="s">
        <v>15367</v>
      </c>
      <c r="D8408" t="s">
        <v>15368</v>
      </c>
      <c r="E8408" t="str">
        <f>HYPERLINK("https://patents.google.com/patent/US5850352A/en")</f>
        <v>https://patents.google.com/patent/US5850352A/en</v>
      </c>
    </row>
    <row r="8409" spans="3:5" x14ac:dyDescent="0.25">
      <c r="C8409" t="s">
        <v>15369</v>
      </c>
      <c r="D8409" t="s">
        <v>15370</v>
      </c>
      <c r="E8409" t="str">
        <f>HYPERLINK("https://patents.google.com/patent/US6773344B1/en")</f>
        <v>https://patents.google.com/patent/US6773344B1/en</v>
      </c>
    </row>
    <row r="8410" spans="3:5" x14ac:dyDescent="0.25">
      <c r="C8410" t="s">
        <v>15371</v>
      </c>
      <c r="D8410" t="s">
        <v>15372</v>
      </c>
      <c r="E8410" t="str">
        <f>HYPERLINK("https://patents.google.com/patent/US7175542B2/en")</f>
        <v>https://patents.google.com/patent/US7175542B2/en</v>
      </c>
    </row>
    <row r="8411" spans="3:5" x14ac:dyDescent="0.25">
      <c r="C8411" t="s">
        <v>15356</v>
      </c>
      <c r="D8411" t="s">
        <v>15373</v>
      </c>
      <c r="E8411" t="str">
        <f>HYPERLINK("https://patents.google.com/patent/US7298289B1/en")</f>
        <v>https://patents.google.com/patent/US7298289B1/en</v>
      </c>
    </row>
    <row r="8412" spans="3:5" x14ac:dyDescent="0.25">
      <c r="C8412" t="s">
        <v>15374</v>
      </c>
      <c r="D8412" t="s">
        <v>15375</v>
      </c>
      <c r="E8412" t="str">
        <f>HYPERLINK("https://patents.google.com/patent/US5086901A/en")</f>
        <v>https://patents.google.com/patent/US5086901A/en</v>
      </c>
    </row>
    <row r="8413" spans="3:5" x14ac:dyDescent="0.25">
      <c r="C8413" t="s">
        <v>15356</v>
      </c>
      <c r="D8413" t="s">
        <v>15376</v>
      </c>
      <c r="E8413" t="str">
        <f>HYPERLINK("https://patents.google.com/patent/US7268700B1/en")</f>
        <v>https://patents.google.com/patent/US7268700B1/en</v>
      </c>
    </row>
    <row r="8414" spans="3:5" x14ac:dyDescent="0.25">
      <c r="C8414" t="s">
        <v>15377</v>
      </c>
      <c r="D8414" t="s">
        <v>15378</v>
      </c>
      <c r="E8414" t="str">
        <f>HYPERLINK("https://patents.google.com/patent/US8010230B2/en")</f>
        <v>https://patents.google.com/patent/US8010230B2/en</v>
      </c>
    </row>
    <row r="8415" spans="3:5" x14ac:dyDescent="0.25">
      <c r="C8415" t="s">
        <v>15354</v>
      </c>
      <c r="D8415" t="s">
        <v>15379</v>
      </c>
      <c r="E8415" t="str">
        <f>HYPERLINK("https://patents.google.com/patent/US6256061B1/en")</f>
        <v>https://patents.google.com/patent/US6256061B1/en</v>
      </c>
    </row>
    <row r="8416" spans="3:5" x14ac:dyDescent="0.25">
      <c r="C8416" t="s">
        <v>15380</v>
      </c>
      <c r="D8416" t="s">
        <v>15381</v>
      </c>
      <c r="E8416" t="str">
        <f>HYPERLINK("https://patents.google.com/patent/US6439508B1/en")</f>
        <v>https://patents.google.com/patent/US6439508B1/en</v>
      </c>
    </row>
    <row r="8417" spans="3:5" x14ac:dyDescent="0.25">
      <c r="C8417" t="s">
        <v>15382</v>
      </c>
      <c r="D8417" t="s">
        <v>15383</v>
      </c>
      <c r="E8417" t="str">
        <f>HYPERLINK("https://patents.google.com/patent/US8849308B2/en")</f>
        <v>https://patents.google.com/patent/US8849308B2/en</v>
      </c>
    </row>
    <row r="8418" spans="3:5" x14ac:dyDescent="0.25">
      <c r="C8418" t="s">
        <v>15384</v>
      </c>
      <c r="D8418" t="s">
        <v>15385</v>
      </c>
      <c r="E8418" t="str">
        <f>HYPERLINK("https://patents.google.com/patent/US7344455B1/en")</f>
        <v>https://patents.google.com/patent/US7344455B1/en</v>
      </c>
    </row>
    <row r="8419" spans="3:5" x14ac:dyDescent="0.25">
      <c r="C8419" t="s">
        <v>15386</v>
      </c>
      <c r="D8419" t="s">
        <v>15387</v>
      </c>
      <c r="E8419" t="str">
        <f>HYPERLINK("https://patents.google.com/patent/US7046263B1/en")</f>
        <v>https://patents.google.com/patent/US7046263B1/en</v>
      </c>
    </row>
    <row r="8420" spans="3:5" x14ac:dyDescent="0.25">
      <c r="C8420" t="s">
        <v>15388</v>
      </c>
      <c r="D8420" t="s">
        <v>15389</v>
      </c>
      <c r="E8420" t="str">
        <f>HYPERLINK("https://patents.google.com/patent/US7647400B2/en")</f>
        <v>https://patents.google.com/patent/US7647400B2/en</v>
      </c>
    </row>
    <row r="8421" spans="3:5" x14ac:dyDescent="0.25">
      <c r="C8421" t="s">
        <v>15390</v>
      </c>
      <c r="D8421" t="s">
        <v>15391</v>
      </c>
      <c r="E8421" t="str">
        <f>HYPERLINK("https://patents.google.com/patent/US7688349B2/en")</f>
        <v>https://patents.google.com/patent/US7688349B2/en</v>
      </c>
    </row>
    <row r="8422" spans="3:5" x14ac:dyDescent="0.25">
      <c r="C8422" t="s">
        <v>15392</v>
      </c>
      <c r="D8422" t="s">
        <v>15393</v>
      </c>
      <c r="E8422" t="str">
        <f>HYPERLINK("https://patents.google.com/patent/US6707616B1/en")</f>
        <v>https://patents.google.com/patent/US6707616B1/en</v>
      </c>
    </row>
    <row r="8423" spans="3:5" x14ac:dyDescent="0.25">
      <c r="C8423" t="s">
        <v>15394</v>
      </c>
      <c r="D8423" t="s">
        <v>15395</v>
      </c>
      <c r="E8423" t="str">
        <f>HYPERLINK("https://patents.google.com/patent/US6424410B1/en")</f>
        <v>https://patents.google.com/patent/US6424410B1/en</v>
      </c>
    </row>
    <row r="8424" spans="3:5" x14ac:dyDescent="0.25">
      <c r="C8424" t="s">
        <v>15396</v>
      </c>
      <c r="D8424" t="s">
        <v>15397</v>
      </c>
      <c r="E8424" t="str">
        <f>HYPERLINK("https://patents.google.com/patent/CN107538506A/en")</f>
        <v>https://patents.google.com/patent/CN107538506A/en</v>
      </c>
    </row>
    <row r="8425" spans="3:5" x14ac:dyDescent="0.25">
      <c r="C8425" t="s">
        <v>15398</v>
      </c>
      <c r="D8425" t="s">
        <v>15399</v>
      </c>
      <c r="E8425" t="str">
        <f>HYPERLINK("https://patents.google.com/patent/CN107943026A/en")</f>
        <v>https://patents.google.com/patent/CN107943026A/en</v>
      </c>
    </row>
    <row r="8426" spans="3:5" x14ac:dyDescent="0.25">
      <c r="C8426" t="s">
        <v>15400</v>
      </c>
      <c r="D8426" t="s">
        <v>15401</v>
      </c>
      <c r="E8426" t="str">
        <f>HYPERLINK("https://patents.google.com/patent/CN108255167A/en")</f>
        <v>https://patents.google.com/patent/CN108255167A/en</v>
      </c>
    </row>
    <row r="8427" spans="3:5" x14ac:dyDescent="0.25">
      <c r="C8427" t="s">
        <v>15402</v>
      </c>
      <c r="D8427" t="s">
        <v>15403</v>
      </c>
      <c r="E8427" t="str">
        <f>HYPERLINK("https://patents.google.com/patent/WO2018074475A1/en")</f>
        <v>https://patents.google.com/patent/WO2018074475A1/en</v>
      </c>
    </row>
    <row r="8428" spans="3:5" x14ac:dyDescent="0.25">
      <c r="C8428" t="s">
        <v>15404</v>
      </c>
      <c r="D8428" t="s">
        <v>15405</v>
      </c>
      <c r="E8428" t="str">
        <f>HYPERLINK("https://patents.google.com/patent/JP2006000999A/en")</f>
        <v>https://patents.google.com/patent/JP2006000999A/en</v>
      </c>
    </row>
    <row r="8429" spans="3:5" x14ac:dyDescent="0.25">
      <c r="C8429" t="s">
        <v>15406</v>
      </c>
      <c r="D8429" t="s">
        <v>15407</v>
      </c>
      <c r="E8429" t="str">
        <f>HYPERLINK("https://patents.google.com/patent/US9014848B2/en")</f>
        <v>https://patents.google.com/patent/US9014848B2/en</v>
      </c>
    </row>
    <row r="8430" spans="3:5" x14ac:dyDescent="0.25">
      <c r="C8430" t="s">
        <v>15408</v>
      </c>
      <c r="D8430" t="s">
        <v>15409</v>
      </c>
      <c r="E8430" t="str">
        <f>HYPERLINK("https://patents.google.com/patent/US4621532A/en")</f>
        <v>https://patents.google.com/patent/US4621532A/en</v>
      </c>
    </row>
    <row r="8431" spans="3:5" x14ac:dyDescent="0.25">
      <c r="C8431" t="s">
        <v>15356</v>
      </c>
      <c r="D8431" t="s">
        <v>15410</v>
      </c>
      <c r="E8431" t="str">
        <f>HYPERLINK("https://patents.google.com/patent/US7271737B1/en")</f>
        <v>https://patents.google.com/patent/US7271737B1/en</v>
      </c>
    </row>
    <row r="8432" spans="3:5" x14ac:dyDescent="0.25">
      <c r="C8432" t="s">
        <v>15411</v>
      </c>
      <c r="D8432" t="s">
        <v>15412</v>
      </c>
      <c r="E8432" t="str">
        <f>HYPERLINK("https://patents.google.com/patent/US6754400B2/en")</f>
        <v>https://patents.google.com/patent/US6754400B2/en</v>
      </c>
    </row>
    <row r="8433" spans="3:5" x14ac:dyDescent="0.25">
      <c r="C8433" t="s">
        <v>15413</v>
      </c>
      <c r="D8433" t="s">
        <v>15414</v>
      </c>
      <c r="E8433" t="str">
        <f>HYPERLINK("https://patents.google.com/patent/US6213892B1/en")</f>
        <v>https://patents.google.com/patent/US6213892B1/en</v>
      </c>
    </row>
    <row r="8434" spans="3:5" x14ac:dyDescent="0.25">
      <c r="C8434" t="s">
        <v>15415</v>
      </c>
      <c r="D8434" t="s">
        <v>15416</v>
      </c>
      <c r="E8434" t="str">
        <f>HYPERLINK("https://patents.google.com/patent/US8260485B1/en")</f>
        <v>https://patents.google.com/patent/US8260485B1/en</v>
      </c>
    </row>
    <row r="8435" spans="3:5" x14ac:dyDescent="0.25">
      <c r="C8435" t="s">
        <v>15417</v>
      </c>
      <c r="D8435" t="s">
        <v>15418</v>
      </c>
      <c r="E8435" t="str">
        <f>HYPERLINK("https://patents.google.com/patent/US8922666B2/en")</f>
        <v>https://patents.google.com/patent/US8922666B2/en</v>
      </c>
    </row>
    <row r="8436" spans="3:5" x14ac:dyDescent="0.25">
      <c r="C8436" t="s">
        <v>15419</v>
      </c>
      <c r="D8436" t="s">
        <v>15420</v>
      </c>
      <c r="E8436" t="str">
        <f>HYPERLINK("https://patents.google.com/patent/US7225229B1/en")</f>
        <v>https://patents.google.com/patent/US7225229B1/en</v>
      </c>
    </row>
    <row r="8437" spans="3:5" x14ac:dyDescent="0.25">
      <c r="C8437" t="s">
        <v>15421</v>
      </c>
      <c r="D8437" t="s">
        <v>15422</v>
      </c>
      <c r="E8437" t="str">
        <f>HYPERLINK("https://patents.google.com/patent/JP2003296855A/en")</f>
        <v>https://patents.google.com/patent/JP2003296855A/en</v>
      </c>
    </row>
    <row r="8438" spans="3:5" x14ac:dyDescent="0.25">
      <c r="C8438" t="s">
        <v>15423</v>
      </c>
      <c r="D8438" t="s">
        <v>15424</v>
      </c>
      <c r="E8438" t="str">
        <f>HYPERLINK("https://patents.google.com/patent/US6920616B1/en")</f>
        <v>https://patents.google.com/patent/US6920616B1/en</v>
      </c>
    </row>
    <row r="8439" spans="3:5" x14ac:dyDescent="0.25">
      <c r="C8439" t="s">
        <v>15425</v>
      </c>
      <c r="D8439" t="s">
        <v>15426</v>
      </c>
      <c r="E8439" t="str">
        <f>HYPERLINK("https://patents.google.com/patent/US6076638A/en")</f>
        <v>https://patents.google.com/patent/US6076638A/en</v>
      </c>
    </row>
    <row r="8440" spans="3:5" x14ac:dyDescent="0.25">
      <c r="C8440" t="s">
        <v>15427</v>
      </c>
      <c r="D8440" t="s">
        <v>15428</v>
      </c>
      <c r="E8440" t="str">
        <f>HYPERLINK("https://patents.google.com/patent/US6019061A/en")</f>
        <v>https://patents.google.com/patent/US6019061A/en</v>
      </c>
    </row>
    <row r="8441" spans="3:5" x14ac:dyDescent="0.25">
      <c r="C8441" t="s">
        <v>15429</v>
      </c>
      <c r="D8441" t="s">
        <v>15430</v>
      </c>
      <c r="E8441" t="str">
        <f>HYPERLINK("https://patents.google.com/patent/US7344109B1/en")</f>
        <v>https://patents.google.com/patent/US7344109B1/en</v>
      </c>
    </row>
    <row r="8442" spans="3:5" x14ac:dyDescent="0.25">
      <c r="C8442" t="s">
        <v>15431</v>
      </c>
      <c r="D8442" t="s">
        <v>15432</v>
      </c>
      <c r="E8442" t="str">
        <f>HYPERLINK("https://patents.google.com/patent/US20050211768A1/en")</f>
        <v>https://patents.google.com/patent/US20050211768A1/en</v>
      </c>
    </row>
    <row r="8443" spans="3:5" x14ac:dyDescent="0.25">
      <c r="C8443" t="s">
        <v>15433</v>
      </c>
      <c r="D8443" t="s">
        <v>15434</v>
      </c>
      <c r="E8443" t="str">
        <f>HYPERLINK("https://patents.google.com/patent/US20040249497A1/en")</f>
        <v>https://patents.google.com/patent/US20040249497A1/en</v>
      </c>
    </row>
    <row r="8444" spans="3:5" x14ac:dyDescent="0.25">
      <c r="C8444" t="s">
        <v>15435</v>
      </c>
      <c r="D8444" t="s">
        <v>15436</v>
      </c>
      <c r="E8444" t="str">
        <f>HYPERLINK("https://patents.google.com/patent/US20140006129A1/en")</f>
        <v>https://patents.google.com/patent/US20140006129A1/en</v>
      </c>
    </row>
    <row r="8445" spans="3:5" x14ac:dyDescent="0.25">
      <c r="C8445" t="s">
        <v>15437</v>
      </c>
      <c r="D8445" t="s">
        <v>15438</v>
      </c>
      <c r="E8445" t="str">
        <f>HYPERLINK("https://patents.google.com/patent/US20150061859A1/en")</f>
        <v>https://patents.google.com/patent/US20150061859A1/en</v>
      </c>
    </row>
    <row r="8446" spans="3:5" x14ac:dyDescent="0.25">
      <c r="C8446" t="s">
        <v>15439</v>
      </c>
      <c r="D8446" t="s">
        <v>15440</v>
      </c>
      <c r="E8446" t="str">
        <f>HYPERLINK("https://patents.google.com/patent/US20140266669A1/en")</f>
        <v>https://patents.google.com/patent/US20140266669A1/en</v>
      </c>
    </row>
    <row r="8447" spans="3:5" x14ac:dyDescent="0.25">
      <c r="C8447" t="s">
        <v>15441</v>
      </c>
      <c r="D8447" t="s">
        <v>15442</v>
      </c>
      <c r="E8447" t="str">
        <f>HYPERLINK("https://patents.google.com/patent/US20090262974A1/en")</f>
        <v>https://patents.google.com/patent/US20090262974A1/en</v>
      </c>
    </row>
    <row r="8448" spans="3:5" x14ac:dyDescent="0.25">
      <c r="C8448" t="s">
        <v>15443</v>
      </c>
      <c r="D8448" t="s">
        <v>15444</v>
      </c>
      <c r="E8448" t="str">
        <f>HYPERLINK("https://patents.google.com/patent/US20090265193A1/en")</f>
        <v>https://patents.google.com/patent/US20090265193A1/en</v>
      </c>
    </row>
    <row r="8449" spans="3:5" x14ac:dyDescent="0.25">
      <c r="C8449" t="s">
        <v>15445</v>
      </c>
      <c r="D8449" t="s">
        <v>15446</v>
      </c>
      <c r="E8449" t="str">
        <f>HYPERLINK("https://patents.google.com/patent/US20100150117A1/en")</f>
        <v>https://patents.google.com/patent/US20100150117A1/en</v>
      </c>
    </row>
    <row r="8450" spans="3:5" x14ac:dyDescent="0.25">
      <c r="C8450" t="s">
        <v>15447</v>
      </c>
      <c r="D8450" t="s">
        <v>15448</v>
      </c>
      <c r="E8450" t="str">
        <f>HYPERLINK("https://patents.google.com/patent/US20150016777A1/en")</f>
        <v>https://patents.google.com/patent/US20150016777A1/en</v>
      </c>
    </row>
    <row r="8451" spans="3:5" x14ac:dyDescent="0.25">
      <c r="C8451" t="s">
        <v>15449</v>
      </c>
      <c r="D8451" t="s">
        <v>15450</v>
      </c>
      <c r="E8451" t="str">
        <f>HYPERLINK("https://patents.google.com/patent/US20050123445A1/en")</f>
        <v>https://patents.google.com/patent/US20050123445A1/en</v>
      </c>
    </row>
    <row r="8452" spans="3:5" x14ac:dyDescent="0.25">
      <c r="C8452" t="s">
        <v>15451</v>
      </c>
      <c r="D8452" t="s">
        <v>15452</v>
      </c>
      <c r="E8452" t="str">
        <f>HYPERLINK("https://patents.google.com/patent/US20110037712A1/en")</f>
        <v>https://patents.google.com/patent/US20110037712A1/en</v>
      </c>
    </row>
    <row r="8453" spans="3:5" x14ac:dyDescent="0.25">
      <c r="C8453" t="s">
        <v>15417</v>
      </c>
      <c r="D8453" t="s">
        <v>15453</v>
      </c>
      <c r="E8453" t="str">
        <f>HYPERLINK("https://patents.google.com/patent/US20140286644A1/en")</f>
        <v>https://patents.google.com/patent/US20140286644A1/en</v>
      </c>
    </row>
    <row r="8454" spans="3:5" x14ac:dyDescent="0.25">
      <c r="C8454" t="s">
        <v>15454</v>
      </c>
      <c r="D8454" t="s">
        <v>15455</v>
      </c>
      <c r="E8454" t="str">
        <f>HYPERLINK("https://patents.google.com/patent/US20150156031A1/en")</f>
        <v>https://patents.google.com/patent/US20150156031A1/en</v>
      </c>
    </row>
    <row r="8455" spans="3:5" x14ac:dyDescent="0.25">
      <c r="C8455" t="s">
        <v>15456</v>
      </c>
      <c r="D8455" t="s">
        <v>15457</v>
      </c>
      <c r="E8455" t="str">
        <f>HYPERLINK("https://patents.google.com/patent/JP6402219B1/en")</f>
        <v>https://patents.google.com/patent/JP6402219B1/en</v>
      </c>
    </row>
    <row r="8456" spans="3:5" x14ac:dyDescent="0.25">
      <c r="C8456" t="s">
        <v>15458</v>
      </c>
      <c r="D8456" t="s">
        <v>15459</v>
      </c>
      <c r="E8456" t="str">
        <f>HYPERLINK("https://patents.google.com/patent/US20080027599A1/en")</f>
        <v>https://patents.google.com/patent/US20080027599A1/en</v>
      </c>
    </row>
    <row r="8457" spans="3:5" x14ac:dyDescent="0.25">
      <c r="C8457" t="s">
        <v>15460</v>
      </c>
      <c r="D8457" t="s">
        <v>15461</v>
      </c>
      <c r="E8457" t="str">
        <f>HYPERLINK("https://patents.google.com/patent/CN102752855A/en")</f>
        <v>https://patents.google.com/patent/CN102752855A/en</v>
      </c>
    </row>
    <row r="8458" spans="3:5" x14ac:dyDescent="0.25">
      <c r="C8458" t="s">
        <v>15417</v>
      </c>
      <c r="D8458" t="s">
        <v>15462</v>
      </c>
      <c r="E8458" t="str">
        <f>HYPERLINK("https://patents.google.com/patent/US20140186050A1/en")</f>
        <v>https://patents.google.com/patent/US20140186050A1/en</v>
      </c>
    </row>
    <row r="8459" spans="3:5" x14ac:dyDescent="0.25">
      <c r="C8459" t="s">
        <v>15463</v>
      </c>
      <c r="D8459" t="s">
        <v>15464</v>
      </c>
      <c r="E8459" t="str">
        <f>HYPERLINK("https://patents.google.com/patent/US20080144884A1/en")</f>
        <v>https://patents.google.com/patent/US20080144884A1/en</v>
      </c>
    </row>
    <row r="8460" spans="3:5" x14ac:dyDescent="0.25">
      <c r="C8460" t="s">
        <v>15465</v>
      </c>
      <c r="D8460" t="s">
        <v>15466</v>
      </c>
      <c r="E8460" t="str">
        <f>HYPERLINK("https://patents.google.com/patent/US20130325244A1/en")</f>
        <v>https://patents.google.com/patent/US20130325244A1/en</v>
      </c>
    </row>
    <row r="8461" spans="3:5" x14ac:dyDescent="0.25">
      <c r="C8461" t="s">
        <v>15467</v>
      </c>
      <c r="D8461" t="s">
        <v>15468</v>
      </c>
      <c r="E8461" t="str">
        <f>HYPERLINK("https://patents.google.com/patent/US20030030636A1/en")</f>
        <v>https://patents.google.com/patent/US20030030636A1/en</v>
      </c>
    </row>
    <row r="8462" spans="3:5" x14ac:dyDescent="0.25">
      <c r="C8462" t="s">
        <v>15469</v>
      </c>
      <c r="D8462" t="s">
        <v>15470</v>
      </c>
      <c r="E8462" t="str">
        <f>HYPERLINK("https://patents.google.com/patent/US20130131985A1/en")</f>
        <v>https://patents.google.com/patent/US20130131985A1/en</v>
      </c>
    </row>
    <row r="8463" spans="3:5" x14ac:dyDescent="0.25">
      <c r="C8463" t="s">
        <v>15471</v>
      </c>
      <c r="D8463" t="s">
        <v>15472</v>
      </c>
      <c r="E8463" t="str">
        <f>HYPERLINK("https://patents.google.com/patent/US20110211040A1/en")</f>
        <v>https://patents.google.com/patent/US20110211040A1/en</v>
      </c>
    </row>
    <row r="8464" spans="3:5" x14ac:dyDescent="0.25">
      <c r="C8464" t="s">
        <v>15473</v>
      </c>
      <c r="D8464" t="s">
        <v>15474</v>
      </c>
      <c r="E8464" t="str">
        <f>HYPERLINK("https://patents.google.com/patent/US20080249870A1/en")</f>
        <v>https://patents.google.com/patent/US20080249870A1/en</v>
      </c>
    </row>
    <row r="8465" spans="3:5" x14ac:dyDescent="0.25">
      <c r="C8465" t="s">
        <v>15417</v>
      </c>
      <c r="D8465" t="s">
        <v>15475</v>
      </c>
      <c r="E8465" t="str">
        <f>HYPERLINK("https://patents.google.com/patent/US20140186049A1/en")</f>
        <v>https://patents.google.com/patent/US20140186049A1/en</v>
      </c>
    </row>
    <row r="8466" spans="3:5" x14ac:dyDescent="0.25">
      <c r="C8466" t="s">
        <v>15476</v>
      </c>
      <c r="D8466" t="s">
        <v>15477</v>
      </c>
      <c r="E8466" t="str">
        <f>HYPERLINK("https://patents.google.com/patent/US20030126031A1/en")</f>
        <v>https://patents.google.com/patent/US20030126031A1/en</v>
      </c>
    </row>
    <row r="8467" spans="3:5" x14ac:dyDescent="0.25">
      <c r="C8467" t="s">
        <v>15478</v>
      </c>
      <c r="D8467" t="s">
        <v>15479</v>
      </c>
      <c r="E8467" t="str">
        <f>HYPERLINK("https://patents.google.com/patent/US20050062869A1/en")</f>
        <v>https://patents.google.com/patent/US20050062869A1/en</v>
      </c>
    </row>
    <row r="8468" spans="3:5" x14ac:dyDescent="0.25">
      <c r="C8468" t="s">
        <v>15480</v>
      </c>
      <c r="D8468" t="s">
        <v>15481</v>
      </c>
      <c r="E8468" t="str">
        <f>HYPERLINK("https://patents.google.com/patent/US20070260495A1/en")</f>
        <v>https://patents.google.com/patent/US20070260495A1/en</v>
      </c>
    </row>
    <row r="8469" spans="3:5" x14ac:dyDescent="0.25">
      <c r="C8469" t="s">
        <v>15417</v>
      </c>
      <c r="D8469" t="s">
        <v>15482</v>
      </c>
      <c r="E8469" t="str">
        <f>HYPERLINK("https://patents.google.com/patent/US20140207517A1/en")</f>
        <v>https://patents.google.com/patent/US20140207517A1/en</v>
      </c>
    </row>
    <row r="8470" spans="3:5" x14ac:dyDescent="0.25">
      <c r="C8470" t="s">
        <v>15483</v>
      </c>
      <c r="D8470" t="s">
        <v>15484</v>
      </c>
      <c r="E8470" t="str">
        <f>HYPERLINK("https://patents.google.com/patent/US20110282622A1/en")</f>
        <v>https://patents.google.com/patent/US20110282622A1/en</v>
      </c>
    </row>
    <row r="8471" spans="3:5" x14ac:dyDescent="0.25">
      <c r="C8471" t="s">
        <v>15485</v>
      </c>
      <c r="D8471" t="s">
        <v>15486</v>
      </c>
      <c r="E8471" t="str">
        <f>HYPERLINK("https://patents.google.com/patent/US20110301760A1/en")</f>
        <v>https://patents.google.com/patent/US20110301760A1/en</v>
      </c>
    </row>
    <row r="8472" spans="3:5" x14ac:dyDescent="0.25">
      <c r="C8472" t="s">
        <v>15487</v>
      </c>
      <c r="D8472" t="s">
        <v>15488</v>
      </c>
      <c r="E8472" t="str">
        <f>HYPERLINK("https://patents.google.com/patent/US20080090678A1/en")</f>
        <v>https://patents.google.com/patent/US20080090678A1/en</v>
      </c>
    </row>
    <row r="8473" spans="3:5" x14ac:dyDescent="0.25">
      <c r="C8473" t="s">
        <v>15417</v>
      </c>
      <c r="D8473" t="s">
        <v>15489</v>
      </c>
      <c r="E8473" t="str">
        <f>HYPERLINK("https://patents.google.com/patent/US20140186026A1/en")</f>
        <v>https://patents.google.com/patent/US20140186026A1/en</v>
      </c>
    </row>
    <row r="8474" spans="3:5" x14ac:dyDescent="0.25">
      <c r="C8474" t="s">
        <v>15417</v>
      </c>
      <c r="D8474" t="s">
        <v>15490</v>
      </c>
      <c r="E8474" t="str">
        <f>HYPERLINK("https://patents.google.com/patent/US20140186055A1/en")</f>
        <v>https://patents.google.com/patent/US20140186055A1/en</v>
      </c>
    </row>
    <row r="8475" spans="3:5" x14ac:dyDescent="0.25">
      <c r="C8475" t="s">
        <v>15491</v>
      </c>
      <c r="D8475" t="s">
        <v>15492</v>
      </c>
      <c r="E8475" t="str">
        <f>HYPERLINK("https://patents.google.com/patent/US20140240088A1/en")</f>
        <v>https://patents.google.com/patent/US20140240088A1/en</v>
      </c>
    </row>
    <row r="8476" spans="3:5" x14ac:dyDescent="0.25">
      <c r="C8476" t="s">
        <v>15493</v>
      </c>
      <c r="D8476" t="s">
        <v>15494</v>
      </c>
      <c r="E8476" t="str">
        <f>HYPERLINK("https://patents.google.com/patent/US20070139269A1/en")</f>
        <v>https://patents.google.com/patent/US20070139269A1/en</v>
      </c>
    </row>
    <row r="8477" spans="3:5" x14ac:dyDescent="0.25">
      <c r="C8477" t="s">
        <v>15495</v>
      </c>
      <c r="D8477" t="s">
        <v>15496</v>
      </c>
      <c r="E8477" t="str">
        <f>HYPERLINK("https://patents.google.com/patent/US20070100496A1/en")</f>
        <v>https://patents.google.com/patent/US20070100496A1/en</v>
      </c>
    </row>
    <row r="8478" spans="3:5" x14ac:dyDescent="0.25">
      <c r="C8478" t="s">
        <v>15497</v>
      </c>
      <c r="D8478" t="s">
        <v>15498</v>
      </c>
      <c r="E8478" t="str">
        <f>HYPERLINK("https://patents.google.com/patent/US20090030551A1/en")</f>
        <v>https://patents.google.com/patent/US20090030551A1/en</v>
      </c>
    </row>
    <row r="8479" spans="3:5" x14ac:dyDescent="0.25">
      <c r="C8479" t="s">
        <v>15499</v>
      </c>
      <c r="D8479" t="s">
        <v>15500</v>
      </c>
      <c r="E8479" t="str">
        <f>HYPERLINK("https://patents.google.com/patent/US20140277691A1/en")</f>
        <v>https://patents.google.com/patent/US20140277691A1/en</v>
      </c>
    </row>
    <row r="8480" spans="3:5" x14ac:dyDescent="0.25">
      <c r="C8480" t="s">
        <v>15501</v>
      </c>
      <c r="D8480" t="s">
        <v>15502</v>
      </c>
      <c r="E8480" t="str">
        <f>HYPERLINK("https://patents.google.com/patent/US20150346722A1/en")</f>
        <v>https://patents.google.com/patent/US20150346722A1/en</v>
      </c>
    </row>
    <row r="8481" spans="3:5" x14ac:dyDescent="0.25">
      <c r="C8481" t="s">
        <v>15384</v>
      </c>
      <c r="D8481" t="s">
        <v>15503</v>
      </c>
      <c r="E8481" t="str">
        <f>HYPERLINK("https://patents.google.com/patent/US20080312008A1/en")</f>
        <v>https://patents.google.com/patent/US20080312008A1/en</v>
      </c>
    </row>
    <row r="8482" spans="3:5" x14ac:dyDescent="0.25">
      <c r="C8482" t="s">
        <v>15504</v>
      </c>
      <c r="D8482" t="s">
        <v>15505</v>
      </c>
      <c r="E8482" t="str">
        <f>HYPERLINK("https://patents.google.com/patent/US20090054123A1/en")</f>
        <v>https://patents.google.com/patent/US20090054123A1/en</v>
      </c>
    </row>
    <row r="8483" spans="3:5" x14ac:dyDescent="0.25">
      <c r="C8483" t="s">
        <v>15506</v>
      </c>
      <c r="D8483" t="s">
        <v>15507</v>
      </c>
      <c r="E8483" t="str">
        <f>HYPERLINK("https://patents.google.com/patent/US20090099420A1/en")</f>
        <v>https://patents.google.com/patent/US20090099420A1/en</v>
      </c>
    </row>
    <row r="8484" spans="3:5" x14ac:dyDescent="0.25">
      <c r="C8484" t="s">
        <v>15508</v>
      </c>
      <c r="D8484" t="s">
        <v>15509</v>
      </c>
      <c r="E8484" t="str">
        <f>HYPERLINK("https://patents.google.com/patent/US20150156030A1/en")</f>
        <v>https://patents.google.com/patent/US20150156030A1/en</v>
      </c>
    </row>
    <row r="8485" spans="3:5" x14ac:dyDescent="0.25">
      <c r="C8485" t="s">
        <v>15510</v>
      </c>
      <c r="D8485" t="s">
        <v>15511</v>
      </c>
      <c r="E8485" t="str">
        <f>HYPERLINK("https://patents.google.com/patent/US20150127712A1/en")</f>
        <v>https://patents.google.com/patent/US20150127712A1/en</v>
      </c>
    </row>
    <row r="8486" spans="3:5" x14ac:dyDescent="0.25">
      <c r="C8486" t="s">
        <v>15512</v>
      </c>
      <c r="D8486" t="s">
        <v>15513</v>
      </c>
      <c r="E8486" t="str">
        <f>HYPERLINK("https://patents.google.com/patent/US20060292308A1/en")</f>
        <v>https://patents.google.com/patent/US20060292308A1/en</v>
      </c>
    </row>
    <row r="8487" spans="3:5" x14ac:dyDescent="0.25">
      <c r="C8487" t="s">
        <v>15514</v>
      </c>
      <c r="D8487" t="s">
        <v>15515</v>
      </c>
      <c r="E8487" t="str">
        <f>HYPERLINK("https://patents.google.com/patent/US20130314688A1/en")</f>
        <v>https://patents.google.com/patent/US20130314688A1/en</v>
      </c>
    </row>
    <row r="8488" spans="3:5" x14ac:dyDescent="0.25">
      <c r="C8488" t="s">
        <v>15516</v>
      </c>
      <c r="D8488" t="s">
        <v>15517</v>
      </c>
      <c r="E8488" t="str">
        <f>HYPERLINK("https://patents.google.com/patent/US20070187183A1/en")</f>
        <v>https://patents.google.com/patent/US20070187183A1/en</v>
      </c>
    </row>
    <row r="8489" spans="3:5" x14ac:dyDescent="0.25">
      <c r="C8489" t="s">
        <v>15518</v>
      </c>
      <c r="D8489" t="s">
        <v>15519</v>
      </c>
      <c r="E8489" t="str">
        <f>HYPERLINK("https://patents.google.com/patent/US20050102063A1/en")</f>
        <v>https://patents.google.com/patent/US20050102063A1/en</v>
      </c>
    </row>
    <row r="8490" spans="3:5" x14ac:dyDescent="0.25">
      <c r="C8490" t="s">
        <v>15384</v>
      </c>
      <c r="D8490" t="s">
        <v>15520</v>
      </c>
      <c r="E8490" t="str">
        <f>HYPERLINK("https://patents.google.com/patent/US20080194359A1/en")</f>
        <v>https://patents.google.com/patent/US20080194359A1/en</v>
      </c>
    </row>
    <row r="8491" spans="3:5" x14ac:dyDescent="0.25">
      <c r="C8491" t="s">
        <v>15521</v>
      </c>
      <c r="D8491" t="s">
        <v>15522</v>
      </c>
      <c r="E8491" t="str">
        <f>HYPERLINK("https://patents.google.com/patent/CN106052695A/en")</f>
        <v>https://patents.google.com/patent/CN106052695A/en</v>
      </c>
    </row>
    <row r="8492" spans="3:5" x14ac:dyDescent="0.25">
      <c r="C8492" t="s">
        <v>15523</v>
      </c>
      <c r="D8492" t="s">
        <v>15524</v>
      </c>
      <c r="E8492" t="str">
        <f>HYPERLINK("https://patents.google.com/patent/US20070262860A1/en")</f>
        <v>https://patents.google.com/patent/US20070262860A1/en</v>
      </c>
    </row>
    <row r="8493" spans="3:5" x14ac:dyDescent="0.25">
      <c r="C8493" t="s">
        <v>15525</v>
      </c>
      <c r="D8493" t="s">
        <v>15526</v>
      </c>
      <c r="E8493" t="str">
        <f>HYPERLINK("https://patents.google.com/patent/CN206551004U/en")</f>
        <v>https://patents.google.com/patent/CN206551004U/en</v>
      </c>
    </row>
    <row r="8494" spans="3:5" x14ac:dyDescent="0.25">
      <c r="C8494" t="s">
        <v>15527</v>
      </c>
      <c r="D8494" t="s">
        <v>15528</v>
      </c>
      <c r="E8494" t="str">
        <f>HYPERLINK("https://patents.google.com/patent/US20150016712A1/en")</f>
        <v>https://patents.google.com/patent/US20150016712A1/en</v>
      </c>
    </row>
    <row r="8495" spans="3:5" x14ac:dyDescent="0.25">
      <c r="C8495" t="s">
        <v>15529</v>
      </c>
      <c r="D8495" t="s">
        <v>15530</v>
      </c>
      <c r="E8495" t="str">
        <f>HYPERLINK("https://patents.google.com/patent/US20090055752A1/en")</f>
        <v>https://patents.google.com/patent/US20090055752A1/en</v>
      </c>
    </row>
    <row r="8496" spans="3:5" x14ac:dyDescent="0.25">
      <c r="C8496" t="s">
        <v>15531</v>
      </c>
      <c r="D8496" t="s">
        <v>15532</v>
      </c>
      <c r="E8496" t="str">
        <f>HYPERLINK("https://patents.google.com/patent/US20100208032A1/en")</f>
        <v>https://patents.google.com/patent/US20100208032A1/en</v>
      </c>
    </row>
    <row r="8497" spans="3:5" x14ac:dyDescent="0.25">
      <c r="C8497" t="s">
        <v>15533</v>
      </c>
      <c r="D8497" t="s">
        <v>15534</v>
      </c>
      <c r="E8497" t="str">
        <f>HYPERLINK("https://patents.google.com/patent/US20020018896A1/en")</f>
        <v>https://patents.google.com/patent/US20020018896A1/en</v>
      </c>
    </row>
    <row r="8498" spans="3:5" x14ac:dyDescent="0.25">
      <c r="C8498" t="s">
        <v>7481</v>
      </c>
      <c r="D8498" t="s">
        <v>15535</v>
      </c>
      <c r="E8498" t="str">
        <f>HYPERLINK("https://patents.google.com/patent/US20100263948A1/en")</f>
        <v>https://patents.google.com/patent/US20100263948A1/en</v>
      </c>
    </row>
    <row r="8499" spans="3:5" x14ac:dyDescent="0.25">
      <c r="C8499" t="s">
        <v>15536</v>
      </c>
      <c r="D8499" t="s">
        <v>15537</v>
      </c>
      <c r="E8499" t="str">
        <f>HYPERLINK("https://patents.google.com/patent/US20080106593A1/en")</f>
        <v>https://patents.google.com/patent/US20080106593A1/en</v>
      </c>
    </row>
    <row r="8500" spans="3:5" x14ac:dyDescent="0.25">
      <c r="C8500" t="s">
        <v>15538</v>
      </c>
      <c r="D8500" t="s">
        <v>15539</v>
      </c>
      <c r="E8500" t="str">
        <f>HYPERLINK("https://patents.google.com/patent/US20120081248A1/en")</f>
        <v>https://patents.google.com/patent/US20120081248A1/en</v>
      </c>
    </row>
    <row r="8501" spans="3:5" x14ac:dyDescent="0.25">
      <c r="C8501" t="s">
        <v>15540</v>
      </c>
      <c r="D8501" t="s">
        <v>15541</v>
      </c>
      <c r="E8501" t="str">
        <f>HYPERLINK("https://patents.google.com/patent/US7464153B1/en")</f>
        <v>https://patents.google.com/patent/US7464153B1/en</v>
      </c>
    </row>
    <row r="8502" spans="3:5" x14ac:dyDescent="0.25">
      <c r="C8502" t="s">
        <v>15542</v>
      </c>
      <c r="D8502" t="s">
        <v>15543</v>
      </c>
      <c r="E8502" t="str">
        <f>HYPERLINK("https://patents.google.com/patent/US20020026459A1/en")</f>
        <v>https://patents.google.com/patent/US20020026459A1/en</v>
      </c>
    </row>
    <row r="8503" spans="3:5" x14ac:dyDescent="0.25">
      <c r="C8503" t="s">
        <v>15544</v>
      </c>
      <c r="D8503" t="s">
        <v>15545</v>
      </c>
      <c r="E8503" t="str">
        <f>HYPERLINK("https://patents.google.com/patent/US20150145643A1/en")</f>
        <v>https://patents.google.com/patent/US20150145643A1/en</v>
      </c>
    </row>
    <row r="8504" spans="3:5" x14ac:dyDescent="0.25">
      <c r="C8504" t="s">
        <v>15546</v>
      </c>
      <c r="D8504" t="s">
        <v>15547</v>
      </c>
      <c r="E8504" t="str">
        <f>HYPERLINK("https://patents.google.com/patent/US20120295510A1/en")</f>
        <v>https://patents.google.com/patent/US20120295510A1/en</v>
      </c>
    </row>
    <row r="8505" spans="3:5" x14ac:dyDescent="0.25">
      <c r="C8505" t="s">
        <v>15548</v>
      </c>
      <c r="D8505" t="s">
        <v>15549</v>
      </c>
      <c r="E8505" t="str">
        <f>HYPERLINK("https://patents.google.com/patent/US20110153338A1/en")</f>
        <v>https://patents.google.com/patent/US20110153338A1/en</v>
      </c>
    </row>
    <row r="8506" spans="3:5" x14ac:dyDescent="0.25">
      <c r="C8506" t="s">
        <v>15550</v>
      </c>
      <c r="D8506" t="s">
        <v>15551</v>
      </c>
      <c r="E8506" t="str">
        <f>HYPERLINK("https://patents.google.com/patent/CN107358675A/en")</f>
        <v>https://patents.google.com/patent/CN107358675A/en</v>
      </c>
    </row>
    <row r="8507" spans="3:5" x14ac:dyDescent="0.25">
      <c r="C8507" t="s">
        <v>15552</v>
      </c>
      <c r="D8507" t="s">
        <v>15553</v>
      </c>
      <c r="E8507" t="str">
        <f>HYPERLINK("https://patents.google.com/patent/CN107797558A/en")</f>
        <v>https://patents.google.com/patent/CN107797558A/en</v>
      </c>
    </row>
    <row r="8508" spans="3:5" x14ac:dyDescent="0.25">
      <c r="C8508" t="s">
        <v>15554</v>
      </c>
      <c r="D8508" t="s">
        <v>15555</v>
      </c>
      <c r="E8508" t="str">
        <f>HYPERLINK("https://patents.google.com/patent/US20120078417A1/en")</f>
        <v>https://patents.google.com/patent/US20120078417A1/en</v>
      </c>
    </row>
    <row r="8509" spans="3:5" x14ac:dyDescent="0.25">
      <c r="C8509" t="s">
        <v>15556</v>
      </c>
      <c r="D8509" t="s">
        <v>15557</v>
      </c>
      <c r="E8509" t="str">
        <f>HYPERLINK("https://patents.google.com/patent/US20150154850A1/en")</f>
        <v>https://patents.google.com/patent/US20150154850A1/en</v>
      </c>
    </row>
    <row r="8510" spans="3:5" x14ac:dyDescent="0.25">
      <c r="C8510" t="s">
        <v>15558</v>
      </c>
      <c r="D8510" t="s">
        <v>15559</v>
      </c>
      <c r="E8510" t="str">
        <f>HYPERLINK("https://patents.google.com/patent/CN107094319A/en")</f>
        <v>https://patents.google.com/patent/CN107094319A/en</v>
      </c>
    </row>
    <row r="8511" spans="3:5" x14ac:dyDescent="0.25">
      <c r="C8511" t="s">
        <v>15560</v>
      </c>
      <c r="D8511" t="s">
        <v>15561</v>
      </c>
      <c r="E8511" t="str">
        <f>HYPERLINK("https://patents.google.com/patent/CN107807639A/en")</f>
        <v>https://patents.google.com/patent/CN107807639A/en</v>
      </c>
    </row>
    <row r="8512" spans="3:5" x14ac:dyDescent="0.25">
      <c r="C8512" t="s">
        <v>15562</v>
      </c>
      <c r="D8512" t="s">
        <v>15563</v>
      </c>
      <c r="E8512" t="str">
        <f>HYPERLINK("https://patents.google.com/patent/CN101071436A/en")</f>
        <v>https://patents.google.com/patent/CN101071436A/en</v>
      </c>
    </row>
    <row r="8513" spans="3:5" x14ac:dyDescent="0.25">
      <c r="C8513" t="s">
        <v>15564</v>
      </c>
      <c r="D8513" t="s">
        <v>15565</v>
      </c>
      <c r="E8513" t="str">
        <f>HYPERLINK("https://patents.google.com/patent/CN106863301A/en")</f>
        <v>https://patents.google.com/patent/CN106863301A/en</v>
      </c>
    </row>
    <row r="8514" spans="3:5" x14ac:dyDescent="0.25">
      <c r="C8514" t="s">
        <v>15566</v>
      </c>
      <c r="D8514" t="s">
        <v>15567</v>
      </c>
      <c r="E8514" t="str">
        <f>HYPERLINK("https://patents.google.com/patent/US20090149990A1/en")</f>
        <v>https://patents.google.com/patent/US20090149990A1/en</v>
      </c>
    </row>
    <row r="8515" spans="3:5" x14ac:dyDescent="0.25">
      <c r="C8515" t="s">
        <v>15568</v>
      </c>
      <c r="D8515" t="s">
        <v>15569</v>
      </c>
      <c r="E8515" t="str">
        <f>HYPERLINK("https://patents.google.com/patent/US20150234477A1/en")</f>
        <v>https://patents.google.com/patent/US20150234477A1/en</v>
      </c>
    </row>
    <row r="8516" spans="3:5" x14ac:dyDescent="0.25">
      <c r="C8516" t="s">
        <v>15570</v>
      </c>
      <c r="D8516" t="s">
        <v>15571</v>
      </c>
      <c r="E8516" t="str">
        <f>HYPERLINK("https://patents.google.com/patent/US20150109338A1/en")</f>
        <v>https://patents.google.com/patent/US20150109338A1/en</v>
      </c>
    </row>
    <row r="8517" spans="3:5" x14ac:dyDescent="0.25">
      <c r="C8517" t="s">
        <v>15572</v>
      </c>
      <c r="D8517" t="s">
        <v>15573</v>
      </c>
      <c r="E8517" t="str">
        <f>HYPERLINK("https://patents.google.com/patent/US20150109104A1/en")</f>
        <v>https://patents.google.com/patent/US20150109104A1/en</v>
      </c>
    </row>
    <row r="8518" spans="3:5" x14ac:dyDescent="0.25">
      <c r="C8518" t="s">
        <v>15384</v>
      </c>
      <c r="D8518" t="s">
        <v>15574</v>
      </c>
      <c r="E8518" t="str">
        <f>HYPERLINK("https://patents.google.com/patent/US20080020863A1/en")</f>
        <v>https://patents.google.com/patent/US20080020863A1/en</v>
      </c>
    </row>
    <row r="8519" spans="3:5" x14ac:dyDescent="0.25">
      <c r="C8519" t="s">
        <v>15575</v>
      </c>
      <c r="D8519" t="s">
        <v>15576</v>
      </c>
      <c r="E8519" t="str">
        <f>HYPERLINK("https://patents.google.com/patent/CN102096413A/en")</f>
        <v>https://patents.google.com/patent/CN102096413A/en</v>
      </c>
    </row>
    <row r="8520" spans="3:5" x14ac:dyDescent="0.25">
      <c r="C8520" t="s">
        <v>15577</v>
      </c>
      <c r="D8520" t="s">
        <v>15578</v>
      </c>
      <c r="E8520" t="str">
        <f>HYPERLINK("https://patents.google.com/patent/US20060293839A1/en")</f>
        <v>https://patents.google.com/patent/US20060293839A1/en</v>
      </c>
    </row>
    <row r="8521" spans="3:5" x14ac:dyDescent="0.25">
      <c r="C8521" t="s">
        <v>15579</v>
      </c>
      <c r="D8521" t="s">
        <v>15580</v>
      </c>
      <c r="E8521" t="str">
        <f>HYPERLINK("https://patents.google.com/patent/US20110153136A1/en")</f>
        <v>https://patents.google.com/patent/US20110153136A1/en</v>
      </c>
    </row>
    <row r="8522" spans="3:5" x14ac:dyDescent="0.25">
      <c r="C8522" t="s">
        <v>15384</v>
      </c>
      <c r="D8522" t="s">
        <v>15581</v>
      </c>
      <c r="E8522" t="str">
        <f>HYPERLINK("https://patents.google.com/patent/US20080214325A1/en")</f>
        <v>https://patents.google.com/patent/US20080214325A1/en</v>
      </c>
    </row>
    <row r="8523" spans="3:5" x14ac:dyDescent="0.25">
      <c r="C8523" t="s">
        <v>15582</v>
      </c>
      <c r="D8523" t="s">
        <v>15583</v>
      </c>
      <c r="E8523" t="str">
        <f>HYPERLINK("https://patents.google.com/patent/US20100102980A1/en")</f>
        <v>https://patents.google.com/patent/US20100102980A1/en</v>
      </c>
    </row>
    <row r="8524" spans="3:5" x14ac:dyDescent="0.25">
      <c r="C8524" t="s">
        <v>15584</v>
      </c>
      <c r="D8524" t="s">
        <v>15585</v>
      </c>
      <c r="E8524" t="str">
        <f>HYPERLINK("https://patents.google.com/patent/US20110118870A1/en")</f>
        <v>https://patents.google.com/patent/US20110118870A1/en</v>
      </c>
    </row>
    <row r="8525" spans="3:5" x14ac:dyDescent="0.25">
      <c r="C8525" t="s">
        <v>15584</v>
      </c>
      <c r="D8525" t="s">
        <v>15586</v>
      </c>
      <c r="E8525" t="str">
        <f>HYPERLINK("https://patents.google.com/patent/US20100298976A1/en")</f>
        <v>https://patents.google.com/patent/US20100298976A1/en</v>
      </c>
    </row>
    <row r="8526" spans="3:5" x14ac:dyDescent="0.25">
      <c r="C8526" t="s">
        <v>15587</v>
      </c>
      <c r="D8526" t="s">
        <v>15588</v>
      </c>
      <c r="E8526" t="str">
        <f>HYPERLINK("https://patents.google.com/patent/US20150185027A1/en")</f>
        <v>https://patents.google.com/patent/US20150185027A1/en</v>
      </c>
    </row>
    <row r="8527" spans="3:5" x14ac:dyDescent="0.25">
      <c r="C8527" t="s">
        <v>15589</v>
      </c>
      <c r="D8527" t="s">
        <v>15590</v>
      </c>
      <c r="E8527" t="str">
        <f>HYPERLINK("https://patents.google.com/patent/US20120077522A1/en")</f>
        <v>https://patents.google.com/patent/US20120077522A1/en</v>
      </c>
    </row>
    <row r="8528" spans="3:5" x14ac:dyDescent="0.25">
      <c r="C8528" t="s">
        <v>15591</v>
      </c>
      <c r="D8528" t="s">
        <v>15592</v>
      </c>
      <c r="E8528" t="str">
        <f>HYPERLINK("https://patents.google.com/patent/US20100097269A1/en")</f>
        <v>https://patents.google.com/patent/US20100097269A1/en</v>
      </c>
    </row>
    <row r="8529" spans="3:5" x14ac:dyDescent="0.25">
      <c r="C8529" t="s">
        <v>15593</v>
      </c>
      <c r="D8529" t="s">
        <v>15594</v>
      </c>
      <c r="E8529" t="str">
        <f>HYPERLINK("https://patents.google.com/patent/DE202009000259U1/en")</f>
        <v>https://patents.google.com/patent/DE202009000259U1/en</v>
      </c>
    </row>
    <row r="8530" spans="3:5" x14ac:dyDescent="0.25">
      <c r="C8530" t="s">
        <v>15595</v>
      </c>
      <c r="D8530" t="s">
        <v>15596</v>
      </c>
      <c r="E8530" t="str">
        <f>HYPERLINK("https://patents.google.com/patent/US20120098926A1/en")</f>
        <v>https://patents.google.com/patent/US20120098926A1/en</v>
      </c>
    </row>
    <row r="8531" spans="3:5" x14ac:dyDescent="0.25">
      <c r="C8531" t="s">
        <v>15597</v>
      </c>
      <c r="D8531" t="s">
        <v>15598</v>
      </c>
      <c r="E8531" t="str">
        <f>HYPERLINK("https://patents.google.com/patent/US20120078959A1/en")</f>
        <v>https://patents.google.com/patent/US20120078959A1/en</v>
      </c>
    </row>
    <row r="8532" spans="3:5" x14ac:dyDescent="0.25">
      <c r="C8532" t="s">
        <v>15599</v>
      </c>
      <c r="D8532" t="s">
        <v>15600</v>
      </c>
      <c r="E8532" t="str">
        <f>HYPERLINK("https://patents.google.com/patent/US20130202213A1/en")</f>
        <v>https://patents.google.com/patent/US20130202213A1/en</v>
      </c>
    </row>
    <row r="8533" spans="3:5" x14ac:dyDescent="0.25">
      <c r="C8533" t="s">
        <v>15601</v>
      </c>
      <c r="D8533" t="s">
        <v>15602</v>
      </c>
      <c r="E8533" t="str">
        <f>HYPERLINK("https://patents.google.com/patent/US6213897B1/en")</f>
        <v>https://patents.google.com/patent/US6213897B1/en</v>
      </c>
    </row>
    <row r="8534" spans="3:5" x14ac:dyDescent="0.25">
      <c r="C8534" t="s">
        <v>15603</v>
      </c>
      <c r="D8534" t="s">
        <v>15604</v>
      </c>
      <c r="E8534" t="str">
        <f>HYPERLINK("https://patents.google.com/patent/US20110192213A1/en")</f>
        <v>https://patents.google.com/patent/US20110192213A1/en</v>
      </c>
    </row>
    <row r="8535" spans="3:5" x14ac:dyDescent="0.25">
      <c r="C8535" t="s">
        <v>15605</v>
      </c>
      <c r="D8535" t="s">
        <v>15606</v>
      </c>
      <c r="E8535" t="str">
        <f>HYPERLINK("https://patents.google.com/patent/US20150373503A1/en")</f>
        <v>https://patents.google.com/patent/US20150373503A1/en</v>
      </c>
    </row>
    <row r="8536" spans="3:5" x14ac:dyDescent="0.25">
      <c r="C8536" t="s">
        <v>15607</v>
      </c>
      <c r="D8536" t="s">
        <v>15608</v>
      </c>
      <c r="E8536" t="str">
        <f>HYPERLINK("https://patents.google.com/patent/US20090176601A1/en")</f>
        <v>https://patents.google.com/patent/US20090176601A1/en</v>
      </c>
    </row>
    <row r="8537" spans="3:5" x14ac:dyDescent="0.25">
      <c r="C8537" t="s">
        <v>15609</v>
      </c>
      <c r="D8537" t="s">
        <v>15610</v>
      </c>
      <c r="E8537" t="str">
        <f>HYPERLINK("https://patents.google.com/patent/US20150331711A1/en")</f>
        <v>https://patents.google.com/patent/US20150331711A1/en</v>
      </c>
    </row>
    <row r="8538" spans="3:5" x14ac:dyDescent="0.25">
      <c r="C8538" t="s">
        <v>15611</v>
      </c>
      <c r="D8538" t="s">
        <v>15612</v>
      </c>
      <c r="E8538" t="str">
        <f>HYPERLINK("https://patents.google.com/patent/US7061429B2/en")</f>
        <v>https://patents.google.com/patent/US7061429B2/en</v>
      </c>
    </row>
    <row r="8539" spans="3:5" x14ac:dyDescent="0.25">
      <c r="C8539" t="s">
        <v>15613</v>
      </c>
      <c r="D8539" t="s">
        <v>15614</v>
      </c>
      <c r="E8539" t="str">
        <f>HYPERLINK("https://patents.google.com/patent/WO2001006401A1/en")</f>
        <v>https://patents.google.com/patent/WO2001006401A1/en</v>
      </c>
    </row>
    <row r="8540" spans="3:5" x14ac:dyDescent="0.25">
      <c r="C8540" t="s">
        <v>15615</v>
      </c>
      <c r="D8540" t="s">
        <v>15616</v>
      </c>
      <c r="E8540" t="str">
        <f>HYPERLINK("https://patents.google.com/patent/EP0579417A1/en")</f>
        <v>https://patents.google.com/patent/EP0579417A1/en</v>
      </c>
    </row>
    <row r="8541" spans="3:5" x14ac:dyDescent="0.25">
      <c r="C8541" t="s">
        <v>15617</v>
      </c>
      <c r="D8541" t="s">
        <v>15618</v>
      </c>
      <c r="E8541" t="str">
        <f>HYPERLINK("https://patents.google.com/patent/US20060155402A1/en")</f>
        <v>https://patents.google.com/patent/US20060155402A1/en</v>
      </c>
    </row>
    <row r="8542" spans="3:5" x14ac:dyDescent="0.25">
      <c r="C8542" t="s">
        <v>15365</v>
      </c>
      <c r="D8542" t="s">
        <v>15619</v>
      </c>
      <c r="E8542" t="str">
        <f>HYPERLINK("https://patents.google.com/patent/EP0366350A2/en")</f>
        <v>https://patents.google.com/patent/EP0366350A2/en</v>
      </c>
    </row>
    <row r="8543" spans="3:5" x14ac:dyDescent="0.25">
      <c r="C8543" t="s">
        <v>15620</v>
      </c>
      <c r="D8543" t="s">
        <v>15621</v>
      </c>
      <c r="E8543" t="str">
        <f>HYPERLINK("https://patents.google.com/patent/CN202333477U/en")</f>
        <v>https://patents.google.com/patent/CN202333477U/en</v>
      </c>
    </row>
    <row r="8544" spans="3:5" x14ac:dyDescent="0.25">
      <c r="C8544" t="s">
        <v>15421</v>
      </c>
      <c r="D8544" t="s">
        <v>15622</v>
      </c>
      <c r="E8544" t="str">
        <f>HYPERLINK("https://patents.google.com/patent/JP2007234066A/en")</f>
        <v>https://patents.google.com/patent/JP2007234066A/en</v>
      </c>
    </row>
    <row r="8545" spans="3:5" x14ac:dyDescent="0.25">
      <c r="C8545" t="s">
        <v>15623</v>
      </c>
      <c r="D8545" t="s">
        <v>15624</v>
      </c>
      <c r="E8545" t="str">
        <f>HYPERLINK("https://patents.google.com/patent/JP2002092761A/en")</f>
        <v>https://patents.google.com/patent/JP2002092761A/en</v>
      </c>
    </row>
    <row r="8546" spans="3:5" x14ac:dyDescent="0.25">
      <c r="C8546" t="s">
        <v>15625</v>
      </c>
      <c r="D8546" t="s">
        <v>15626</v>
      </c>
      <c r="E8546" t="str">
        <f>HYPERLINK("https://patents.google.com/patent/JP2010064154A/en")</f>
        <v>https://patents.google.com/patent/JP2010064154A/en</v>
      </c>
    </row>
    <row r="8547" spans="3:5" x14ac:dyDescent="0.25">
      <c r="C8547" t="s">
        <v>5967</v>
      </c>
      <c r="D8547" t="s">
        <v>15627</v>
      </c>
      <c r="E8547" t="str">
        <f>HYPERLINK("https://patents.google.com/patent/JP2002254374A/en")</f>
        <v>https://patents.google.com/patent/JP2002254374A/en</v>
      </c>
    </row>
    <row r="8548" spans="3:5" x14ac:dyDescent="0.25">
      <c r="C8548" t="s">
        <v>15628</v>
      </c>
      <c r="D8548" t="s">
        <v>15629</v>
      </c>
      <c r="E8548" t="str">
        <f>HYPERLINK("https://patents.google.com/patent/US20140288714A1/en")</f>
        <v>https://patents.google.com/patent/US20140288714A1/en</v>
      </c>
    </row>
    <row r="8549" spans="3:5" x14ac:dyDescent="0.25">
      <c r="C8549" t="s">
        <v>15630</v>
      </c>
      <c r="D8549" t="s">
        <v>15631</v>
      </c>
      <c r="E8549" t="str">
        <f>HYPERLINK("https://patents.google.com/patent/DE102007016802B3/en")</f>
        <v>https://patents.google.com/patent/DE102007016802B3/en</v>
      </c>
    </row>
    <row r="8550" spans="3:5" x14ac:dyDescent="0.25">
      <c r="C8550" t="s">
        <v>15632</v>
      </c>
      <c r="D8550" t="s">
        <v>15633</v>
      </c>
      <c r="E8550" t="str">
        <f>HYPERLINK("https://patents.google.com/patent/US20130216098A1/en")</f>
        <v>https://patents.google.com/patent/US20130216098A1/en</v>
      </c>
    </row>
    <row r="8551" spans="3:5" x14ac:dyDescent="0.25">
      <c r="C8551" t="s">
        <v>15634</v>
      </c>
      <c r="D8551" t="s">
        <v>15635</v>
      </c>
      <c r="E8551" t="str">
        <f>HYPERLINK("https://patents.google.com/patent/JP2007187677A/en")</f>
        <v>https://patents.google.com/patent/JP2007187677A/en</v>
      </c>
    </row>
    <row r="8552" spans="3:5" x14ac:dyDescent="0.25">
      <c r="C8552" t="s">
        <v>15636</v>
      </c>
      <c r="D8552" t="s">
        <v>15637</v>
      </c>
      <c r="E8552" t="str">
        <f>HYPERLINK("https://patents.google.com/patent/JP2003330543A/en")</f>
        <v>https://patents.google.com/patent/JP2003330543A/en</v>
      </c>
    </row>
    <row r="8553" spans="3:5" x14ac:dyDescent="0.25">
      <c r="C8553" t="s">
        <v>15638</v>
      </c>
      <c r="D8553" t="s">
        <v>15639</v>
      </c>
      <c r="E8553" t="str">
        <f>HYPERLINK("https://patents.google.com/patent/JPH09267276A/en")</f>
        <v>https://patents.google.com/patent/JPH09267276A/en</v>
      </c>
    </row>
    <row r="8554" spans="3:5" x14ac:dyDescent="0.25">
      <c r="C8554" t="s">
        <v>15640</v>
      </c>
      <c r="D8554" t="s">
        <v>15641</v>
      </c>
      <c r="E8554" t="str">
        <f>HYPERLINK("https://patents.google.com/patent/CN103941750A/en")</f>
        <v>https://patents.google.com/patent/CN103941750A/en</v>
      </c>
    </row>
    <row r="8555" spans="3:5" x14ac:dyDescent="0.25">
      <c r="C8555" t="s">
        <v>15642</v>
      </c>
      <c r="D8555" t="s">
        <v>15643</v>
      </c>
      <c r="E8555" t="str">
        <f>HYPERLINK("https://patents.google.com/patent/WO2001069830A2/en")</f>
        <v>https://patents.google.com/patent/WO2001069830A2/en</v>
      </c>
    </row>
    <row r="8556" spans="3:5" x14ac:dyDescent="0.25">
      <c r="C8556" t="s">
        <v>15644</v>
      </c>
      <c r="D8556" t="s">
        <v>15645</v>
      </c>
      <c r="E8556" t="str">
        <f>HYPERLINK("https://patents.google.com/patent/DE102008055881A1/en")</f>
        <v>https://patents.google.com/patent/DE102008055881A1/en</v>
      </c>
    </row>
    <row r="8557" spans="3:5" x14ac:dyDescent="0.25">
      <c r="C8557" t="s">
        <v>15646</v>
      </c>
      <c r="D8557" t="s">
        <v>15647</v>
      </c>
      <c r="E8557" t="str">
        <f>HYPERLINK("https://patents.google.com/patent/US20160018508A1/en")</f>
        <v>https://patents.google.com/patent/US20160018508A1/en</v>
      </c>
    </row>
    <row r="8558" spans="3:5" x14ac:dyDescent="0.25">
      <c r="C8558" t="s">
        <v>15648</v>
      </c>
      <c r="D8558" t="s">
        <v>15649</v>
      </c>
      <c r="E8558" t="str">
        <f>HYPERLINK("https://patents.google.com/patent/JP2003006532A/en")</f>
        <v>https://patents.google.com/patent/JP2003006532A/en</v>
      </c>
    </row>
    <row r="8559" spans="3:5" x14ac:dyDescent="0.25">
      <c r="C8559" t="s">
        <v>15650</v>
      </c>
      <c r="D8559" t="s">
        <v>15651</v>
      </c>
      <c r="E8559" t="str">
        <f>HYPERLINK("https://patents.google.com/patent/US5805813A/en")</f>
        <v>https://patents.google.com/patent/US5805813A/en</v>
      </c>
    </row>
    <row r="8560" spans="3:5" x14ac:dyDescent="0.25">
      <c r="C8560" t="s">
        <v>15652</v>
      </c>
      <c r="D8560" t="s">
        <v>15653</v>
      </c>
      <c r="E8560" t="str">
        <f>HYPERLINK("https://patents.google.com/patent/US20130335273A1/en")</f>
        <v>https://patents.google.com/patent/US20130335273A1/en</v>
      </c>
    </row>
    <row r="8561" spans="3:5" x14ac:dyDescent="0.25">
      <c r="C8561" t="s">
        <v>15654</v>
      </c>
      <c r="D8561" t="s">
        <v>15655</v>
      </c>
      <c r="E8561" t="str">
        <f>HYPERLINK("https://patents.google.com/patent/US20150205298A1/en")</f>
        <v>https://patents.google.com/patent/US20150205298A1/en</v>
      </c>
    </row>
    <row r="8562" spans="3:5" x14ac:dyDescent="0.25">
      <c r="C8562" t="s">
        <v>15656</v>
      </c>
      <c r="D8562" t="s">
        <v>15657</v>
      </c>
      <c r="E8562" t="str">
        <f>HYPERLINK("https://patents.google.com/patent/JP2000266551A/en")</f>
        <v>https://patents.google.com/patent/JP2000266551A/en</v>
      </c>
    </row>
    <row r="8563" spans="3:5" x14ac:dyDescent="0.25">
      <c r="C8563" t="s">
        <v>15658</v>
      </c>
      <c r="D8563" t="s">
        <v>15659</v>
      </c>
      <c r="E8563" t="str">
        <f>HYPERLINK("https://patents.google.com/patent/CN102789233A/en")</f>
        <v>https://patents.google.com/patent/CN102789233A/en</v>
      </c>
    </row>
    <row r="8564" spans="3:5" x14ac:dyDescent="0.25">
      <c r="C8564" t="s">
        <v>15660</v>
      </c>
      <c r="D8564" t="s">
        <v>15661</v>
      </c>
      <c r="E8564" t="str">
        <f>HYPERLINK("https://patents.google.com/patent/US20100008270A1/en")</f>
        <v>https://patents.google.com/patent/US20100008270A1/en</v>
      </c>
    </row>
    <row r="8565" spans="3:5" x14ac:dyDescent="0.25">
      <c r="C8565" t="s">
        <v>15662</v>
      </c>
      <c r="D8565" t="s">
        <v>15663</v>
      </c>
      <c r="E8565" t="str">
        <f>HYPERLINK("https://patents.google.com/patent/JPH10143243A/en")</f>
        <v>https://patents.google.com/patent/JPH10143243A/en</v>
      </c>
    </row>
    <row r="8566" spans="3:5" x14ac:dyDescent="0.25">
      <c r="C8566" t="s">
        <v>15664</v>
      </c>
      <c r="D8566" t="s">
        <v>15665</v>
      </c>
      <c r="E8566" t="str">
        <f>HYPERLINK("https://patents.google.com/patent/CN103363988A/en")</f>
        <v>https://patents.google.com/patent/CN103363988A/en</v>
      </c>
    </row>
    <row r="8567" spans="3:5" x14ac:dyDescent="0.25">
      <c r="C8567" t="s">
        <v>15666</v>
      </c>
      <c r="D8567" t="s">
        <v>15667</v>
      </c>
      <c r="E8567" t="str">
        <f>HYPERLINK("https://patents.google.com/patent/WO2010060720A2/en")</f>
        <v>https://patents.google.com/patent/WO2010060720A2/en</v>
      </c>
    </row>
    <row r="8568" spans="3:5" x14ac:dyDescent="0.25">
      <c r="C8568" t="s">
        <v>15668</v>
      </c>
      <c r="D8568" t="s">
        <v>15669</v>
      </c>
      <c r="E8568" t="str">
        <f>HYPERLINK("https://patents.google.com/patent/FR2684606A1/en")</f>
        <v>https://patents.google.com/patent/FR2684606A1/en</v>
      </c>
    </row>
    <row r="8569" spans="3:5" x14ac:dyDescent="0.25">
      <c r="C8569" t="s">
        <v>15670</v>
      </c>
      <c r="D8569" t="s">
        <v>15671</v>
      </c>
      <c r="E8569" t="str">
        <f>HYPERLINK("https://patents.google.com/patent/US9081079B2/en")</f>
        <v>https://patents.google.com/patent/US9081079B2/en</v>
      </c>
    </row>
    <row r="8570" spans="3:5" x14ac:dyDescent="0.25">
      <c r="C8570" t="s">
        <v>15672</v>
      </c>
      <c r="D8570" t="s">
        <v>15673</v>
      </c>
      <c r="E8570" t="str">
        <f>HYPERLINK("https://patents.google.com/patent/US20150323974A1/en")</f>
        <v>https://patents.google.com/patent/US20150323974A1/en</v>
      </c>
    </row>
    <row r="8571" spans="3:5" x14ac:dyDescent="0.25">
      <c r="C8571" t="s">
        <v>15674</v>
      </c>
      <c r="D8571" t="s">
        <v>15675</v>
      </c>
      <c r="E8571" t="str">
        <f>HYPERLINK("https://patents.google.com/patent/US20120072052A1/en")</f>
        <v>https://patents.google.com/patent/US20120072052A1/en</v>
      </c>
    </row>
    <row r="8572" spans="3:5" x14ac:dyDescent="0.25">
      <c r="C8572" t="s">
        <v>15676</v>
      </c>
      <c r="D8572" t="s">
        <v>15677</v>
      </c>
      <c r="E8572" t="str">
        <f>HYPERLINK("https://patents.google.com/patent/US5239515A/en")</f>
        <v>https://patents.google.com/patent/US5239515A/en</v>
      </c>
    </row>
    <row r="8573" spans="3:5" x14ac:dyDescent="0.25">
      <c r="C8573" t="s">
        <v>15678</v>
      </c>
      <c r="D8573" t="s">
        <v>15679</v>
      </c>
      <c r="E8573" t="str">
        <f>HYPERLINK("https://patents.google.com/patent/WO2007101475A1/en")</f>
        <v>https://patents.google.com/patent/WO2007101475A1/en</v>
      </c>
    </row>
    <row r="8574" spans="3:5" x14ac:dyDescent="0.25">
      <c r="C8574" t="s">
        <v>15680</v>
      </c>
      <c r="D8574" t="s">
        <v>15681</v>
      </c>
      <c r="E8574" t="str">
        <f>HYPERLINK("https://patents.google.com/patent/US8751043B2/en")</f>
        <v>https://patents.google.com/patent/US8751043B2/en</v>
      </c>
    </row>
    <row r="8575" spans="3:5" x14ac:dyDescent="0.25">
      <c r="C8575" t="s">
        <v>15682</v>
      </c>
      <c r="D8575" t="s">
        <v>15683</v>
      </c>
      <c r="E8575" t="str">
        <f>HYPERLINK("https://patents.google.com/patent/CN102442417A/en")</f>
        <v>https://patents.google.com/patent/CN102442417A/en</v>
      </c>
    </row>
    <row r="8576" spans="3:5" x14ac:dyDescent="0.25">
      <c r="C8576" t="s">
        <v>15684</v>
      </c>
      <c r="D8576" t="s">
        <v>15685</v>
      </c>
      <c r="E8576" t="str">
        <f>HYPERLINK("https://patents.google.com/patent/WO2006052259A1/en")</f>
        <v>https://patents.google.com/patent/WO2006052259A1/en</v>
      </c>
    </row>
    <row r="8577" spans="3:5" x14ac:dyDescent="0.25">
      <c r="C8577" t="s">
        <v>15686</v>
      </c>
      <c r="D8577" t="s">
        <v>15687</v>
      </c>
      <c r="E8577" t="str">
        <f>HYPERLINK("https://patents.google.com/patent/JP2007111854A/en")</f>
        <v>https://patents.google.com/patent/JP2007111854A/en</v>
      </c>
    </row>
    <row r="8578" spans="3:5" x14ac:dyDescent="0.25">
      <c r="C8578" t="s">
        <v>15688</v>
      </c>
      <c r="D8578" t="s">
        <v>15689</v>
      </c>
      <c r="E8578" t="str">
        <f>HYPERLINK("https://patents.google.com/patent/JPH1064971A/en")</f>
        <v>https://patents.google.com/patent/JPH1064971A/en</v>
      </c>
    </row>
    <row r="8579" spans="3:5" x14ac:dyDescent="0.25">
      <c r="C8579" t="s">
        <v>15371</v>
      </c>
      <c r="D8579" t="s">
        <v>15690</v>
      </c>
      <c r="E8579" t="str">
        <f>HYPERLINK("https://patents.google.com/patent/US20100234137A1/en")</f>
        <v>https://patents.google.com/patent/US20100234137A1/en</v>
      </c>
    </row>
    <row r="8580" spans="3:5" x14ac:dyDescent="0.25">
      <c r="C8580" t="s">
        <v>15691</v>
      </c>
      <c r="D8580" t="s">
        <v>15692</v>
      </c>
      <c r="E8580" t="str">
        <f>HYPERLINK("https://patents.google.com/patent/US20140129393A1/en")</f>
        <v>https://patents.google.com/patent/US20140129393A1/en</v>
      </c>
    </row>
    <row r="8581" spans="3:5" x14ac:dyDescent="0.25">
      <c r="C8581" t="s">
        <v>15693</v>
      </c>
      <c r="D8581" t="s">
        <v>15694</v>
      </c>
      <c r="E8581" t="str">
        <f>HYPERLINK("https://patents.google.com/patent/US7826969B2/en")</f>
        <v>https://patents.google.com/patent/US7826969B2/en</v>
      </c>
    </row>
    <row r="8582" spans="3:5" x14ac:dyDescent="0.25">
      <c r="C8582" t="s">
        <v>15695</v>
      </c>
      <c r="D8582" t="s">
        <v>15696</v>
      </c>
      <c r="E8582" t="str">
        <f>HYPERLINK("https://patents.google.com/patent/US20150116108A1/en")</f>
        <v>https://patents.google.com/patent/US20150116108A1/en</v>
      </c>
    </row>
    <row r="8583" spans="3:5" x14ac:dyDescent="0.25">
      <c r="C8583" t="s">
        <v>15697</v>
      </c>
      <c r="D8583" t="s">
        <v>15698</v>
      </c>
      <c r="E8583" t="str">
        <f>HYPERLINK("https://patents.google.com/patent/US20150097669A1/en")</f>
        <v>https://patents.google.com/patent/US20150097669A1/en</v>
      </c>
    </row>
    <row r="8584" spans="3:5" x14ac:dyDescent="0.25">
      <c r="C8584" t="s">
        <v>15699</v>
      </c>
      <c r="D8584" t="s">
        <v>15700</v>
      </c>
      <c r="E8584" t="str">
        <f>HYPERLINK("https://patents.google.com/patent/CN105034002A/en")</f>
        <v>https://patents.google.com/patent/CN105034002A/en</v>
      </c>
    </row>
    <row r="8585" spans="3:5" x14ac:dyDescent="0.25">
      <c r="C8585" t="s">
        <v>15701</v>
      </c>
      <c r="D8585" t="s">
        <v>15702</v>
      </c>
      <c r="E8585" t="str">
        <f>HYPERLINK("https://patents.google.com/patent/US20150109128A1/en")</f>
        <v>https://patents.google.com/patent/US20150109128A1/en</v>
      </c>
    </row>
    <row r="8586" spans="3:5" x14ac:dyDescent="0.25">
      <c r="C8586" t="s">
        <v>15703</v>
      </c>
      <c r="D8586" t="s">
        <v>15704</v>
      </c>
      <c r="E8586" t="str">
        <f>HYPERLINK("https://patents.google.com/patent/US20130337847A1/en")</f>
        <v>https://patents.google.com/patent/US20130337847A1/en</v>
      </c>
    </row>
    <row r="8587" spans="3:5" x14ac:dyDescent="0.25">
      <c r="C8587" t="s">
        <v>15705</v>
      </c>
      <c r="D8587" t="s">
        <v>15706</v>
      </c>
      <c r="E8587" t="str">
        <f>HYPERLINK("https://patents.google.com/patent/CN101770236A/en")</f>
        <v>https://patents.google.com/patent/CN101770236A/en</v>
      </c>
    </row>
    <row r="8588" spans="3:5" x14ac:dyDescent="0.25">
      <c r="C8588" t="s">
        <v>15707</v>
      </c>
      <c r="D8588" t="s">
        <v>15708</v>
      </c>
      <c r="E8588" t="str">
        <f>HYPERLINK("https://patents.google.com/patent/KR19990078775A/en")</f>
        <v>https://patents.google.com/patent/KR19990078775A/en</v>
      </c>
    </row>
    <row r="8589" spans="3:5" x14ac:dyDescent="0.25">
      <c r="C8589" t="s">
        <v>15709</v>
      </c>
      <c r="D8589" t="s">
        <v>15710</v>
      </c>
      <c r="E8589" t="str">
        <f>HYPERLINK("https://patents.google.com/patent/CN103191006A/en")</f>
        <v>https://patents.google.com/patent/CN103191006A/en</v>
      </c>
    </row>
    <row r="8590" spans="3:5" x14ac:dyDescent="0.25">
      <c r="C8590" t="s">
        <v>15711</v>
      </c>
      <c r="D8590" t="s">
        <v>15712</v>
      </c>
      <c r="E8590" t="str">
        <f>HYPERLINK("https://patents.google.com/patent/JP2005103678A/en")</f>
        <v>https://patents.google.com/patent/JP2005103678A/en</v>
      </c>
    </row>
    <row r="8591" spans="3:5" x14ac:dyDescent="0.25">
      <c r="C8591" t="s">
        <v>15713</v>
      </c>
      <c r="D8591" t="s">
        <v>15714</v>
      </c>
      <c r="E8591" t="str">
        <f>HYPERLINK("https://patents.google.com/patent/US20160365825A1/en")</f>
        <v>https://patents.google.com/patent/US20160365825A1/en</v>
      </c>
    </row>
    <row r="8592" spans="3:5" x14ac:dyDescent="0.25">
      <c r="C8592" t="s">
        <v>15715</v>
      </c>
      <c r="D8592" t="s">
        <v>15716</v>
      </c>
      <c r="E8592" t="str">
        <f>HYPERLINK("https://patents.google.com/patent/US20050277488A1/en")</f>
        <v>https://patents.google.com/patent/US20050277488A1/en</v>
      </c>
    </row>
    <row r="8593" spans="3:5" x14ac:dyDescent="0.25">
      <c r="C8593" t="s">
        <v>15717</v>
      </c>
      <c r="D8593" t="s">
        <v>15718</v>
      </c>
      <c r="E8593" t="str">
        <f>HYPERLINK("https://patents.google.com/patent/US7236880B2/en")</f>
        <v>https://patents.google.com/patent/US7236880B2/en</v>
      </c>
    </row>
    <row r="8594" spans="3:5" x14ac:dyDescent="0.25">
      <c r="C8594" t="s">
        <v>15719</v>
      </c>
      <c r="D8594" t="s">
        <v>15720</v>
      </c>
      <c r="E8594" t="str">
        <f>HYPERLINK("https://patents.google.com/patent/US20080155006A1/en")</f>
        <v>https://patents.google.com/patent/US20080155006A1/en</v>
      </c>
    </row>
    <row r="8595" spans="3:5" x14ac:dyDescent="0.25">
      <c r="C8595" t="s">
        <v>15721</v>
      </c>
      <c r="D8595" t="s">
        <v>15722</v>
      </c>
      <c r="E8595" t="str">
        <f>HYPERLINK("https://patents.google.com/patent/US20150120598A1/en")</f>
        <v>https://patents.google.com/patent/US20150120598A1/en</v>
      </c>
    </row>
    <row r="8596" spans="3:5" x14ac:dyDescent="0.25">
      <c r="C8596" t="s">
        <v>15723</v>
      </c>
      <c r="D8596" t="s">
        <v>15724</v>
      </c>
      <c r="E8596" t="str">
        <f>HYPERLINK("https://patents.google.com/patent/CN103576686A/en")</f>
        <v>https://patents.google.com/patent/CN103576686A/en</v>
      </c>
    </row>
    <row r="8597" spans="3:5" x14ac:dyDescent="0.25">
      <c r="C8597" t="s">
        <v>15725</v>
      </c>
      <c r="D8597" t="s">
        <v>15726</v>
      </c>
      <c r="E8597" t="str">
        <f>HYPERLINK("https://patents.google.com/patent/JP2001246580A/en")</f>
        <v>https://patents.google.com/patent/JP2001246580A/en</v>
      </c>
    </row>
    <row r="8598" spans="3:5" x14ac:dyDescent="0.25">
      <c r="C8598" t="s">
        <v>15727</v>
      </c>
      <c r="D8598" t="s">
        <v>15728</v>
      </c>
      <c r="E8598" t="str">
        <f>HYPERLINK("https://patents.google.com/patent/US20100312386A1/en")</f>
        <v>https://patents.google.com/patent/US20100312386A1/en</v>
      </c>
    </row>
    <row r="8599" spans="3:5" x14ac:dyDescent="0.25">
      <c r="C8599" t="s">
        <v>15729</v>
      </c>
      <c r="D8599" t="s">
        <v>15730</v>
      </c>
      <c r="E8599" t="str">
        <f>HYPERLINK("https://patents.google.com/patent/JP2004299026A/en")</f>
        <v>https://patents.google.com/patent/JP2004299026A/en</v>
      </c>
    </row>
    <row r="8600" spans="3:5" x14ac:dyDescent="0.25">
      <c r="C8600" t="s">
        <v>15731</v>
      </c>
      <c r="D8600" t="s">
        <v>15732</v>
      </c>
      <c r="E8600" t="str">
        <f>HYPERLINK("https://patents.google.com/patent/CN103944275A/en")</f>
        <v>https://patents.google.com/patent/CN103944275A/en</v>
      </c>
    </row>
    <row r="8601" spans="3:5" x14ac:dyDescent="0.25">
      <c r="C8601" t="s">
        <v>15733</v>
      </c>
      <c r="D8601" t="s">
        <v>15734</v>
      </c>
      <c r="E8601" t="str">
        <f>HYPERLINK("https://patents.google.com/patent/CN104299351A/en")</f>
        <v>https://patents.google.com/patent/CN104299351A/en</v>
      </c>
    </row>
    <row r="8602" spans="3:5" x14ac:dyDescent="0.25">
      <c r="C8602" t="s">
        <v>15735</v>
      </c>
      <c r="D8602" t="s">
        <v>15736</v>
      </c>
      <c r="E8602" t="str">
        <f>HYPERLINK("https://patents.google.com/patent/US8267812B1/en")</f>
        <v>https://patents.google.com/patent/US8267812B1/en</v>
      </c>
    </row>
    <row r="8603" spans="3:5" x14ac:dyDescent="0.25">
      <c r="C8603" t="s">
        <v>15737</v>
      </c>
      <c r="D8603" t="s">
        <v>15738</v>
      </c>
      <c r="E8603" t="str">
        <f>HYPERLINK("https://patents.google.com/patent/US8965104B1/en")</f>
        <v>https://patents.google.com/patent/US8965104B1/en</v>
      </c>
    </row>
    <row r="8604" spans="3:5" x14ac:dyDescent="0.25">
      <c r="C8604" t="s">
        <v>15739</v>
      </c>
      <c r="D8604" t="s">
        <v>15740</v>
      </c>
      <c r="E8604" t="str">
        <f>HYPERLINK("https://patents.google.com/patent/CN203232463U/en")</f>
        <v>https://patents.google.com/patent/CN203232463U/en</v>
      </c>
    </row>
    <row r="8605" spans="3:5" x14ac:dyDescent="0.25">
      <c r="C8605" t="s">
        <v>15741</v>
      </c>
      <c r="D8605" t="s">
        <v>15742</v>
      </c>
      <c r="E8605" t="str">
        <f>HYPERLINK("https://patents.google.com/patent/US20100274387A1/en")</f>
        <v>https://patents.google.com/patent/US20100274387A1/en</v>
      </c>
    </row>
    <row r="8606" spans="3:5" x14ac:dyDescent="0.25">
      <c r="C8606" t="s">
        <v>15531</v>
      </c>
      <c r="D8606" t="s">
        <v>15743</v>
      </c>
      <c r="E8606" t="str">
        <f>HYPERLINK("https://patents.google.com/patent/US20150062292A1/en")</f>
        <v>https://patents.google.com/patent/US20150062292A1/en</v>
      </c>
    </row>
    <row r="8607" spans="3:5" x14ac:dyDescent="0.25">
      <c r="C8607" t="s">
        <v>15744</v>
      </c>
      <c r="D8607" t="s">
        <v>15745</v>
      </c>
      <c r="E8607" t="str">
        <f>HYPERLINK("https://patents.google.com/patent/US20160266577A1/en")</f>
        <v>https://patents.google.com/patent/US20160266577A1/en</v>
      </c>
    </row>
    <row r="8608" spans="3:5" x14ac:dyDescent="0.25">
      <c r="C8608" t="s">
        <v>15746</v>
      </c>
      <c r="D8608" t="s">
        <v>15747</v>
      </c>
      <c r="E8608" t="str">
        <f>HYPERLINK("https://patents.google.com/patent/US20140094136A1/en")</f>
        <v>https://patents.google.com/patent/US20140094136A1/en</v>
      </c>
    </row>
    <row r="8609" spans="3:5" x14ac:dyDescent="0.25">
      <c r="C8609" t="s">
        <v>15748</v>
      </c>
      <c r="D8609" t="s">
        <v>15749</v>
      </c>
      <c r="E8609" t="str">
        <f>HYPERLINK("https://patents.google.com/patent/US20030018401A1/en")</f>
        <v>https://patents.google.com/patent/US20030018401A1/en</v>
      </c>
    </row>
    <row r="8610" spans="3:5" x14ac:dyDescent="0.25">
      <c r="C8610" t="s">
        <v>15750</v>
      </c>
      <c r="D8610" t="s">
        <v>15751</v>
      </c>
      <c r="E8610" t="str">
        <f>HYPERLINK("https://patents.google.com/patent/CN103712617A/en")</f>
        <v>https://patents.google.com/patent/CN103712617A/en</v>
      </c>
    </row>
    <row r="8611" spans="3:5" x14ac:dyDescent="0.25">
      <c r="C8611" t="s">
        <v>15752</v>
      </c>
      <c r="D8611" t="s">
        <v>15753</v>
      </c>
      <c r="E8611" t="str">
        <f>HYPERLINK("https://patents.google.com/patent/WO2002103153A1/en")</f>
        <v>https://patents.google.com/patent/WO2002103153A1/en</v>
      </c>
    </row>
    <row r="8612" spans="3:5" x14ac:dyDescent="0.25">
      <c r="C8612" t="s">
        <v>15754</v>
      </c>
      <c r="D8612" t="s">
        <v>15755</v>
      </c>
      <c r="E8612" t="str">
        <f>HYPERLINK("https://patents.google.com/patent/WO2011146254A2/en")</f>
        <v>https://patents.google.com/patent/WO2011146254A2/en</v>
      </c>
    </row>
    <row r="8613" spans="3:5" x14ac:dyDescent="0.25">
      <c r="C8613" t="s">
        <v>15756</v>
      </c>
      <c r="D8613" t="s">
        <v>15757</v>
      </c>
      <c r="E8613" t="str">
        <f>HYPERLINK("https://patents.google.com/patent/CN101320090A/en")</f>
        <v>https://patents.google.com/patent/CN101320090A/en</v>
      </c>
    </row>
    <row r="8614" spans="3:5" x14ac:dyDescent="0.25">
      <c r="C8614" t="s">
        <v>15758</v>
      </c>
      <c r="D8614" t="s">
        <v>15759</v>
      </c>
      <c r="E8614" t="str">
        <f>HYPERLINK("https://patents.google.com/patent/CN101858387A/en")</f>
        <v>https://patents.google.com/patent/CN101858387A/en</v>
      </c>
    </row>
    <row r="8615" spans="3:5" x14ac:dyDescent="0.25">
      <c r="C8615" t="s">
        <v>15760</v>
      </c>
      <c r="D8615" t="s">
        <v>15761</v>
      </c>
      <c r="E8615" t="str">
        <f>HYPERLINK("https://patents.google.com/patent/CN1413877A/en")</f>
        <v>https://patents.google.com/patent/CN1413877A/en</v>
      </c>
    </row>
    <row r="8616" spans="3:5" x14ac:dyDescent="0.25">
      <c r="C8616" t="s">
        <v>15762</v>
      </c>
      <c r="D8616" t="s">
        <v>15763</v>
      </c>
      <c r="E8616" t="str">
        <f>HYPERLINK("https://patents.google.com/patent/CN1845089A/en")</f>
        <v>https://patents.google.com/patent/CN1845089A/en</v>
      </c>
    </row>
    <row r="8617" spans="3:5" x14ac:dyDescent="0.25">
      <c r="C8617" t="s">
        <v>15764</v>
      </c>
      <c r="D8617" t="s">
        <v>15765</v>
      </c>
      <c r="E8617" t="str">
        <f>HYPERLINK("https://patents.google.com/patent/JP2010017428A/en")</f>
        <v>https://patents.google.com/patent/JP2010017428A/en</v>
      </c>
    </row>
    <row r="8618" spans="3:5" x14ac:dyDescent="0.25">
      <c r="C8618" t="s">
        <v>15371</v>
      </c>
      <c r="D8618" t="s">
        <v>15766</v>
      </c>
      <c r="E8618" t="str">
        <f>HYPERLINK("https://patents.google.com/patent/US20100190575A1/en")</f>
        <v>https://patents.google.com/patent/US20100190575A1/en</v>
      </c>
    </row>
    <row r="8619" spans="3:5" x14ac:dyDescent="0.25">
      <c r="C8619" t="s">
        <v>15767</v>
      </c>
      <c r="D8619" t="s">
        <v>15768</v>
      </c>
      <c r="E8619" t="str">
        <f>HYPERLINK("https://patents.google.com/patent/KR20080050981A/en")</f>
        <v>https://patents.google.com/patent/KR20080050981A/en</v>
      </c>
    </row>
    <row r="8620" spans="3:5" x14ac:dyDescent="0.25">
      <c r="C8620" t="s">
        <v>15769</v>
      </c>
      <c r="D8620" t="s">
        <v>15770</v>
      </c>
      <c r="E8620" t="str">
        <f>HYPERLINK("https://patents.google.com/patent/US20150290808A1/en")</f>
        <v>https://patents.google.com/patent/US20150290808A1/en</v>
      </c>
    </row>
    <row r="8621" spans="3:5" x14ac:dyDescent="0.25">
      <c r="C8621" t="s">
        <v>15771</v>
      </c>
      <c r="D8621" t="s">
        <v>15772</v>
      </c>
      <c r="E8621" t="str">
        <f>HYPERLINK("https://patents.google.com/patent/US20130205257A1/en")</f>
        <v>https://patents.google.com/patent/US20130205257A1/en</v>
      </c>
    </row>
    <row r="8622" spans="3:5" x14ac:dyDescent="0.25">
      <c r="C8622" t="s">
        <v>15773</v>
      </c>
      <c r="D8622" t="s">
        <v>15774</v>
      </c>
      <c r="E8622" t="str">
        <f>HYPERLINK("https://patents.google.com/patent/CN102169602A/en")</f>
        <v>https://patents.google.com/patent/CN102169602A/en</v>
      </c>
    </row>
    <row r="8623" spans="3:5" x14ac:dyDescent="0.25">
      <c r="C8623" t="s">
        <v>15775</v>
      </c>
      <c r="D8623" t="s">
        <v>15776</v>
      </c>
      <c r="E8623" t="str">
        <f>HYPERLINK("https://patents.google.com/patent/CN101606039A/en")</f>
        <v>https://patents.google.com/patent/CN101606039A/en</v>
      </c>
    </row>
    <row r="8624" spans="3:5" x14ac:dyDescent="0.25">
      <c r="C8624" t="s">
        <v>15777</v>
      </c>
      <c r="D8624" t="s">
        <v>15778</v>
      </c>
      <c r="E8624" t="str">
        <f>HYPERLINK("https://patents.google.com/patent/US20090234788A1/en")</f>
        <v>https://patents.google.com/patent/US20090234788A1/en</v>
      </c>
    </row>
    <row r="8625" spans="3:5" x14ac:dyDescent="0.25">
      <c r="C8625" t="s">
        <v>15779</v>
      </c>
      <c r="D8625" t="s">
        <v>15780</v>
      </c>
      <c r="E8625" t="str">
        <f>HYPERLINK("https://patents.google.com/patent/JPH11346267A/en")</f>
        <v>https://patents.google.com/patent/JPH11346267A/en</v>
      </c>
    </row>
    <row r="8626" spans="3:5" x14ac:dyDescent="0.25">
      <c r="C8626" t="s">
        <v>15735</v>
      </c>
      <c r="D8626" t="s">
        <v>15781</v>
      </c>
      <c r="E8626" t="str">
        <f>HYPERLINK("https://patents.google.com/patent/US20130331195A1/en")</f>
        <v>https://patents.google.com/patent/US20130331195A1/en</v>
      </c>
    </row>
    <row r="8627" spans="3:5" x14ac:dyDescent="0.25">
      <c r="C8627" t="s">
        <v>15782</v>
      </c>
      <c r="D8627" t="s">
        <v>15783</v>
      </c>
      <c r="E8627" t="str">
        <f>HYPERLINK("https://patents.google.com/patent/KR20110066357A/en")</f>
        <v>https://patents.google.com/patent/KR20110066357A/en</v>
      </c>
    </row>
    <row r="8628" spans="3:5" x14ac:dyDescent="0.25">
      <c r="C8628" t="s">
        <v>15371</v>
      </c>
      <c r="D8628" t="s">
        <v>15784</v>
      </c>
      <c r="E8628" t="str">
        <f>HYPERLINK("https://patents.google.com/patent/US20110092314A1/en")</f>
        <v>https://patents.google.com/patent/US20110092314A1/en</v>
      </c>
    </row>
    <row r="8629" spans="3:5" x14ac:dyDescent="0.25">
      <c r="C8629" t="s">
        <v>15785</v>
      </c>
      <c r="D8629" t="s">
        <v>15786</v>
      </c>
      <c r="E8629" t="str">
        <f>HYPERLINK("https://patents.google.com/patent/US20150109112A1/en")</f>
        <v>https://patents.google.com/patent/US20150109112A1/en</v>
      </c>
    </row>
    <row r="8630" spans="3:5" x14ac:dyDescent="0.25">
      <c r="C8630" t="s">
        <v>15787</v>
      </c>
      <c r="D8630" t="s">
        <v>15788</v>
      </c>
      <c r="E8630" t="str">
        <f>HYPERLINK("https://patents.google.com/patent/CN204209692U/en")</f>
        <v>https://patents.google.com/patent/CN204209692U/en</v>
      </c>
    </row>
    <row r="8631" spans="3:5" x14ac:dyDescent="0.25">
      <c r="C8631" t="s">
        <v>15789</v>
      </c>
      <c r="D8631" t="s">
        <v>15790</v>
      </c>
      <c r="E8631" t="str">
        <f>HYPERLINK("https://patents.google.com/patent/CN104385277A/en")</f>
        <v>https://patents.google.com/patent/CN104385277A/en</v>
      </c>
    </row>
    <row r="8632" spans="3:5" x14ac:dyDescent="0.25">
      <c r="C8632" t="s">
        <v>15791</v>
      </c>
      <c r="D8632" t="s">
        <v>15792</v>
      </c>
      <c r="E8632" t="str">
        <f>HYPERLINK("https://patents.google.com/patent/CN1972782A/en")</f>
        <v>https://patents.google.com/patent/CN1972782A/en</v>
      </c>
    </row>
    <row r="8633" spans="3:5" x14ac:dyDescent="0.25">
      <c r="C8633" t="s">
        <v>15793</v>
      </c>
      <c r="D8633" t="s">
        <v>15794</v>
      </c>
      <c r="E8633" t="str">
        <f>HYPERLINK("https://patents.google.com/patent/CN104391506A/en")</f>
        <v>https://patents.google.com/patent/CN104391506A/en</v>
      </c>
    </row>
    <row r="8634" spans="3:5" x14ac:dyDescent="0.25">
      <c r="C8634" t="s">
        <v>15795</v>
      </c>
      <c r="D8634" t="s">
        <v>15796</v>
      </c>
      <c r="E8634" t="str">
        <f>HYPERLINK("https://patents.google.com/patent/JP2005339408A/en")</f>
        <v>https://patents.google.com/patent/JP2005339408A/en</v>
      </c>
    </row>
    <row r="8635" spans="3:5" x14ac:dyDescent="0.25">
      <c r="C8635" t="s">
        <v>15797</v>
      </c>
      <c r="D8635" t="s">
        <v>15798</v>
      </c>
      <c r="E8635" t="str">
        <f>HYPERLINK("https://patents.google.com/patent/US20160018224A1/en")</f>
        <v>https://patents.google.com/patent/US20160018224A1/en</v>
      </c>
    </row>
    <row r="8636" spans="3:5" x14ac:dyDescent="0.25">
      <c r="C8636" t="s">
        <v>15799</v>
      </c>
      <c r="D8636" t="s">
        <v>15800</v>
      </c>
      <c r="E8636" t="str">
        <f>HYPERLINK("https://patents.google.com/patent/JP2014127987A/en")</f>
        <v>https://patents.google.com/patent/JP2014127987A/en</v>
      </c>
    </row>
    <row r="8637" spans="3:5" x14ac:dyDescent="0.25">
      <c r="C8637" t="s">
        <v>15801</v>
      </c>
      <c r="D8637" t="s">
        <v>15802</v>
      </c>
      <c r="E8637" t="str">
        <f>HYPERLINK("https://patents.google.com/patent/CN103335652A/en")</f>
        <v>https://patents.google.com/patent/CN103335652A/en</v>
      </c>
    </row>
    <row r="8638" spans="3:5" x14ac:dyDescent="0.25">
      <c r="C8638" t="s">
        <v>15803</v>
      </c>
      <c r="D8638" t="s">
        <v>15804</v>
      </c>
      <c r="E8638" t="str">
        <f>HYPERLINK("https://patents.google.com/patent/US20150116107A1/en")</f>
        <v>https://patents.google.com/patent/US20150116107A1/en</v>
      </c>
    </row>
    <row r="8639" spans="3:5" x14ac:dyDescent="0.25">
      <c r="C8639" t="s">
        <v>15805</v>
      </c>
      <c r="D8639" t="s">
        <v>15806</v>
      </c>
      <c r="E8639" t="str">
        <f>HYPERLINK("https://patents.google.com/patent/CN102750274A/en")</f>
        <v>https://patents.google.com/patent/CN102750274A/en</v>
      </c>
    </row>
    <row r="8640" spans="3:5" x14ac:dyDescent="0.25">
      <c r="C8640" t="s">
        <v>15807</v>
      </c>
      <c r="D8640" t="s">
        <v>15808</v>
      </c>
      <c r="E8640" t="str">
        <f>HYPERLINK("https://patents.google.com/patent/US8160746B2/en")</f>
        <v>https://patents.google.com/patent/US8160746B2/en</v>
      </c>
    </row>
    <row r="8641" spans="3:5" x14ac:dyDescent="0.25">
      <c r="C8641" t="s">
        <v>15809</v>
      </c>
      <c r="D8641" t="s">
        <v>15810</v>
      </c>
      <c r="E8641" t="str">
        <f>HYPERLINK("https://patents.google.com/patent/US20150116109A1/en")</f>
        <v>https://patents.google.com/patent/US20150116109A1/en</v>
      </c>
    </row>
    <row r="8642" spans="3:5" x14ac:dyDescent="0.25">
      <c r="C8642" t="s">
        <v>15811</v>
      </c>
      <c r="D8642" t="s">
        <v>15812</v>
      </c>
      <c r="E8642" t="str">
        <f>HYPERLINK("https://patents.google.com/patent/CN101916110A/en")</f>
        <v>https://patents.google.com/patent/CN101916110A/en</v>
      </c>
    </row>
    <row r="8643" spans="3:5" x14ac:dyDescent="0.25">
      <c r="C8643" t="s">
        <v>15813</v>
      </c>
      <c r="D8643" t="s">
        <v>15814</v>
      </c>
      <c r="E8643" t="str">
        <f>HYPERLINK("https://patents.google.com/patent/US20150120596A1/en")</f>
        <v>https://patents.google.com/patent/US20150120596A1/en</v>
      </c>
    </row>
    <row r="8644" spans="3:5" x14ac:dyDescent="0.25">
      <c r="C8644" t="s">
        <v>15815</v>
      </c>
      <c r="D8644" t="s">
        <v>15816</v>
      </c>
      <c r="E8644" t="str">
        <f>HYPERLINK("https://patents.google.com/patent/WO2004011881A1/en")</f>
        <v>https://patents.google.com/patent/WO2004011881A1/en</v>
      </c>
    </row>
    <row r="8645" spans="3:5" x14ac:dyDescent="0.25">
      <c r="C8645" t="s">
        <v>15817</v>
      </c>
      <c r="D8645" t="s">
        <v>15818</v>
      </c>
      <c r="E8645" t="str">
        <f>HYPERLINK("https://patents.google.com/patent/US20120316784A1/en")</f>
        <v>https://patents.google.com/patent/US20120316784A1/en</v>
      </c>
    </row>
    <row r="8646" spans="3:5" x14ac:dyDescent="0.25">
      <c r="C8646" t="s">
        <v>15819</v>
      </c>
      <c r="D8646" t="s">
        <v>15820</v>
      </c>
      <c r="E8646" t="str">
        <f>HYPERLINK("https://patents.google.com/patent/KR101170686B1/en")</f>
        <v>https://patents.google.com/patent/KR101170686B1/en</v>
      </c>
    </row>
    <row r="8647" spans="3:5" x14ac:dyDescent="0.25">
      <c r="C8647" t="s">
        <v>15821</v>
      </c>
      <c r="D8647" t="s">
        <v>15822</v>
      </c>
      <c r="E8647" t="str">
        <f>HYPERLINK("https://patents.google.com/patent/CN102930246A/en")</f>
        <v>https://patents.google.com/patent/CN102930246A/en</v>
      </c>
    </row>
    <row r="8648" spans="3:5" x14ac:dyDescent="0.25">
      <c r="C8648" t="s">
        <v>15823</v>
      </c>
      <c r="D8648" t="s">
        <v>15824</v>
      </c>
      <c r="E8648" t="str">
        <f>HYPERLINK("https://patents.google.com/patent/WO2012072957A1/en")</f>
        <v>https://patents.google.com/patent/WO2012072957A1/en</v>
      </c>
    </row>
    <row r="8649" spans="3:5" x14ac:dyDescent="0.25">
      <c r="C8649" t="s">
        <v>15433</v>
      </c>
      <c r="D8649" t="s">
        <v>15825</v>
      </c>
      <c r="E8649" t="str">
        <f>HYPERLINK("https://patents.google.com/patent/WO2006126996A1/en")</f>
        <v>https://patents.google.com/patent/WO2006126996A1/en</v>
      </c>
    </row>
    <row r="8650" spans="3:5" x14ac:dyDescent="0.25">
      <c r="C8650" t="s">
        <v>15826</v>
      </c>
      <c r="D8650" t="s">
        <v>15827</v>
      </c>
      <c r="E8650" t="str">
        <f>HYPERLINK("https://patents.google.com/patent/CN101213553A/en")</f>
        <v>https://patents.google.com/patent/CN101213553A/en</v>
      </c>
    </row>
    <row r="8651" spans="3:5" x14ac:dyDescent="0.25">
      <c r="C8651" t="s">
        <v>15828</v>
      </c>
      <c r="D8651" t="s">
        <v>15829</v>
      </c>
      <c r="E8651" t="str">
        <f>HYPERLINK("https://patents.google.com/patent/KR20090077547A/en")</f>
        <v>https://patents.google.com/patent/KR20090077547A/en</v>
      </c>
    </row>
    <row r="8652" spans="3:5" x14ac:dyDescent="0.25">
      <c r="C8652" t="s">
        <v>15830</v>
      </c>
      <c r="D8652" t="s">
        <v>15831</v>
      </c>
      <c r="E8652" t="str">
        <f>HYPERLINK("https://patents.google.com/patent/US20160148417A1/en")</f>
        <v>https://patents.google.com/patent/US20160148417A1/en</v>
      </c>
    </row>
    <row r="8653" spans="3:5" x14ac:dyDescent="0.25">
      <c r="C8653" t="s">
        <v>15832</v>
      </c>
      <c r="D8653" t="s">
        <v>15833</v>
      </c>
      <c r="E8653" t="str">
        <f>HYPERLINK("https://patents.google.com/patent/US20150116106A1/en")</f>
        <v>https://patents.google.com/patent/US20150116106A1/en</v>
      </c>
    </row>
    <row r="8654" spans="3:5" x14ac:dyDescent="0.25">
      <c r="C8654" t="s">
        <v>15834</v>
      </c>
      <c r="D8654" t="s">
        <v>15835</v>
      </c>
      <c r="E8654" t="str">
        <f>HYPERLINK("https://patents.google.com/patent/US20170358087A1/en")</f>
        <v>https://patents.google.com/patent/US20170358087A1/en</v>
      </c>
    </row>
    <row r="8655" spans="3:5" x14ac:dyDescent="0.25">
      <c r="C8655" t="s">
        <v>15836</v>
      </c>
      <c r="D8655" t="s">
        <v>15837</v>
      </c>
      <c r="E8655" t="str">
        <f>HYPERLINK("https://patents.google.com/patent/ES2360912T3/en")</f>
        <v>https://patents.google.com/patent/ES2360912T3/en</v>
      </c>
    </row>
    <row r="8656" spans="3:5" x14ac:dyDescent="0.25">
      <c r="C8656" t="s">
        <v>15838</v>
      </c>
      <c r="D8656" t="s">
        <v>15839</v>
      </c>
      <c r="E8656" t="str">
        <f>HYPERLINK("https://patents.google.com/patent/FR3052084A1/en")</f>
        <v>https://patents.google.com/patent/FR3052084A1/en</v>
      </c>
    </row>
    <row r="8657" spans="3:5" x14ac:dyDescent="0.25">
      <c r="C8657" t="s">
        <v>15840</v>
      </c>
      <c r="D8657" t="s">
        <v>15841</v>
      </c>
      <c r="E8657" t="str">
        <f>HYPERLINK("https://patents.google.com/patent/CN108628321A/en")</f>
        <v>https://patents.google.com/patent/CN108628321A/en</v>
      </c>
    </row>
    <row r="8658" spans="3:5" x14ac:dyDescent="0.25">
      <c r="C8658" t="s">
        <v>15842</v>
      </c>
      <c r="D8658" t="s">
        <v>15843</v>
      </c>
      <c r="E8658" t="str">
        <f>HYPERLINK("https://patents.google.com/patent/US9945677B1/en")</f>
        <v>https://patents.google.com/patent/US9945677B1/en</v>
      </c>
    </row>
    <row r="8659" spans="3:5" x14ac:dyDescent="0.25">
      <c r="C8659" t="s">
        <v>15844</v>
      </c>
      <c r="D8659" t="s">
        <v>15845</v>
      </c>
      <c r="E8659" t="str">
        <f>HYPERLINK("https://patents.google.com/patent/US20170028564A1/en")</f>
        <v>https://patents.google.com/patent/US20170028564A1/en</v>
      </c>
    </row>
    <row r="8660" spans="3:5" x14ac:dyDescent="0.25">
      <c r="C8660" t="s">
        <v>15733</v>
      </c>
      <c r="D8660" t="s">
        <v>15846</v>
      </c>
      <c r="E8660" t="str">
        <f>HYPERLINK("https://patents.google.com/patent/CN204288415U/en")</f>
        <v>https://patents.google.com/patent/CN204288415U/en</v>
      </c>
    </row>
    <row r="8661" spans="3:5" x14ac:dyDescent="0.25">
      <c r="C8661" t="s">
        <v>15847</v>
      </c>
      <c r="D8661" t="s">
        <v>15848</v>
      </c>
      <c r="E8661" t="str">
        <f>HYPERLINK("https://patents.google.com/patent/CN203485200U/en")</f>
        <v>https://patents.google.com/patent/CN203485200U/en</v>
      </c>
    </row>
    <row r="8662" spans="3:5" x14ac:dyDescent="0.25">
      <c r="C8662" t="s">
        <v>15849</v>
      </c>
      <c r="D8662" t="s">
        <v>15850</v>
      </c>
      <c r="E8662" t="str">
        <f>HYPERLINK("https://patents.google.com/patent/CN101466070A/en")</f>
        <v>https://patents.google.com/patent/CN101466070A/en</v>
      </c>
    </row>
    <row r="8663" spans="3:5" x14ac:dyDescent="0.25">
      <c r="C8663" t="s">
        <v>15851</v>
      </c>
      <c r="D8663" t="s">
        <v>15852</v>
      </c>
      <c r="E8663" t="str">
        <f>HYPERLINK("https://patents.google.com/patent/CN104375417A/en")</f>
        <v>https://patents.google.com/patent/CN104375417A/en</v>
      </c>
    </row>
    <row r="8664" spans="3:5" x14ac:dyDescent="0.25">
      <c r="C8664" t="s">
        <v>15853</v>
      </c>
      <c r="D8664" t="s">
        <v>15854</v>
      </c>
      <c r="E8664" t="str">
        <f>HYPERLINK("https://patents.google.com/patent/FR2521056A1/en")</f>
        <v>https://patents.google.com/patent/FR2521056A1/en</v>
      </c>
    </row>
    <row r="8665" spans="3:5" x14ac:dyDescent="0.25">
      <c r="C8665" t="s">
        <v>15855</v>
      </c>
      <c r="D8665" t="s">
        <v>15856</v>
      </c>
      <c r="E8665" t="str">
        <f>HYPERLINK("https://patents.google.com/patent/JP2003118697A/en")</f>
        <v>https://patents.google.com/patent/JP2003118697A/en</v>
      </c>
    </row>
    <row r="8666" spans="3:5" x14ac:dyDescent="0.25">
      <c r="C8666" t="s">
        <v>6986</v>
      </c>
      <c r="D8666" t="s">
        <v>15857</v>
      </c>
      <c r="E8666" t="str">
        <f>HYPERLINK("https://patents.google.com/patent/CN1493379A/en")</f>
        <v>https://patents.google.com/patent/CN1493379A/en</v>
      </c>
    </row>
    <row r="8667" spans="3:5" x14ac:dyDescent="0.25">
      <c r="C8667" t="s">
        <v>15858</v>
      </c>
      <c r="D8667" t="s">
        <v>15859</v>
      </c>
      <c r="E8667" t="str">
        <f>HYPERLINK("https://patents.google.com/patent/US20120016599A1/en")</f>
        <v>https://patents.google.com/patent/US20120016599A1/en</v>
      </c>
    </row>
    <row r="8668" spans="3:5" x14ac:dyDescent="0.25">
      <c r="C8668" t="s">
        <v>15860</v>
      </c>
      <c r="D8668" t="s">
        <v>15861</v>
      </c>
      <c r="E8668" t="str">
        <f>HYPERLINK("https://patents.google.com/patent/EP1136192A2/en")</f>
        <v>https://patents.google.com/patent/EP1136192A2/en</v>
      </c>
    </row>
    <row r="8669" spans="3:5" x14ac:dyDescent="0.25">
      <c r="C8669" t="s">
        <v>15862</v>
      </c>
      <c r="D8669" t="s">
        <v>15863</v>
      </c>
      <c r="E8669" t="str">
        <f>HYPERLINK("https://patents.google.com/patent/CN104991488A/en")</f>
        <v>https://patents.google.com/patent/CN104991488A/en</v>
      </c>
    </row>
    <row r="8670" spans="3:5" x14ac:dyDescent="0.25">
      <c r="C8670" t="s">
        <v>15864</v>
      </c>
      <c r="D8670" t="s">
        <v>15865</v>
      </c>
      <c r="E8670" t="str">
        <f>HYPERLINK("https://patents.google.com/patent/CN102306234A/en")</f>
        <v>https://patents.google.com/patent/CN102306234A/en</v>
      </c>
    </row>
    <row r="8671" spans="3:5" x14ac:dyDescent="0.25">
      <c r="C8671" t="s">
        <v>15866</v>
      </c>
      <c r="D8671" t="s">
        <v>15867</v>
      </c>
      <c r="E8671" t="str">
        <f>HYPERLINK("https://patents.google.com/patent/KR100812724B1/en")</f>
        <v>https://patents.google.com/patent/KR100812724B1/en</v>
      </c>
    </row>
    <row r="8672" spans="3:5" x14ac:dyDescent="0.25">
      <c r="C8672" t="s">
        <v>15868</v>
      </c>
      <c r="D8672" t="s">
        <v>15869</v>
      </c>
      <c r="E8672" t="str">
        <f>HYPERLINK("https://patents.google.com/patent/CN204375021U/en")</f>
        <v>https://patents.google.com/patent/CN204375021U/en</v>
      </c>
    </row>
    <row r="8673" spans="3:5" x14ac:dyDescent="0.25">
      <c r="C8673" t="s">
        <v>15870</v>
      </c>
      <c r="D8673" t="s">
        <v>15871</v>
      </c>
      <c r="E8673" t="str">
        <f>HYPERLINK("https://patents.google.com/patent/US20160267720A1/en")</f>
        <v>https://patents.google.com/patent/US20160267720A1/en</v>
      </c>
    </row>
    <row r="8674" spans="3:5" x14ac:dyDescent="0.25">
      <c r="C8674" t="s">
        <v>15872</v>
      </c>
      <c r="D8674" t="s">
        <v>15873</v>
      </c>
      <c r="E8674" t="str">
        <f>HYPERLINK("https://patents.google.com/patent/WO2013071190A1/en")</f>
        <v>https://patents.google.com/patent/WO2013071190A1/en</v>
      </c>
    </row>
    <row r="8675" spans="3:5" x14ac:dyDescent="0.25">
      <c r="C8675" t="s">
        <v>15874</v>
      </c>
      <c r="D8675" t="s">
        <v>15875</v>
      </c>
      <c r="E8675" t="str">
        <f>HYPERLINK("https://patents.google.com/patent/WO2015059330A1/en")</f>
        <v>https://patents.google.com/patent/WO2015059330A1/en</v>
      </c>
    </row>
    <row r="8676" spans="3:5" x14ac:dyDescent="0.25">
      <c r="C8676" t="s">
        <v>15876</v>
      </c>
      <c r="D8676" t="s">
        <v>15877</v>
      </c>
      <c r="E8676" t="str">
        <f>HYPERLINK("https://patents.google.com/patent/CN203485197U/en")</f>
        <v>https://patents.google.com/patent/CN203485197U/en</v>
      </c>
    </row>
    <row r="8677" spans="3:5" x14ac:dyDescent="0.25">
      <c r="C8677" t="s">
        <v>15878</v>
      </c>
      <c r="D8677" t="s">
        <v>15879</v>
      </c>
      <c r="E8677" t="str">
        <f>HYPERLINK("https://patents.google.com/patent/CN104122890A/en")</f>
        <v>https://patents.google.com/patent/CN104122890A/en</v>
      </c>
    </row>
    <row r="8678" spans="3:5" x14ac:dyDescent="0.25">
      <c r="C8678" t="s">
        <v>15880</v>
      </c>
      <c r="D8678" t="s">
        <v>15881</v>
      </c>
      <c r="E8678" t="str">
        <f>HYPERLINK("https://patents.google.com/patent/WO2017130649A1/en")</f>
        <v>https://patents.google.com/patent/WO2017130649A1/en</v>
      </c>
    </row>
    <row r="8679" spans="3:5" x14ac:dyDescent="0.25">
      <c r="C8679" t="s">
        <v>15882</v>
      </c>
      <c r="D8679" t="s">
        <v>15883</v>
      </c>
      <c r="E8679" t="str">
        <f>HYPERLINK("https://patents.google.com/patent/JP5312659B1/en")</f>
        <v>https://patents.google.com/patent/JP5312659B1/en</v>
      </c>
    </row>
    <row r="8680" spans="3:5" x14ac:dyDescent="0.25">
      <c r="C8680" t="s">
        <v>15884</v>
      </c>
      <c r="D8680" t="s">
        <v>15885</v>
      </c>
      <c r="E8680" t="str">
        <f>HYPERLINK("https://patents.google.com/patent/CN207780562U/en")</f>
        <v>https://patents.google.com/patent/CN207780562U/en</v>
      </c>
    </row>
    <row r="8681" spans="3:5" x14ac:dyDescent="0.25">
      <c r="C8681" t="s">
        <v>15886</v>
      </c>
      <c r="D8681" t="s">
        <v>15887</v>
      </c>
      <c r="E8681" t="str">
        <f>HYPERLINK("https://patents.google.com/patent/CN106197681A/en")</f>
        <v>https://patents.google.com/patent/CN106197681A/en</v>
      </c>
    </row>
    <row r="8682" spans="3:5" x14ac:dyDescent="0.25">
      <c r="C8682" t="s">
        <v>15888</v>
      </c>
      <c r="D8682" t="s">
        <v>15889</v>
      </c>
      <c r="E8682" t="str">
        <f>HYPERLINK("https://patents.google.com/patent/JP2017047519A/en")</f>
        <v>https://patents.google.com/patent/JP2017047519A/en</v>
      </c>
    </row>
    <row r="8683" spans="3:5" x14ac:dyDescent="0.25">
      <c r="C8683" t="s">
        <v>15890</v>
      </c>
      <c r="D8683" t="s">
        <v>15891</v>
      </c>
      <c r="E8683" t="str">
        <f>HYPERLINK("https://patents.google.com/patent/CN101145238A/en")</f>
        <v>https://patents.google.com/patent/CN101145238A/en</v>
      </c>
    </row>
    <row r="8684" spans="3:5" x14ac:dyDescent="0.25">
      <c r="C8684" t="s">
        <v>15892</v>
      </c>
      <c r="D8684" t="s">
        <v>15893</v>
      </c>
      <c r="E8684" t="str">
        <f>HYPERLINK("https://patents.google.com/patent/DE102009013979A1/en")</f>
        <v>https://patents.google.com/patent/DE102009013979A1/en</v>
      </c>
    </row>
    <row r="8685" spans="3:5" x14ac:dyDescent="0.25">
      <c r="C8685" t="s">
        <v>15894</v>
      </c>
      <c r="D8685" t="s">
        <v>15895</v>
      </c>
      <c r="E8685" t="str">
        <f>HYPERLINK("https://patents.google.com/patent/CN101073531A/en")</f>
        <v>https://patents.google.com/patent/CN101073531A/en</v>
      </c>
    </row>
    <row r="8686" spans="3:5" x14ac:dyDescent="0.25">
      <c r="C8686" t="s">
        <v>15896</v>
      </c>
      <c r="D8686" t="s">
        <v>15897</v>
      </c>
      <c r="E8686" t="str">
        <f>HYPERLINK("https://patents.google.com/patent/JP2003127995A/en")</f>
        <v>https://patents.google.com/patent/JP2003127995A/en</v>
      </c>
    </row>
    <row r="8687" spans="3:5" x14ac:dyDescent="0.25">
      <c r="C8687" t="s">
        <v>15898</v>
      </c>
      <c r="D8687" t="s">
        <v>15899</v>
      </c>
      <c r="E8687" t="str">
        <f>HYPERLINK("https://patents.google.com/patent/US9894483B2/en")</f>
        <v>https://patents.google.com/patent/US9894483B2/en</v>
      </c>
    </row>
    <row r="8688" spans="3:5" x14ac:dyDescent="0.25">
      <c r="C8688" t="s">
        <v>15900</v>
      </c>
      <c r="D8688" t="s">
        <v>15901</v>
      </c>
      <c r="E8688" t="str">
        <f>HYPERLINK("https://patents.google.com/patent/JP2005275899A/en")</f>
        <v>https://patents.google.com/patent/JP2005275899A/en</v>
      </c>
    </row>
    <row r="8689" spans="3:5" x14ac:dyDescent="0.25">
      <c r="C8689" t="s">
        <v>15902</v>
      </c>
      <c r="D8689" t="s">
        <v>15903</v>
      </c>
      <c r="E8689" t="str">
        <f>HYPERLINK("https://patents.google.com/patent/US20170274256A1/en")</f>
        <v>https://patents.google.com/patent/US20170274256A1/en</v>
      </c>
    </row>
    <row r="8690" spans="3:5" x14ac:dyDescent="0.25">
      <c r="C8690" t="s">
        <v>15904</v>
      </c>
      <c r="D8690" t="s">
        <v>15905</v>
      </c>
      <c r="E8690" t="str">
        <f>HYPERLINK("https://patents.google.com/patent/CN202160198U/en")</f>
        <v>https://patents.google.com/patent/CN202160198U/en</v>
      </c>
    </row>
    <row r="8691" spans="3:5" x14ac:dyDescent="0.25">
      <c r="C8691" t="s">
        <v>15906</v>
      </c>
      <c r="D8691" t="s">
        <v>15907</v>
      </c>
      <c r="E8691" t="str">
        <f>HYPERLINK("https://patents.google.com/patent/JP2004040736A/en")</f>
        <v>https://patents.google.com/patent/JP2004040736A/en</v>
      </c>
    </row>
    <row r="8692" spans="3:5" x14ac:dyDescent="0.25">
      <c r="C8692" t="s">
        <v>15908</v>
      </c>
      <c r="D8692" t="s">
        <v>15909</v>
      </c>
      <c r="E8692" t="str">
        <f>HYPERLINK("https://patents.google.com/patent/US20050222711A1/en")</f>
        <v>https://patents.google.com/patent/US20050222711A1/en</v>
      </c>
    </row>
    <row r="8693" spans="3:5" x14ac:dyDescent="0.25">
      <c r="C8693" t="s">
        <v>15910</v>
      </c>
      <c r="D8693" t="s">
        <v>15911</v>
      </c>
      <c r="E8693" t="str">
        <f>HYPERLINK("https://patents.google.com/patent/CN204631521U/en")</f>
        <v>https://patents.google.com/patent/CN204631521U/en</v>
      </c>
    </row>
    <row r="8694" spans="3:5" x14ac:dyDescent="0.25">
      <c r="C8694" t="s">
        <v>15912</v>
      </c>
      <c r="D8694" t="s">
        <v>15913</v>
      </c>
      <c r="E8694" t="str">
        <f>HYPERLINK("https://patents.google.com/patent/US20160023081A1/en")</f>
        <v>https://patents.google.com/patent/US20160023081A1/en</v>
      </c>
    </row>
    <row r="8695" spans="3:5" x14ac:dyDescent="0.25">
      <c r="C8695" t="s">
        <v>15914</v>
      </c>
      <c r="D8695" t="s">
        <v>15915</v>
      </c>
      <c r="E8695" t="str">
        <f>HYPERLINK("https://patents.google.com/patent/CN205540275U/en")</f>
        <v>https://patents.google.com/patent/CN205540275U/en</v>
      </c>
    </row>
    <row r="8696" spans="3:5" x14ac:dyDescent="0.25">
      <c r="C8696" t="s">
        <v>15417</v>
      </c>
      <c r="D8696" t="s">
        <v>15916</v>
      </c>
      <c r="E8696" t="str">
        <f>HYPERLINK("https://patents.google.com/patent/JP5606653B1/en")</f>
        <v>https://patents.google.com/patent/JP5606653B1/en</v>
      </c>
    </row>
    <row r="8697" spans="3:5" x14ac:dyDescent="0.25">
      <c r="C8697" t="s">
        <v>15917</v>
      </c>
      <c r="D8697" t="s">
        <v>15918</v>
      </c>
      <c r="E8697" t="str">
        <f>HYPERLINK("https://patents.google.com/patent/CN1464856A/en")</f>
        <v>https://patents.google.com/patent/CN1464856A/en</v>
      </c>
    </row>
    <row r="8698" spans="3:5" x14ac:dyDescent="0.25">
      <c r="C8698" t="s">
        <v>15919</v>
      </c>
      <c r="D8698" t="s">
        <v>15920</v>
      </c>
      <c r="E8698" t="str">
        <f>HYPERLINK("https://patents.google.com/patent/CN1812051A/en")</f>
        <v>https://patents.google.com/patent/CN1812051A/en</v>
      </c>
    </row>
    <row r="8699" spans="3:5" x14ac:dyDescent="0.25">
      <c r="C8699" t="s">
        <v>15921</v>
      </c>
      <c r="D8699" t="s">
        <v>15922</v>
      </c>
      <c r="E8699" t="str">
        <f>HYPERLINK("https://patents.google.com/patent/CN101999882A/en")</f>
        <v>https://patents.google.com/patent/CN101999882A/en</v>
      </c>
    </row>
    <row r="8700" spans="3:5" x14ac:dyDescent="0.25">
      <c r="C8700" t="s">
        <v>15923</v>
      </c>
      <c r="D8700" t="s">
        <v>15924</v>
      </c>
      <c r="E8700" t="str">
        <f>HYPERLINK("https://patents.google.com/patent/CN203720654U/en")</f>
        <v>https://patents.google.com/patent/CN203720654U/en</v>
      </c>
    </row>
    <row r="8701" spans="3:5" x14ac:dyDescent="0.25">
      <c r="C8701" t="s">
        <v>15925</v>
      </c>
      <c r="D8701" t="s">
        <v>15926</v>
      </c>
      <c r="E8701" t="str">
        <f>HYPERLINK("https://patents.google.com/patent/CN202866371U/en")</f>
        <v>https://patents.google.com/patent/CN202866371U/en</v>
      </c>
    </row>
    <row r="8702" spans="3:5" x14ac:dyDescent="0.25">
      <c r="C8702" t="s">
        <v>15927</v>
      </c>
      <c r="D8702" t="s">
        <v>15928</v>
      </c>
      <c r="E8702" t="str">
        <f>HYPERLINK("https://patents.google.com/patent/JP2005186220A/en")</f>
        <v>https://patents.google.com/patent/JP2005186220A/en</v>
      </c>
    </row>
    <row r="8703" spans="3:5" x14ac:dyDescent="0.25">
      <c r="C8703" t="s">
        <v>15929</v>
      </c>
      <c r="D8703" t="s">
        <v>15930</v>
      </c>
      <c r="E8703" t="str">
        <f>HYPERLINK("https://patents.google.com/patent/US8830320B2/en")</f>
        <v>https://patents.google.com/patent/US8830320B2/en</v>
      </c>
    </row>
    <row r="8704" spans="3:5" x14ac:dyDescent="0.25">
      <c r="C8704" t="s">
        <v>15931</v>
      </c>
      <c r="D8704" t="s">
        <v>15932</v>
      </c>
      <c r="E8704" t="str">
        <f>HYPERLINK("https://patents.google.com/patent/JP2001282539A/en")</f>
        <v>https://patents.google.com/patent/JP2001282539A/en</v>
      </c>
    </row>
    <row r="8705" spans="3:5" x14ac:dyDescent="0.25">
      <c r="C8705" t="s">
        <v>15933</v>
      </c>
      <c r="D8705" t="s">
        <v>15934</v>
      </c>
      <c r="E8705" t="str">
        <f>HYPERLINK("https://patents.google.com/patent/CN105261060A/en")</f>
        <v>https://patents.google.com/patent/CN105261060A/en</v>
      </c>
    </row>
    <row r="8706" spans="3:5" x14ac:dyDescent="0.25">
      <c r="C8706" t="s">
        <v>15935</v>
      </c>
      <c r="D8706" t="s">
        <v>15936</v>
      </c>
      <c r="E8706" t="str">
        <f>HYPERLINK("https://patents.google.com/patent/KR101272422B1/en")</f>
        <v>https://patents.google.com/patent/KR101272422B1/en</v>
      </c>
    </row>
    <row r="8707" spans="3:5" x14ac:dyDescent="0.25">
      <c r="C8707" t="s">
        <v>15937</v>
      </c>
      <c r="D8707" t="s">
        <v>15938</v>
      </c>
      <c r="E8707" t="str">
        <f>HYPERLINK("https://patents.google.com/patent/US20150116691A1/en")</f>
        <v>https://patents.google.com/patent/US20150116691A1/en</v>
      </c>
    </row>
    <row r="8708" spans="3:5" x14ac:dyDescent="0.25">
      <c r="C8708" t="s">
        <v>15939</v>
      </c>
      <c r="D8708" t="s">
        <v>15940</v>
      </c>
      <c r="E8708" t="str">
        <f>HYPERLINK("https://patents.google.com/patent/CN104122843A/en")</f>
        <v>https://patents.google.com/patent/CN104122843A/en</v>
      </c>
    </row>
    <row r="8709" spans="3:5" x14ac:dyDescent="0.25">
      <c r="C8709" t="s">
        <v>15941</v>
      </c>
      <c r="D8709" t="s">
        <v>15942</v>
      </c>
      <c r="E8709" t="str">
        <f>HYPERLINK("https://patents.google.com/patent/JP2006072612A/en")</f>
        <v>https://patents.google.com/patent/JP2006072612A/en</v>
      </c>
    </row>
    <row r="8710" spans="3:5" x14ac:dyDescent="0.25">
      <c r="C8710" t="s">
        <v>15943</v>
      </c>
      <c r="D8710" t="s">
        <v>15944</v>
      </c>
      <c r="E8710" t="str">
        <f>HYPERLINK("https://patents.google.com/patent/WO2014108907A1/en")</f>
        <v>https://patents.google.com/patent/WO2014108907A1/en</v>
      </c>
    </row>
    <row r="8711" spans="3:5" x14ac:dyDescent="0.25">
      <c r="C8711" t="s">
        <v>15945</v>
      </c>
      <c r="D8711" t="s">
        <v>15946</v>
      </c>
      <c r="E8711" t="str">
        <f>HYPERLINK("https://patents.google.com/patent/CN204287943U/en")</f>
        <v>https://patents.google.com/patent/CN204287943U/en</v>
      </c>
    </row>
    <row r="8712" spans="3:5" x14ac:dyDescent="0.25">
      <c r="C8712" t="s">
        <v>15947</v>
      </c>
      <c r="D8712" t="s">
        <v>15948</v>
      </c>
      <c r="E8712" t="str">
        <f>HYPERLINK("https://patents.google.com/patent/US10016897B2/en")</f>
        <v>https://patents.google.com/patent/US10016897B2/en</v>
      </c>
    </row>
    <row r="8713" spans="3:5" x14ac:dyDescent="0.25">
      <c r="C8713" t="s">
        <v>15949</v>
      </c>
      <c r="D8713" t="s">
        <v>15950</v>
      </c>
      <c r="E8713" t="str">
        <f>HYPERLINK("https://patents.google.com/patent/CN206461228U/en")</f>
        <v>https://patents.google.com/patent/CN206461228U/en</v>
      </c>
    </row>
    <row r="8714" spans="3:5" x14ac:dyDescent="0.25">
      <c r="C8714" t="s">
        <v>15951</v>
      </c>
      <c r="D8714" t="s">
        <v>15952</v>
      </c>
      <c r="E8714" t="str">
        <f>HYPERLINK("https://patents.google.com/patent/CN204856222U/en")</f>
        <v>https://patents.google.com/patent/CN204856222U/en</v>
      </c>
    </row>
    <row r="8715" spans="3:5" x14ac:dyDescent="0.25">
      <c r="C8715" t="s">
        <v>15953</v>
      </c>
      <c r="D8715" t="s">
        <v>15954</v>
      </c>
      <c r="E8715" t="str">
        <f>HYPERLINK("https://patents.google.com/patent/CN205608521U/en")</f>
        <v>https://patents.google.com/patent/CN205608521U/en</v>
      </c>
    </row>
    <row r="8716" spans="3:5" x14ac:dyDescent="0.25">
      <c r="C8716" t="s">
        <v>15955</v>
      </c>
      <c r="D8716" t="s">
        <v>15956</v>
      </c>
      <c r="E8716" t="str">
        <f>HYPERLINK("https://patents.google.com/patent/US20160117811A1/en")</f>
        <v>https://patents.google.com/patent/US20160117811A1/en</v>
      </c>
    </row>
    <row r="8717" spans="3:5" x14ac:dyDescent="0.25">
      <c r="C8717" t="s">
        <v>15957</v>
      </c>
      <c r="D8717" t="s">
        <v>15958</v>
      </c>
      <c r="E8717" t="str">
        <f>HYPERLINK("https://patents.google.com/patent/CN205911826U/en")</f>
        <v>https://patents.google.com/patent/CN205911826U/en</v>
      </c>
    </row>
    <row r="8718" spans="3:5" x14ac:dyDescent="0.25">
      <c r="C8718" t="s">
        <v>15959</v>
      </c>
      <c r="D8718" t="s">
        <v>15960</v>
      </c>
      <c r="E8718" t="str">
        <f>HYPERLINK("https://patents.google.com/patent/CN105807773A/en")</f>
        <v>https://patents.google.com/patent/CN105807773A/en</v>
      </c>
    </row>
    <row r="8719" spans="3:5" x14ac:dyDescent="0.25">
      <c r="C8719" t="s">
        <v>15961</v>
      </c>
      <c r="D8719" t="s">
        <v>15962</v>
      </c>
      <c r="E8719" t="str">
        <f>HYPERLINK("https://patents.google.com/patent/US9810767B1/en")</f>
        <v>https://patents.google.com/patent/US9810767B1/en</v>
      </c>
    </row>
    <row r="8720" spans="3:5" x14ac:dyDescent="0.25">
      <c r="C8720" t="s">
        <v>15963</v>
      </c>
      <c r="D8720" t="s">
        <v>15964</v>
      </c>
      <c r="E8720" t="str">
        <f>HYPERLINK("https://patents.google.com/patent/CN204856206U/en")</f>
        <v>https://patents.google.com/patent/CN204856206U/en</v>
      </c>
    </row>
    <row r="8721" spans="3:5" x14ac:dyDescent="0.25">
      <c r="C8721" t="s">
        <v>15965</v>
      </c>
      <c r="D8721" t="s">
        <v>15966</v>
      </c>
      <c r="E8721" t="str">
        <f>HYPERLINK("https://patents.google.com/patent/CN206077080U/en")</f>
        <v>https://patents.google.com/patent/CN206077080U/en</v>
      </c>
    </row>
    <row r="8722" spans="3:5" x14ac:dyDescent="0.25">
      <c r="C8722" t="s">
        <v>15967</v>
      </c>
      <c r="D8722" t="s">
        <v>15968</v>
      </c>
      <c r="E8722" t="str">
        <f>HYPERLINK("https://patents.google.com/patent/CN207889856U/en")</f>
        <v>https://patents.google.com/patent/CN207889856U/en</v>
      </c>
    </row>
    <row r="8723" spans="3:5" x14ac:dyDescent="0.25">
      <c r="C8723" t="s">
        <v>15969</v>
      </c>
      <c r="D8723" t="s">
        <v>15970</v>
      </c>
      <c r="E8723" t="str">
        <f>HYPERLINK("https://patents.google.com/patent/CN206261558U/en")</f>
        <v>https://patents.google.com/patent/CN206261558U/en</v>
      </c>
    </row>
    <row r="8724" spans="3:5" x14ac:dyDescent="0.25">
      <c r="C8724" t="s">
        <v>15417</v>
      </c>
      <c r="D8724" t="s">
        <v>15971</v>
      </c>
      <c r="E8724" t="str">
        <f>HYPERLINK("https://patents.google.com/patent/JP5536293B1/en")</f>
        <v>https://patents.google.com/patent/JP5536293B1/en</v>
      </c>
    </row>
    <row r="8725" spans="3:5" x14ac:dyDescent="0.25">
      <c r="C8725" t="s">
        <v>15972</v>
      </c>
      <c r="D8725" t="s">
        <v>15973</v>
      </c>
      <c r="E8725" t="str">
        <f>HYPERLINK("https://patents.google.com/patent/KR100552367B1/en")</f>
        <v>https://patents.google.com/patent/KR100552367B1/en</v>
      </c>
    </row>
    <row r="8726" spans="3:5" x14ac:dyDescent="0.25">
      <c r="C8726" t="s">
        <v>15974</v>
      </c>
      <c r="D8726" t="s">
        <v>15975</v>
      </c>
      <c r="E8726" t="str">
        <f>HYPERLINK("https://patents.google.com/patent/WO2017079918A1/en")</f>
        <v>https://patents.google.com/patent/WO2017079918A1/en</v>
      </c>
    </row>
    <row r="8727" spans="3:5" x14ac:dyDescent="0.25">
      <c r="C8727" t="s">
        <v>15976</v>
      </c>
      <c r="D8727" t="s">
        <v>15977</v>
      </c>
      <c r="E8727" t="str">
        <f>HYPERLINK("https://patents.google.com/patent/CN206712306U/en")</f>
        <v>https://patents.google.com/patent/CN206712306U/en</v>
      </c>
    </row>
    <row r="8728" spans="3:5" x14ac:dyDescent="0.25">
      <c r="C8728" t="s">
        <v>15525</v>
      </c>
      <c r="D8728" t="s">
        <v>15978</v>
      </c>
      <c r="E8728" t="str">
        <f>HYPERLINK("https://patents.google.com/patent/CN207344563U/en")</f>
        <v>https://patents.google.com/patent/CN207344563U/en</v>
      </c>
    </row>
    <row r="8729" spans="3:5" x14ac:dyDescent="0.25">
      <c r="C8729" t="s">
        <v>15979</v>
      </c>
      <c r="D8729" t="s">
        <v>15980</v>
      </c>
      <c r="E8729" t="str">
        <f>HYPERLINK("https://patents.google.com/patent/US20170075962A1/en")</f>
        <v>https://patents.google.com/patent/US20170075962A1/en</v>
      </c>
    </row>
    <row r="8730" spans="3:5" x14ac:dyDescent="0.25">
      <c r="C8730" t="s">
        <v>15981</v>
      </c>
      <c r="D8730" t="s">
        <v>15982</v>
      </c>
      <c r="E8730" t="str">
        <f>HYPERLINK("https://patents.google.com/patent/CN104714551B/en")</f>
        <v>https://patents.google.com/patent/CN104714551B/en</v>
      </c>
    </row>
    <row r="8731" spans="3:5" x14ac:dyDescent="0.25">
      <c r="C8731" t="s">
        <v>15983</v>
      </c>
      <c r="D8731" t="s">
        <v>15984</v>
      </c>
      <c r="E8731" t="str">
        <f>HYPERLINK("https://patents.google.com/patent/JP2005010244A/en")</f>
        <v>https://patents.google.com/patent/JP2005010244A/en</v>
      </c>
    </row>
    <row r="8732" spans="3:5" x14ac:dyDescent="0.25">
      <c r="C8732" t="s">
        <v>15974</v>
      </c>
      <c r="D8732" t="s">
        <v>15985</v>
      </c>
      <c r="E8732" t="str">
        <f>HYPERLINK("https://patents.google.com/patent/CN105427293A/en")</f>
        <v>https://patents.google.com/patent/CN105427293A/en</v>
      </c>
    </row>
    <row r="8733" spans="3:5" x14ac:dyDescent="0.25">
      <c r="C8733" t="s">
        <v>15986</v>
      </c>
      <c r="D8733" t="s">
        <v>15987</v>
      </c>
      <c r="E8733" t="str">
        <f>HYPERLINK("https://patents.google.com/patent/CN108375962A/en")</f>
        <v>https://patents.google.com/patent/CN108375962A/en</v>
      </c>
    </row>
    <row r="8734" spans="3:5" x14ac:dyDescent="0.25">
      <c r="C8734" t="s">
        <v>15988</v>
      </c>
      <c r="D8734" t="s">
        <v>15989</v>
      </c>
      <c r="E8734" t="str">
        <f>HYPERLINK("https://patents.google.com/patent/CN206282412U/en")</f>
        <v>https://patents.google.com/patent/CN206282412U/en</v>
      </c>
    </row>
    <row r="8735" spans="3:5" x14ac:dyDescent="0.25">
      <c r="C8735" t="s">
        <v>15990</v>
      </c>
      <c r="D8735" t="s">
        <v>15991</v>
      </c>
      <c r="E8735" t="str">
        <f>HYPERLINK("https://patents.google.com/patent/CN106444588A/en")</f>
        <v>https://patents.google.com/patent/CN106444588A/en</v>
      </c>
    </row>
    <row r="8736" spans="3:5" x14ac:dyDescent="0.25">
      <c r="C8736" t="s">
        <v>15992</v>
      </c>
      <c r="D8736" t="s">
        <v>15993</v>
      </c>
      <c r="E8736" t="str">
        <f>HYPERLINK("https://patents.google.com/patent/CN108527399A/en")</f>
        <v>https://patents.google.com/patent/CN108527399A/en</v>
      </c>
    </row>
    <row r="8737" spans="3:5" x14ac:dyDescent="0.25">
      <c r="C8737" t="s">
        <v>15994</v>
      </c>
      <c r="D8737" t="s">
        <v>15995</v>
      </c>
      <c r="E8737" t="str">
        <f>HYPERLINK("https://patents.google.com/patent/CN106787177A/en")</f>
        <v>https://patents.google.com/patent/CN106787177A/en</v>
      </c>
    </row>
    <row r="8738" spans="3:5" x14ac:dyDescent="0.25">
      <c r="C8738" t="s">
        <v>15996</v>
      </c>
      <c r="D8738" t="s">
        <v>15997</v>
      </c>
      <c r="E8738" t="str">
        <f>HYPERLINK("https://patents.google.com/patent/ES2684847A1/en")</f>
        <v>https://patents.google.com/patent/ES2684847A1/en</v>
      </c>
    </row>
    <row r="8739" spans="3:5" x14ac:dyDescent="0.25">
      <c r="C8739" t="s">
        <v>15998</v>
      </c>
      <c r="D8739" t="s">
        <v>15999</v>
      </c>
      <c r="E8739" t="str">
        <f>HYPERLINK("https://patents.google.com/patent/CN104965518A/en")</f>
        <v>https://patents.google.com/patent/CN104965518A/en</v>
      </c>
    </row>
    <row r="8740" spans="3:5" x14ac:dyDescent="0.25">
      <c r="C8740" t="s">
        <v>16000</v>
      </c>
      <c r="D8740" t="s">
        <v>16001</v>
      </c>
      <c r="E8740" t="str">
        <f>HYPERLINK("https://patents.google.com/patent/CN107145153A/en")</f>
        <v>https://patents.google.com/patent/CN107145153A/en</v>
      </c>
    </row>
    <row r="8741" spans="3:5" x14ac:dyDescent="0.25">
      <c r="C8741" t="s">
        <v>16002</v>
      </c>
      <c r="D8741" t="s">
        <v>16003</v>
      </c>
      <c r="E8741" t="str">
        <f>HYPERLINK("https://patents.google.com/patent/CN206982675U/en")</f>
        <v>https://patents.google.com/patent/CN206982675U/en</v>
      </c>
    </row>
    <row r="8742" spans="3:5" x14ac:dyDescent="0.25">
      <c r="C8742" t="s">
        <v>16004</v>
      </c>
      <c r="D8742" t="s">
        <v>16005</v>
      </c>
      <c r="E8742" t="str">
        <f>HYPERLINK("https://patents.google.com/patent/CN204883369U/en")</f>
        <v>https://patents.google.com/patent/CN204883369U/en</v>
      </c>
    </row>
    <row r="8743" spans="3:5" x14ac:dyDescent="0.25">
      <c r="C8743" t="s">
        <v>16006</v>
      </c>
      <c r="D8743" t="s">
        <v>16007</v>
      </c>
      <c r="E8743" t="str">
        <f>HYPERLINK("https://patents.google.com/patent/US20150077564A1/en")</f>
        <v>https://patents.google.com/patent/US20150077564A1/en</v>
      </c>
    </row>
    <row r="8744" spans="3:5" x14ac:dyDescent="0.25">
      <c r="C8744" t="s">
        <v>16008</v>
      </c>
      <c r="D8744" t="s">
        <v>16009</v>
      </c>
      <c r="E8744" t="str">
        <f>HYPERLINK("https://patents.google.com/patent/KR20160003553A/en")</f>
        <v>https://patents.google.com/patent/KR20160003553A/en</v>
      </c>
    </row>
    <row r="8745" spans="3:5" x14ac:dyDescent="0.25">
      <c r="C8745" t="s">
        <v>15945</v>
      </c>
      <c r="D8745" t="s">
        <v>16010</v>
      </c>
      <c r="E8745" t="str">
        <f>HYPERLINK("https://patents.google.com/patent/CN105759743A/en")</f>
        <v>https://patents.google.com/patent/CN105759743A/en</v>
      </c>
    </row>
    <row r="8746" spans="3:5" x14ac:dyDescent="0.25">
      <c r="C8746" t="s">
        <v>6355</v>
      </c>
      <c r="D8746" t="s">
        <v>16011</v>
      </c>
      <c r="E8746" t="str">
        <f>HYPERLINK("https://patents.google.com/patent/EP0955132A2/en")</f>
        <v>https://patents.google.com/patent/EP0955132A2/en</v>
      </c>
    </row>
    <row r="8747" spans="3:5" x14ac:dyDescent="0.25">
      <c r="C8747" t="s">
        <v>16012</v>
      </c>
      <c r="D8747" t="s">
        <v>16013</v>
      </c>
      <c r="E8747" t="str">
        <f>HYPERLINK("https://patents.google.com/patent/US10012996B1/en")</f>
        <v>https://patents.google.com/patent/US10012996B1/en</v>
      </c>
    </row>
    <row r="8748" spans="3:5" x14ac:dyDescent="0.25">
      <c r="C8748" t="s">
        <v>16014</v>
      </c>
      <c r="D8748" t="s">
        <v>16015</v>
      </c>
      <c r="E8748" t="str">
        <f>HYPERLINK("https://patents.google.com/patent/US9947023B2/en")</f>
        <v>https://patents.google.com/patent/US9947023B2/en</v>
      </c>
    </row>
    <row r="8749" spans="3:5" x14ac:dyDescent="0.25">
      <c r="C8749" t="s">
        <v>16016</v>
      </c>
      <c r="D8749" t="s">
        <v>16017</v>
      </c>
      <c r="E8749" t="str">
        <f>HYPERLINK("https://patents.google.com/patent/CN1420488A/en")</f>
        <v>https://patents.google.com/patent/CN1420488A/en</v>
      </c>
    </row>
    <row r="8750" spans="3:5" x14ac:dyDescent="0.25">
      <c r="C8750" t="s">
        <v>16018</v>
      </c>
      <c r="D8750" t="s">
        <v>16019</v>
      </c>
      <c r="E8750" t="str">
        <f>HYPERLINK("https://patents.google.com/patent/CN207028823U/en")</f>
        <v>https://patents.google.com/patent/CN207028823U/en</v>
      </c>
    </row>
    <row r="8751" spans="3:5" x14ac:dyDescent="0.25">
      <c r="C8751" t="s">
        <v>16020</v>
      </c>
      <c r="D8751" t="s">
        <v>16021</v>
      </c>
      <c r="E8751" t="str">
        <f>HYPERLINK("https://patents.google.com/patent/CN205378109U/en")</f>
        <v>https://patents.google.com/patent/CN205378109U/en</v>
      </c>
    </row>
    <row r="8752" spans="3:5" x14ac:dyDescent="0.25">
      <c r="C8752" t="s">
        <v>16022</v>
      </c>
      <c r="D8752" t="s">
        <v>16023</v>
      </c>
      <c r="E8752" t="str">
        <f>HYPERLINK("https://patents.google.com/patent/CN205685324U/en")</f>
        <v>https://patents.google.com/patent/CN205685324U/en</v>
      </c>
    </row>
    <row r="8753" spans="3:5" x14ac:dyDescent="0.25">
      <c r="C8753" t="s">
        <v>16024</v>
      </c>
      <c r="D8753" t="s">
        <v>16025</v>
      </c>
      <c r="E8753" t="str">
        <f>HYPERLINK("https://patents.google.com/patent/CN207835156U/en")</f>
        <v>https://patents.google.com/patent/CN207835156U/en</v>
      </c>
    </row>
    <row r="8754" spans="3:5" x14ac:dyDescent="0.25">
      <c r="C8754" t="s">
        <v>16026</v>
      </c>
      <c r="D8754" t="s">
        <v>16027</v>
      </c>
      <c r="E8754" t="str">
        <f>HYPERLINK("https://patents.google.com/patent/RU2658466C1/en")</f>
        <v>https://patents.google.com/patent/RU2658466C1/en</v>
      </c>
    </row>
    <row r="8755" spans="3:5" x14ac:dyDescent="0.25">
      <c r="C8755" t="s">
        <v>15406</v>
      </c>
      <c r="D8755" t="s">
        <v>16028</v>
      </c>
      <c r="E8755" t="str">
        <f>HYPERLINK("https://patents.google.com/patent/CA2928262C/en")</f>
        <v>https://patents.google.com/patent/CA2928262C/en</v>
      </c>
    </row>
    <row r="8756" spans="3:5" x14ac:dyDescent="0.25">
      <c r="C8756" t="s">
        <v>16029</v>
      </c>
      <c r="D8756" t="s">
        <v>16030</v>
      </c>
      <c r="E8756" t="str">
        <f>HYPERLINK("https://patents.google.com/patent/JP4367862B2/en")</f>
        <v>https://patents.google.com/patent/JP4367862B2/en</v>
      </c>
    </row>
    <row r="8757" spans="3:5" x14ac:dyDescent="0.25">
      <c r="C8757" t="s">
        <v>16031</v>
      </c>
      <c r="D8757" t="s">
        <v>16032</v>
      </c>
      <c r="E8757" t="str">
        <f>HYPERLINK("https://patents.google.com/patent/KR101762475B1/en")</f>
        <v>https://patents.google.com/patent/KR101762475B1/en</v>
      </c>
    </row>
    <row r="8758" spans="3:5" x14ac:dyDescent="0.25">
      <c r="C8758" t="s">
        <v>16033</v>
      </c>
      <c r="D8758" t="s">
        <v>16034</v>
      </c>
      <c r="E8758" t="str">
        <f>HYPERLINK("https://patents.google.com/patent/KR101889225B1/en")</f>
        <v>https://patents.google.com/patent/KR101889225B1/en</v>
      </c>
    </row>
    <row r="8759" spans="3:5" x14ac:dyDescent="0.25">
      <c r="C8759" t="s">
        <v>16035</v>
      </c>
      <c r="D8759" t="s">
        <v>16036</v>
      </c>
      <c r="E8759" t="str">
        <f>HYPERLINK("https://patents.google.com/patent/CN106325245A/en")</f>
        <v>https://patents.google.com/patent/CN106325245A/en</v>
      </c>
    </row>
    <row r="8760" spans="3:5" x14ac:dyDescent="0.25">
      <c r="C8760" t="s">
        <v>16037</v>
      </c>
      <c r="D8760" t="s">
        <v>16038</v>
      </c>
      <c r="E8760" t="str">
        <f>HYPERLINK("https://patents.google.com/patent/CN106891716A/en")</f>
        <v>https://patents.google.com/patent/CN106891716A/en</v>
      </c>
    </row>
    <row r="8761" spans="3:5" x14ac:dyDescent="0.25">
      <c r="C8761" t="s">
        <v>16039</v>
      </c>
      <c r="D8761" t="s">
        <v>16040</v>
      </c>
      <c r="E8761" t="str">
        <f>HYPERLINK("https://patents.google.com/patent/CN106078745A/en")</f>
        <v>https://patents.google.com/patent/CN106078745A/en</v>
      </c>
    </row>
    <row r="8762" spans="3:5" x14ac:dyDescent="0.25">
      <c r="C8762" t="s">
        <v>16041</v>
      </c>
      <c r="D8762" t="s">
        <v>16042</v>
      </c>
      <c r="E8762" t="str">
        <f>HYPERLINK("https://patents.google.com/patent/CN104144326A/en")</f>
        <v>https://patents.google.com/patent/CN104144326A/en</v>
      </c>
    </row>
    <row r="8763" spans="3:5" x14ac:dyDescent="0.25">
      <c r="C8763" t="s">
        <v>16043</v>
      </c>
      <c r="D8763" t="s">
        <v>16044</v>
      </c>
      <c r="E8763" t="str">
        <f>HYPERLINK("https://patents.google.com/patent/CN107425454A/en")</f>
        <v>https://patents.google.com/patent/CN107425454A/en</v>
      </c>
    </row>
    <row r="8764" spans="3:5" x14ac:dyDescent="0.25">
      <c r="C8764" t="s">
        <v>16045</v>
      </c>
      <c r="D8764" t="s">
        <v>16046</v>
      </c>
      <c r="E8764" t="str">
        <f>HYPERLINK("https://patents.google.com/patent/US20180206069A1/en")</f>
        <v>https://patents.google.com/patent/US20180206069A1/en</v>
      </c>
    </row>
    <row r="8765" spans="3:5" x14ac:dyDescent="0.25">
      <c r="C8765" t="s">
        <v>16047</v>
      </c>
      <c r="D8765" t="s">
        <v>16048</v>
      </c>
      <c r="E8765" t="str">
        <f>HYPERLINK("https://patents.google.com/patent/CN205666910U/en")</f>
        <v>https://patents.google.com/patent/CN205666910U/en</v>
      </c>
    </row>
    <row r="8766" spans="3:5" x14ac:dyDescent="0.25">
      <c r="C8766" t="s">
        <v>16049</v>
      </c>
      <c r="D8766" t="s">
        <v>16050</v>
      </c>
      <c r="E8766" t="str">
        <f>HYPERLINK("https://patents.google.com/patent/CN105871071A/en")</f>
        <v>https://patents.google.com/patent/CN105871071A/en</v>
      </c>
    </row>
    <row r="8767" spans="3:5" x14ac:dyDescent="0.25">
      <c r="C8767" t="s">
        <v>16051</v>
      </c>
      <c r="D8767" t="s">
        <v>16052</v>
      </c>
      <c r="E8767" t="str">
        <f>HYPERLINK("https://patents.google.com/patent/CN106980320A/en")</f>
        <v>https://patents.google.com/patent/CN106980320A/en</v>
      </c>
    </row>
    <row r="8768" spans="3:5" x14ac:dyDescent="0.25">
      <c r="C8768" t="s">
        <v>16053</v>
      </c>
      <c r="D8768" t="s">
        <v>16054</v>
      </c>
      <c r="E8768" t="str">
        <f>HYPERLINK("https://patents.google.com/patent/CN107677285A/en")</f>
        <v>https://patents.google.com/patent/CN107677285A/en</v>
      </c>
    </row>
    <row r="8769" spans="3:5" x14ac:dyDescent="0.25">
      <c r="C8769" t="s">
        <v>16055</v>
      </c>
      <c r="D8769" t="s">
        <v>16056</v>
      </c>
      <c r="E8769" t="str">
        <f>HYPERLINK("https://patents.google.com/patent/CN100574835C/en")</f>
        <v>https://patents.google.com/patent/CN100574835C/en</v>
      </c>
    </row>
    <row r="8770" spans="3:5" x14ac:dyDescent="0.25">
      <c r="C8770" t="s">
        <v>16057</v>
      </c>
      <c r="D8770" t="s">
        <v>16058</v>
      </c>
      <c r="E8770" t="str">
        <f>HYPERLINK("https://patents.google.com/patent/KR20050108583A/en")</f>
        <v>https://patents.google.com/patent/KR20050108583A/en</v>
      </c>
    </row>
    <row r="8771" spans="3:5" x14ac:dyDescent="0.25">
      <c r="C8771" t="s">
        <v>16059</v>
      </c>
      <c r="D8771" t="s">
        <v>16060</v>
      </c>
      <c r="E8771" t="str">
        <f>HYPERLINK("https://patents.google.com/patent/WO2018176668A1/en")</f>
        <v>https://patents.google.com/patent/WO2018176668A1/en</v>
      </c>
    </row>
    <row r="8772" spans="3:5" x14ac:dyDescent="0.25">
      <c r="C8772" t="s">
        <v>16061</v>
      </c>
      <c r="D8772" t="s">
        <v>16062</v>
      </c>
      <c r="E8772" t="str">
        <f>HYPERLINK("https://patents.google.com/patent/CN106507285A/en")</f>
        <v>https://patents.google.com/patent/CN106507285A/en</v>
      </c>
    </row>
    <row r="8773" spans="3:5" x14ac:dyDescent="0.25">
      <c r="C8773" t="s">
        <v>16063</v>
      </c>
      <c r="D8773" t="s">
        <v>16064</v>
      </c>
      <c r="E8773" t="str">
        <f>HYPERLINK("https://patents.google.com/patent/CN206552145U/en")</f>
        <v>https://patents.google.com/patent/CN206552145U/en</v>
      </c>
    </row>
    <row r="8774" spans="3:5" x14ac:dyDescent="0.25">
      <c r="C8774" t="s">
        <v>16065</v>
      </c>
      <c r="D8774" t="s">
        <v>16066</v>
      </c>
      <c r="E8774" t="str">
        <f>HYPERLINK("https://patents.google.com/patent/CN104088477B/en")</f>
        <v>https://patents.google.com/patent/CN104088477B/en</v>
      </c>
    </row>
    <row r="8775" spans="3:5" x14ac:dyDescent="0.25">
      <c r="C8775" t="s">
        <v>16067</v>
      </c>
      <c r="D8775" t="s">
        <v>16068</v>
      </c>
      <c r="E8775" t="str">
        <f>HYPERLINK("https://patents.google.com/patent/CN108247634A/en")</f>
        <v>https://patents.google.com/patent/CN108247634A/en</v>
      </c>
    </row>
    <row r="8776" spans="3:5" x14ac:dyDescent="0.25">
      <c r="C8776" t="s">
        <v>13436</v>
      </c>
      <c r="D8776" t="s">
        <v>16069</v>
      </c>
      <c r="E8776" t="str">
        <f>HYPERLINK("https://patents.google.com/patent/US20180033244A1/en")</f>
        <v>https://patents.google.com/patent/US20180033244A1/en</v>
      </c>
    </row>
    <row r="8777" spans="3:5" x14ac:dyDescent="0.25">
      <c r="C8777" t="s">
        <v>16070</v>
      </c>
      <c r="D8777" t="s">
        <v>16071</v>
      </c>
      <c r="E8777" t="str">
        <f>HYPERLINK("https://patents.google.com/patent/WO2012021732A1/en")</f>
        <v>https://patents.google.com/patent/WO2012021732A1/en</v>
      </c>
    </row>
    <row r="8778" spans="3:5" x14ac:dyDescent="0.25">
      <c r="C8778" t="s">
        <v>16072</v>
      </c>
      <c r="D8778" t="s">
        <v>16073</v>
      </c>
      <c r="E8778" t="str">
        <f>HYPERLINK("https://patents.google.com/patent/WO2016018170A1/en")</f>
        <v>https://patents.google.com/patent/WO2016018170A1/en</v>
      </c>
    </row>
    <row r="8779" spans="3:5" x14ac:dyDescent="0.25">
      <c r="C8779" t="s">
        <v>16074</v>
      </c>
      <c r="D8779" t="s">
        <v>16075</v>
      </c>
      <c r="E8779" t="str">
        <f>HYPERLINK("https://patents.google.com/patent/CN106557582A/en")</f>
        <v>https://patents.google.com/patent/CN106557582A/en</v>
      </c>
    </row>
    <row r="8780" spans="3:5" x14ac:dyDescent="0.25">
      <c r="C8780" t="s">
        <v>16076</v>
      </c>
      <c r="D8780" t="s">
        <v>16077</v>
      </c>
      <c r="E8780" t="str">
        <f>HYPERLINK("https://patents.google.com/patent/JP2018108171A/en")</f>
        <v>https://patents.google.com/patent/JP2018108171A/en</v>
      </c>
    </row>
    <row r="8781" spans="3:5" x14ac:dyDescent="0.25">
      <c r="C8781" t="s">
        <v>16078</v>
      </c>
      <c r="D8781" t="s">
        <v>16079</v>
      </c>
      <c r="E8781" t="str">
        <f>HYPERLINK("https://patents.google.com/patent/JP3206065U/en")</f>
        <v>https://patents.google.com/patent/JP3206065U/en</v>
      </c>
    </row>
    <row r="8782" spans="3:5" x14ac:dyDescent="0.25">
      <c r="C8782" t="s">
        <v>16080</v>
      </c>
      <c r="D8782" t="s">
        <v>16081</v>
      </c>
      <c r="E8782" t="str">
        <f>HYPERLINK("https://patents.google.com/patent/CN207323872U/en")</f>
        <v>https://patents.google.com/patent/CN207323872U/en</v>
      </c>
    </row>
    <row r="8783" spans="3:5" x14ac:dyDescent="0.25">
      <c r="C8783" t="s">
        <v>16076</v>
      </c>
      <c r="D8783" t="s">
        <v>16082</v>
      </c>
      <c r="E8783" t="str">
        <f>HYPERLINK("https://patents.google.com/patent/JP2018057461A/en")</f>
        <v>https://patents.google.com/patent/JP2018057461A/en</v>
      </c>
    </row>
    <row r="8784" spans="3:5" x14ac:dyDescent="0.25">
      <c r="C8784" t="s">
        <v>16076</v>
      </c>
      <c r="D8784" t="s">
        <v>16083</v>
      </c>
      <c r="E8784" t="str">
        <f>HYPERLINK("https://patents.google.com/patent/JP2018108170A/en")</f>
        <v>https://patents.google.com/patent/JP2018108170A/en</v>
      </c>
    </row>
    <row r="8785" spans="3:5" x14ac:dyDescent="0.25">
      <c r="C8785" t="s">
        <v>16076</v>
      </c>
      <c r="D8785" t="s">
        <v>16084</v>
      </c>
      <c r="E8785" t="str">
        <f>HYPERLINK("https://patents.google.com/patent/JP2018057460A/en")</f>
        <v>https://patents.google.com/patent/JP2018057460A/en</v>
      </c>
    </row>
    <row r="8786" spans="3:5" x14ac:dyDescent="0.25">
      <c r="C8786" t="s">
        <v>16085</v>
      </c>
      <c r="D8786" t="s">
        <v>16086</v>
      </c>
      <c r="E8786" t="str">
        <f>HYPERLINK("https://patents.google.com/patent/JP2017049694A/en")</f>
        <v>https://patents.google.com/patent/JP2017049694A/en</v>
      </c>
    </row>
    <row r="8787" spans="3:5" x14ac:dyDescent="0.25">
      <c r="C8787" t="s">
        <v>16076</v>
      </c>
      <c r="D8787" t="s">
        <v>16087</v>
      </c>
      <c r="E8787" t="str">
        <f>HYPERLINK("https://patents.google.com/patent/JP2018057459A/en")</f>
        <v>https://patents.google.com/patent/JP2018057459A/en</v>
      </c>
    </row>
    <row r="8788" spans="3:5" x14ac:dyDescent="0.25">
      <c r="C8788" t="s">
        <v>16088</v>
      </c>
      <c r="D8788" t="s">
        <v>16089</v>
      </c>
      <c r="E8788" t="str">
        <f>HYPERLINK("https://patents.google.com/patent/CN206031396U/en")</f>
        <v>https://patents.google.com/patent/CN206031396U/en</v>
      </c>
    </row>
    <row r="8789" spans="3:5" x14ac:dyDescent="0.25">
      <c r="C8789" t="s">
        <v>16090</v>
      </c>
      <c r="D8789" t="s">
        <v>16091</v>
      </c>
      <c r="E8789" t="str">
        <f>HYPERLINK("https://patents.google.com/patent/WO2018022896A1/en")</f>
        <v>https://patents.google.com/patent/WO2018022896A1/en</v>
      </c>
    </row>
    <row r="8790" spans="3:5" x14ac:dyDescent="0.25">
      <c r="C8790" t="s">
        <v>16092</v>
      </c>
      <c r="D8790" t="s">
        <v>16093</v>
      </c>
      <c r="E8790" t="str">
        <f>HYPERLINK("https://patents.google.com/patent/CN104933193A/en")</f>
        <v>https://patents.google.com/patent/CN104933193A/en</v>
      </c>
    </row>
    <row r="8791" spans="3:5" x14ac:dyDescent="0.25">
      <c r="C8791" t="s">
        <v>16094</v>
      </c>
      <c r="D8791" t="s">
        <v>16095</v>
      </c>
      <c r="E8791" t="str">
        <f>HYPERLINK("https://patents.google.com/patent/JP2013234571A/en")</f>
        <v>https://patents.google.com/patent/JP2013234571A/en</v>
      </c>
    </row>
    <row r="8792" spans="3:5" x14ac:dyDescent="0.25">
      <c r="C8792" t="s">
        <v>16096</v>
      </c>
      <c r="D8792" t="s">
        <v>16097</v>
      </c>
      <c r="E8792" t="str">
        <f>HYPERLINK("https://patents.google.com/patent/JP2017229002A/en")</f>
        <v>https://patents.google.com/patent/JP2017229002A/en</v>
      </c>
    </row>
    <row r="8793" spans="3:5" x14ac:dyDescent="0.25">
      <c r="C8793" t="s">
        <v>16098</v>
      </c>
      <c r="D8793" t="s">
        <v>16099</v>
      </c>
      <c r="E8793" t="str">
        <f>HYPERLINK("https://patents.google.com/patent/JP2008517320A/en")</f>
        <v>https://patents.google.com/patent/JP2008517320A/en</v>
      </c>
    </row>
    <row r="8794" spans="3:5" x14ac:dyDescent="0.25">
      <c r="C8794" t="s">
        <v>16100</v>
      </c>
      <c r="D8794" t="s">
        <v>16101</v>
      </c>
      <c r="E8794" t="str">
        <f>HYPERLINK("https://patents.google.com/patent/CN100385609C/en")</f>
        <v>https://patents.google.com/patent/CN100385609C/en</v>
      </c>
    </row>
    <row r="8795" spans="3:5" x14ac:dyDescent="0.25">
      <c r="C8795" t="s">
        <v>16102</v>
      </c>
      <c r="D8795" t="s">
        <v>16103</v>
      </c>
      <c r="E8795" t="str">
        <f>HYPERLINK("https://patents.google.com/patent/WO2018183571A1/en")</f>
        <v>https://patents.google.com/patent/WO2018183571A1/en</v>
      </c>
    </row>
    <row r="8796" spans="3:5" x14ac:dyDescent="0.25">
      <c r="C8796" t="s">
        <v>16104</v>
      </c>
      <c r="D8796" t="s">
        <v>16105</v>
      </c>
      <c r="E8796" t="str">
        <f>HYPERLINK("https://patents.google.com/patent/CN204131634U/en")</f>
        <v>https://patents.google.com/patent/CN204131634U/en</v>
      </c>
    </row>
    <row r="8797" spans="3:5" x14ac:dyDescent="0.25">
      <c r="C8797" t="s">
        <v>16106</v>
      </c>
      <c r="D8797" t="s">
        <v>16107</v>
      </c>
      <c r="E8797" t="str">
        <f>HYPERLINK("https://patents.google.com/patent/CN105577997A/en")</f>
        <v>https://patents.google.com/patent/CN105577997A/en</v>
      </c>
    </row>
    <row r="8798" spans="3:5" x14ac:dyDescent="0.25">
      <c r="C8798" t="s">
        <v>16108</v>
      </c>
      <c r="D8798" t="s">
        <v>16109</v>
      </c>
      <c r="E8798" t="str">
        <f>HYPERLINK("https://patents.google.com/patent/CN108416845A/en")</f>
        <v>https://patents.google.com/patent/CN108416845A/en</v>
      </c>
    </row>
    <row r="8799" spans="3:5" x14ac:dyDescent="0.25">
      <c r="C8799" t="s">
        <v>16110</v>
      </c>
      <c r="D8799" t="s">
        <v>16111</v>
      </c>
      <c r="E8799" t="str">
        <f>HYPERLINK("https://patents.google.com/patent/US20170364924A1/en")</f>
        <v>https://patents.google.com/patent/US20170364924A1/en</v>
      </c>
    </row>
    <row r="8800" spans="3:5" x14ac:dyDescent="0.25">
      <c r="C8800" t="s">
        <v>16112</v>
      </c>
      <c r="D8800" t="s">
        <v>16113</v>
      </c>
      <c r="E8800" t="str">
        <f>HYPERLINK("https://patents.google.com/patent/CN2452487Y/en")</f>
        <v>https://patents.google.com/patent/CN2452487Y/en</v>
      </c>
    </row>
    <row r="8801" spans="3:5" x14ac:dyDescent="0.25">
      <c r="C8801" t="s">
        <v>16114</v>
      </c>
      <c r="D8801" t="s">
        <v>16115</v>
      </c>
      <c r="E8801" t="str">
        <f>HYPERLINK("https://patents.google.com/patent/US20170322628A1/en")</f>
        <v>https://patents.google.com/patent/US20170322628A1/en</v>
      </c>
    </row>
    <row r="8802" spans="3:5" x14ac:dyDescent="0.25">
      <c r="C8802" t="s">
        <v>16116</v>
      </c>
      <c r="D8802" t="s">
        <v>16117</v>
      </c>
      <c r="E8802" t="str">
        <f>HYPERLINK("https://patents.google.com/patent/JP3217135U/en")</f>
        <v>https://patents.google.com/patent/JP3217135U/en</v>
      </c>
    </row>
    <row r="8803" spans="3:5" x14ac:dyDescent="0.25">
      <c r="C8803" t="s">
        <v>12867</v>
      </c>
      <c r="D8803" t="s">
        <v>16118</v>
      </c>
      <c r="E8803" t="str">
        <f>HYPERLINK("https://patents.google.com/patent/CN1784685A/en")</f>
        <v>https://patents.google.com/patent/CN1784685A/en</v>
      </c>
    </row>
    <row r="8804" spans="3:5" x14ac:dyDescent="0.25">
      <c r="C8804" t="s">
        <v>16119</v>
      </c>
      <c r="D8804" t="s">
        <v>16120</v>
      </c>
      <c r="E8804" t="str">
        <f>HYPERLINK("https://patents.google.com/patent/GB2509814A/en")</f>
        <v>https://patents.google.com/patent/GB2509814A/en</v>
      </c>
    </row>
    <row r="8805" spans="3:5" x14ac:dyDescent="0.25">
      <c r="C8805" t="s">
        <v>16121</v>
      </c>
      <c r="D8805" t="s">
        <v>16122</v>
      </c>
      <c r="E8805" t="str">
        <f>HYPERLINK("https://patents.google.com/patent/CN207390984U/en")</f>
        <v>https://patents.google.com/patent/CN207390984U/en</v>
      </c>
    </row>
    <row r="8806" spans="3:5" x14ac:dyDescent="0.25">
      <c r="C8806" t="s">
        <v>16123</v>
      </c>
      <c r="D8806" t="s">
        <v>16124</v>
      </c>
      <c r="E8806" t="str">
        <f>HYPERLINK("https://patents.google.com/patent/CN205870514U/en")</f>
        <v>https://patents.google.com/patent/CN205870514U/en</v>
      </c>
    </row>
    <row r="8807" spans="3:5" x14ac:dyDescent="0.25">
      <c r="C8807" t="s">
        <v>16125</v>
      </c>
      <c r="D8807" t="s">
        <v>16126</v>
      </c>
      <c r="E8807" t="str">
        <f>HYPERLINK("https://patents.google.com/patent/CN108508886A/en")</f>
        <v>https://patents.google.com/patent/CN108508886A/en</v>
      </c>
    </row>
    <row r="8808" spans="3:5" x14ac:dyDescent="0.25">
      <c r="C8808" t="s">
        <v>16127</v>
      </c>
      <c r="D8808" t="s">
        <v>16128</v>
      </c>
      <c r="E8808" t="str">
        <f>HYPERLINK("https://patents.google.com/patent/CN207365293U/en")</f>
        <v>https://patents.google.com/patent/CN207365293U/en</v>
      </c>
    </row>
    <row r="8809" spans="3:5" x14ac:dyDescent="0.25">
      <c r="C8809" t="s">
        <v>16129</v>
      </c>
      <c r="D8809" t="s">
        <v>16130</v>
      </c>
      <c r="E8809" t="str">
        <f>HYPERLINK("https://patents.google.com/patent/EP3210165A1/en")</f>
        <v>https://patents.google.com/patent/EP3210165A1/en</v>
      </c>
    </row>
    <row r="8810" spans="3:5" x14ac:dyDescent="0.25">
      <c r="C8810" t="s">
        <v>16131</v>
      </c>
      <c r="D8810" t="s">
        <v>16132</v>
      </c>
      <c r="E8810" t="str">
        <f>HYPERLINK("https://patents.google.com/patent/CN207240184U/en")</f>
        <v>https://patents.google.com/patent/CN207240184U/en</v>
      </c>
    </row>
    <row r="8811" spans="3:5" x14ac:dyDescent="0.25">
      <c r="C8811" t="s">
        <v>16133</v>
      </c>
      <c r="D8811" t="s">
        <v>16134</v>
      </c>
      <c r="E8811" t="str">
        <f>HYPERLINK("https://patents.google.com/patent/US20170097985A1/en")</f>
        <v>https://patents.google.com/patent/US20170097985A1/en</v>
      </c>
    </row>
    <row r="8812" spans="3:5" x14ac:dyDescent="0.25">
      <c r="C8812" t="s">
        <v>16135</v>
      </c>
      <c r="D8812" t="s">
        <v>16136</v>
      </c>
      <c r="E8812" t="str">
        <f>HYPERLINK("https://patents.google.com/patent/WO2017029982A1/en")</f>
        <v>https://patents.google.com/patent/WO2017029982A1/en</v>
      </c>
    </row>
    <row r="8813" spans="3:5" x14ac:dyDescent="0.25">
      <c r="C8813" t="s">
        <v>16137</v>
      </c>
      <c r="D8813" t="s">
        <v>16138</v>
      </c>
      <c r="E8813" t="str">
        <f>HYPERLINK("https://patents.google.com/patent/CN105022728A/en")</f>
        <v>https://patents.google.com/patent/CN105022728A/en</v>
      </c>
    </row>
    <row r="8814" spans="3:5" x14ac:dyDescent="0.25">
      <c r="C8814" t="s">
        <v>16139</v>
      </c>
      <c r="D8814" t="s">
        <v>16140</v>
      </c>
      <c r="E8814" t="str">
        <f>HYPERLINK("https://patents.google.com/patent/DE102015002090A1/en")</f>
        <v>https://patents.google.com/patent/DE102015002090A1/en</v>
      </c>
    </row>
    <row r="8815" spans="3:5" x14ac:dyDescent="0.25">
      <c r="C8815" t="s">
        <v>16141</v>
      </c>
      <c r="D8815" t="s">
        <v>16142</v>
      </c>
      <c r="E8815" t="str">
        <f>HYPERLINK("https://patents.google.com/patent/CN207424681U/en")</f>
        <v>https://patents.google.com/patent/CN207424681U/en</v>
      </c>
    </row>
    <row r="8816" spans="3:5" x14ac:dyDescent="0.25">
      <c r="C8816" t="s">
        <v>16143</v>
      </c>
      <c r="D8816" t="s">
        <v>16144</v>
      </c>
      <c r="E8816" t="str">
        <f>HYPERLINK("https://patents.google.com/patent/CN105045862A/en")</f>
        <v>https://patents.google.com/patent/CN105045862A/en</v>
      </c>
    </row>
    <row r="8817" spans="3:5" x14ac:dyDescent="0.25">
      <c r="C8817" t="s">
        <v>16145</v>
      </c>
      <c r="D8817" t="s">
        <v>16146</v>
      </c>
      <c r="E8817" t="str">
        <f>HYPERLINK("https://patents.google.com/patent/CN108015810A/en")</f>
        <v>https://patents.google.com/patent/CN108015810A/en</v>
      </c>
    </row>
    <row r="8818" spans="3:5" x14ac:dyDescent="0.25">
      <c r="C8818" t="s">
        <v>16147</v>
      </c>
      <c r="D8818" t="s">
        <v>16148</v>
      </c>
      <c r="E8818" t="str">
        <f>HYPERLINK("https://patents.google.com/patent/US20170185873A1/en")</f>
        <v>https://patents.google.com/patent/US20170185873A1/en</v>
      </c>
    </row>
    <row r="8819" spans="3:5" x14ac:dyDescent="0.25">
      <c r="C8819" t="s">
        <v>16149</v>
      </c>
      <c r="D8819" t="s">
        <v>16150</v>
      </c>
      <c r="E8819" t="str">
        <f>HYPERLINK("https://patents.google.com/patent/CN105138548A/en")</f>
        <v>https://patents.google.com/patent/CN105138548A/en</v>
      </c>
    </row>
    <row r="8820" spans="3:5" x14ac:dyDescent="0.25">
      <c r="C8820" t="s">
        <v>16151</v>
      </c>
      <c r="D8820" t="s">
        <v>16152</v>
      </c>
      <c r="E8820" t="str">
        <f>HYPERLINK("https://patents.google.com/patent/CN104933194A/en")</f>
        <v>https://patents.google.com/patent/CN104933194A/en</v>
      </c>
    </row>
    <row r="8821" spans="3:5" x14ac:dyDescent="0.25">
      <c r="C8821" t="s">
        <v>16153</v>
      </c>
      <c r="D8821" t="s">
        <v>16154</v>
      </c>
      <c r="E8821" t="str">
        <f>HYPERLINK("https://patents.google.com/patent/JP3203105U/en")</f>
        <v>https://patents.google.com/patent/JP3203105U/en</v>
      </c>
    </row>
    <row r="8822" spans="3:5" x14ac:dyDescent="0.25">
      <c r="C8822" t="s">
        <v>16155</v>
      </c>
      <c r="D8822" t="s">
        <v>16156</v>
      </c>
      <c r="E8822" t="str">
        <f>HYPERLINK("https://patents.google.com/patent/CN104965925A/en")</f>
        <v>https://patents.google.com/patent/CN104965925A/en</v>
      </c>
    </row>
    <row r="8823" spans="3:5" x14ac:dyDescent="0.25">
      <c r="C8823" t="s">
        <v>16157</v>
      </c>
      <c r="D8823" t="s">
        <v>16158</v>
      </c>
      <c r="E8823" t="str">
        <f>HYPERLINK("https://patents.google.com/patent/CN105045861A/en")</f>
        <v>https://patents.google.com/patent/CN105045861A/en</v>
      </c>
    </row>
    <row r="8824" spans="3:5" x14ac:dyDescent="0.25">
      <c r="C8824" t="s">
        <v>16159</v>
      </c>
      <c r="D8824" t="s">
        <v>16160</v>
      </c>
      <c r="E8824" t="str">
        <f>HYPERLINK("https://patents.google.com/patent/CN104933195A/en")</f>
        <v>https://patents.google.com/patent/CN104933195A/en</v>
      </c>
    </row>
    <row r="8825" spans="3:5" x14ac:dyDescent="0.25">
      <c r="C8825" t="s">
        <v>16076</v>
      </c>
      <c r="D8825" t="s">
        <v>16161</v>
      </c>
      <c r="E8825" t="str">
        <f>HYPERLINK("https://patents.google.com/patent/JP2018108172A/en")</f>
        <v>https://patents.google.com/patent/JP2018108172A/en</v>
      </c>
    </row>
    <row r="8826" spans="3:5" x14ac:dyDescent="0.25">
      <c r="C8826" t="s">
        <v>16162</v>
      </c>
      <c r="D8826" t="s">
        <v>16163</v>
      </c>
      <c r="E8826" t="str">
        <f>HYPERLINK("https://patents.google.com/patent/US20170246742A1/en")</f>
        <v>https://patents.google.com/patent/US20170246742A1/en</v>
      </c>
    </row>
    <row r="8827" spans="3:5" x14ac:dyDescent="0.25">
      <c r="C8827" t="s">
        <v>16164</v>
      </c>
      <c r="D8827" t="s">
        <v>16165</v>
      </c>
      <c r="E8827" t="str">
        <f>HYPERLINK("https://patents.google.com/patent/CN106848856A/en")</f>
        <v>https://patents.google.com/patent/CN106848856A/en</v>
      </c>
    </row>
    <row r="8828" spans="3:5" x14ac:dyDescent="0.25">
      <c r="C8828" t="s">
        <v>16166</v>
      </c>
      <c r="D8828" t="s">
        <v>16167</v>
      </c>
      <c r="E8828" t="str">
        <f>HYPERLINK("https://patents.google.com/patent/WO2018048185A1/en")</f>
        <v>https://patents.google.com/patent/WO2018048185A1/en</v>
      </c>
    </row>
    <row r="8829" spans="3:5" x14ac:dyDescent="0.25">
      <c r="C8829" t="s">
        <v>16129</v>
      </c>
      <c r="D8829" t="s">
        <v>16168</v>
      </c>
      <c r="E8829" t="str">
        <f>HYPERLINK("https://patents.google.com/patent/WO2016065063A1/en")</f>
        <v>https://patents.google.com/patent/WO2016065063A1/en</v>
      </c>
    </row>
    <row r="8830" spans="3:5" x14ac:dyDescent="0.25">
      <c r="C8830" t="s">
        <v>16169</v>
      </c>
      <c r="D8830" t="s">
        <v>16170</v>
      </c>
      <c r="E8830" t="str">
        <f>HYPERLINK("https://patents.google.com/patent/JP2013093896A/en")</f>
        <v>https://patents.google.com/patent/JP2013093896A/en</v>
      </c>
    </row>
    <row r="8831" spans="3:5" x14ac:dyDescent="0.25">
      <c r="C8831" t="s">
        <v>16171</v>
      </c>
      <c r="D8831" t="s">
        <v>16172</v>
      </c>
      <c r="E8831" t="str">
        <f>HYPERLINK("https://patents.google.com/patent/CN106477257A/en")</f>
        <v>https://patents.google.com/patent/CN106477257A/en</v>
      </c>
    </row>
    <row r="8832" spans="3:5" x14ac:dyDescent="0.25">
      <c r="C8832" t="s">
        <v>16173</v>
      </c>
      <c r="D8832" t="s">
        <v>16174</v>
      </c>
      <c r="E8832" t="str">
        <f>HYPERLINK("https://patents.google.com/patent/CN207341030U/en")</f>
        <v>https://patents.google.com/patent/CN207341030U/en</v>
      </c>
    </row>
    <row r="8833" spans="1:5" x14ac:dyDescent="0.25">
      <c r="C8833" t="s">
        <v>16175</v>
      </c>
      <c r="D8833" t="s">
        <v>16176</v>
      </c>
      <c r="E8833" t="str">
        <f>HYPERLINK("https://patents.google.com/patent/CN104933192A/en")</f>
        <v>https://patents.google.com/patent/CN104933192A/en</v>
      </c>
    </row>
    <row r="8834" spans="1:5" x14ac:dyDescent="0.25">
      <c r="C8834" t="s">
        <v>16177</v>
      </c>
      <c r="D8834" t="s">
        <v>16178</v>
      </c>
      <c r="E8834" t="str">
        <f>HYPERLINK("https://patents.google.com/patent/CN207115707U/en")</f>
        <v>https://patents.google.com/patent/CN207115707U/en</v>
      </c>
    </row>
    <row r="8835" spans="1:5" x14ac:dyDescent="0.25">
      <c r="C8835" t="s">
        <v>16179</v>
      </c>
      <c r="D8835" t="s">
        <v>16180</v>
      </c>
      <c r="E8835" t="str">
        <f>HYPERLINK("https://patents.google.com/patent/JP2013242882A/en")</f>
        <v>https://patents.google.com/patent/JP2013242882A/en</v>
      </c>
    </row>
    <row r="8836" spans="1:5" x14ac:dyDescent="0.25">
      <c r="C8836" t="s">
        <v>6166</v>
      </c>
      <c r="D8836" t="s">
        <v>16181</v>
      </c>
      <c r="E8836" t="str">
        <f>HYPERLINK("https://patents.google.com/patent/CN105835059A/en")</f>
        <v>https://patents.google.com/patent/CN105835059A/en</v>
      </c>
    </row>
    <row r="8837" spans="1:5" x14ac:dyDescent="0.25">
      <c r="C8837" t="s">
        <v>16182</v>
      </c>
      <c r="D8837" t="s">
        <v>16183</v>
      </c>
      <c r="E8837" t="str">
        <f>HYPERLINK("https://patents.google.com/patent/KR20170041670A/en")</f>
        <v>https://patents.google.com/patent/KR20170041670A/en</v>
      </c>
    </row>
    <row r="8838" spans="1:5" x14ac:dyDescent="0.25">
      <c r="C8838" t="s">
        <v>15646</v>
      </c>
      <c r="D8838" t="s">
        <v>16184</v>
      </c>
      <c r="E8838" t="str">
        <f>HYPERLINK("https://patents.google.com/patent/CN106664265A/en")</f>
        <v>https://patents.google.com/patent/CN106664265A/en</v>
      </c>
    </row>
    <row r="8839" spans="1:5" x14ac:dyDescent="0.25">
      <c r="C8839" t="s">
        <v>16185</v>
      </c>
      <c r="D8839" t="s">
        <v>16186</v>
      </c>
      <c r="E8839" t="str">
        <f>HYPERLINK("https://patents.google.com/patent/EP3058444A1/en")</f>
        <v>https://patents.google.com/patent/EP3058444A1/en</v>
      </c>
    </row>
    <row r="8840" spans="1:5" x14ac:dyDescent="0.25">
      <c r="C8840" t="s">
        <v>16187</v>
      </c>
      <c r="D8840" t="s">
        <v>16188</v>
      </c>
      <c r="E8840" t="str">
        <f>HYPERLINK("https://patents.google.com/patent/WO2018083999A1/en")</f>
        <v>https://patents.google.com/patent/WO2018083999A1/en</v>
      </c>
    </row>
    <row r="8841" spans="1:5" x14ac:dyDescent="0.25">
      <c r="C8841" t="s">
        <v>16189</v>
      </c>
      <c r="D8841" t="s">
        <v>16190</v>
      </c>
      <c r="E8841" t="str">
        <f>HYPERLINK("https://patents.google.com/patent/DE102006038182A1/en")</f>
        <v>https://patents.google.com/patent/DE102006038182A1/en</v>
      </c>
    </row>
    <row r="8842" spans="1:5" x14ac:dyDescent="0.25">
      <c r="C8842" t="s">
        <v>16191</v>
      </c>
      <c r="D8842" t="s">
        <v>16192</v>
      </c>
      <c r="E8842" t="str">
        <f>HYPERLINK("https://patents.google.com/patent/CA2929508A1/en")</f>
        <v>https://patents.google.com/patent/CA2929508A1/en</v>
      </c>
    </row>
    <row r="8843" spans="1:5" x14ac:dyDescent="0.25">
      <c r="A8843" t="s">
        <v>1368</v>
      </c>
      <c r="B8843">
        <v>670</v>
      </c>
    </row>
    <row r="8844" spans="1:5" x14ac:dyDescent="0.25">
      <c r="C8844" t="s">
        <v>16193</v>
      </c>
      <c r="D8844" t="s">
        <v>16194</v>
      </c>
      <c r="E8844" t="str">
        <f>HYPERLINK("https://patents.google.com/patent/CN101937535A/en")</f>
        <v>https://patents.google.com/patent/CN101937535A/en</v>
      </c>
    </row>
    <row r="8845" spans="1:5" x14ac:dyDescent="0.25">
      <c r="C8845" t="s">
        <v>16195</v>
      </c>
      <c r="D8845" t="s">
        <v>16196</v>
      </c>
      <c r="E8845" t="str">
        <f>HYPERLINK("https://patents.google.com/patent/US6716106B2/en")</f>
        <v>https://patents.google.com/patent/US6716106B2/en</v>
      </c>
    </row>
    <row r="8846" spans="1:5" x14ac:dyDescent="0.25">
      <c r="C8846" t="s">
        <v>16197</v>
      </c>
      <c r="D8846" t="s">
        <v>16198</v>
      </c>
      <c r="E8846" t="str">
        <f>HYPERLINK("https://patents.google.com/patent/CN203118400U/en")</f>
        <v>https://patents.google.com/patent/CN203118400U/en</v>
      </c>
    </row>
    <row r="8847" spans="1:5" x14ac:dyDescent="0.25">
      <c r="C8847" t="s">
        <v>16199</v>
      </c>
      <c r="D8847" t="s">
        <v>16200</v>
      </c>
      <c r="E8847" t="str">
        <f>HYPERLINK("https://patents.google.com/patent/CN103442329B/en")</f>
        <v>https://patents.google.com/patent/CN103442329B/en</v>
      </c>
    </row>
    <row r="8848" spans="1:5" x14ac:dyDescent="0.25">
      <c r="C8848" t="s">
        <v>16201</v>
      </c>
      <c r="D8848" t="s">
        <v>16202</v>
      </c>
      <c r="E8848" t="str">
        <f>HYPERLINK("https://patents.google.com/patent/US20030214530A1/en")</f>
        <v>https://patents.google.com/patent/US20030214530A1/en</v>
      </c>
    </row>
    <row r="8849" spans="3:5" x14ac:dyDescent="0.25">
      <c r="C8849" t="s">
        <v>16203</v>
      </c>
      <c r="D8849" t="s">
        <v>16204</v>
      </c>
      <c r="E8849" t="str">
        <f>HYPERLINK("https://patents.google.com/patent/CN104156897A/en")</f>
        <v>https://patents.google.com/patent/CN104156897A/en</v>
      </c>
    </row>
    <row r="8850" spans="3:5" x14ac:dyDescent="0.25">
      <c r="C8850" t="s">
        <v>16205</v>
      </c>
      <c r="D8850" t="s">
        <v>16206</v>
      </c>
      <c r="E8850" t="str">
        <f>HYPERLINK("https://patents.google.com/patent/US3601825A/en")</f>
        <v>https://patents.google.com/patent/US3601825A/en</v>
      </c>
    </row>
    <row r="8851" spans="3:5" x14ac:dyDescent="0.25">
      <c r="C8851" t="s">
        <v>16207</v>
      </c>
      <c r="D8851" t="s">
        <v>16208</v>
      </c>
      <c r="E8851" t="str">
        <f>HYPERLINK("https://patents.google.com/patent/US3165350A/en")</f>
        <v>https://patents.google.com/patent/US3165350A/en</v>
      </c>
    </row>
    <row r="8852" spans="3:5" x14ac:dyDescent="0.25">
      <c r="C8852" t="s">
        <v>16209</v>
      </c>
      <c r="D8852" t="s">
        <v>16210</v>
      </c>
      <c r="E8852" t="str">
        <f>HYPERLINK("https://patents.google.com/patent/US7187997B2/en")</f>
        <v>https://patents.google.com/patent/US7187997B2/en</v>
      </c>
    </row>
    <row r="8853" spans="3:5" x14ac:dyDescent="0.25">
      <c r="C8853" t="s">
        <v>16211</v>
      </c>
      <c r="D8853" t="s">
        <v>16212</v>
      </c>
      <c r="E8853" t="str">
        <f>HYPERLINK("https://patents.google.com/patent/US9030964B2/en")</f>
        <v>https://patents.google.com/patent/US9030964B2/en</v>
      </c>
    </row>
    <row r="8854" spans="3:5" x14ac:dyDescent="0.25">
      <c r="C8854" t="s">
        <v>16213</v>
      </c>
      <c r="D8854" t="s">
        <v>16214</v>
      </c>
      <c r="E8854" t="str">
        <f>HYPERLINK("https://patents.google.com/patent/US7519470B2/en")</f>
        <v>https://patents.google.com/patent/US7519470B2/en</v>
      </c>
    </row>
    <row r="8855" spans="3:5" x14ac:dyDescent="0.25">
      <c r="C8855" t="s">
        <v>16215</v>
      </c>
      <c r="D8855" t="s">
        <v>16216</v>
      </c>
      <c r="E8855" t="str">
        <f>HYPERLINK("https://patents.google.com/patent/US6152856A/en")</f>
        <v>https://patents.google.com/patent/US6152856A/en</v>
      </c>
    </row>
    <row r="8856" spans="3:5" x14ac:dyDescent="0.25">
      <c r="C8856" t="s">
        <v>16217</v>
      </c>
      <c r="D8856" t="s">
        <v>16218</v>
      </c>
      <c r="E8856" t="str">
        <f>HYPERLINK("https://patents.google.com/patent/US6684648B2/en")</f>
        <v>https://patents.google.com/patent/US6684648B2/en</v>
      </c>
    </row>
    <row r="8857" spans="3:5" x14ac:dyDescent="0.25">
      <c r="C8857" t="s">
        <v>16219</v>
      </c>
      <c r="D8857" t="s">
        <v>16220</v>
      </c>
      <c r="E8857" t="str">
        <f>HYPERLINK("https://patents.google.com/patent/US6366914B1/en")</f>
        <v>https://patents.google.com/patent/US6366914B1/en</v>
      </c>
    </row>
    <row r="8858" spans="3:5" x14ac:dyDescent="0.25">
      <c r="C8858" t="s">
        <v>16221</v>
      </c>
      <c r="D8858" t="s">
        <v>16222</v>
      </c>
      <c r="E8858" t="str">
        <f>HYPERLINK("https://patents.google.com/patent/US7751971B2/en")</f>
        <v>https://patents.google.com/patent/US7751971B2/en</v>
      </c>
    </row>
    <row r="8859" spans="3:5" x14ac:dyDescent="0.25">
      <c r="C8859" t="s">
        <v>16223</v>
      </c>
      <c r="D8859" t="s">
        <v>16224</v>
      </c>
      <c r="E8859" t="str">
        <f>HYPERLINK("https://patents.google.com/patent/US6120393A/en")</f>
        <v>https://patents.google.com/patent/US6120393A/en</v>
      </c>
    </row>
    <row r="8860" spans="3:5" x14ac:dyDescent="0.25">
      <c r="C8860" t="s">
        <v>16225</v>
      </c>
      <c r="D8860" t="s">
        <v>16226</v>
      </c>
      <c r="E8860" t="str">
        <f>HYPERLINK("https://patents.google.com/patent/US6553404B2/en")</f>
        <v>https://patents.google.com/patent/US6553404B2/en</v>
      </c>
    </row>
    <row r="8861" spans="3:5" x14ac:dyDescent="0.25">
      <c r="C8861" t="s">
        <v>16227</v>
      </c>
      <c r="D8861" t="s">
        <v>16228</v>
      </c>
      <c r="E8861" t="str">
        <f>HYPERLINK("https://patents.google.com/patent/US7460953B2/en")</f>
        <v>https://patents.google.com/patent/US7460953B2/en</v>
      </c>
    </row>
    <row r="8862" spans="3:5" x14ac:dyDescent="0.25">
      <c r="C8862" t="s">
        <v>16229</v>
      </c>
      <c r="D8862" t="s">
        <v>16230</v>
      </c>
      <c r="E8862" t="str">
        <f>HYPERLINK("https://patents.google.com/patent/US6761637B2/en")</f>
        <v>https://patents.google.com/patent/US6761637B2/en</v>
      </c>
    </row>
    <row r="8863" spans="3:5" x14ac:dyDescent="0.25">
      <c r="C8863" t="s">
        <v>7721</v>
      </c>
      <c r="D8863" t="s">
        <v>16231</v>
      </c>
      <c r="E8863" t="str">
        <f>HYPERLINK("https://patents.google.com/patent/US6526335B1/en")</f>
        <v>https://patents.google.com/patent/US6526335B1/en</v>
      </c>
    </row>
    <row r="8864" spans="3:5" x14ac:dyDescent="0.25">
      <c r="C8864" t="s">
        <v>16232</v>
      </c>
      <c r="D8864" t="s">
        <v>16233</v>
      </c>
      <c r="E8864" t="str">
        <f>HYPERLINK("https://patents.google.com/patent/US6175343B1/en")</f>
        <v>https://patents.google.com/patent/US6175343B1/en</v>
      </c>
    </row>
    <row r="8865" spans="3:5" x14ac:dyDescent="0.25">
      <c r="C8865" t="s">
        <v>16234</v>
      </c>
      <c r="D8865" t="s">
        <v>16235</v>
      </c>
      <c r="E8865" t="str">
        <f>HYPERLINK("https://patents.google.com/patent/US8060389B2/en")</f>
        <v>https://patents.google.com/patent/US8060389B2/en</v>
      </c>
    </row>
    <row r="8866" spans="3:5" x14ac:dyDescent="0.25">
      <c r="C8866" t="s">
        <v>16236</v>
      </c>
      <c r="D8866" t="s">
        <v>16237</v>
      </c>
      <c r="E8866" t="str">
        <f>HYPERLINK("https://patents.google.com/patent/US7496445B2/en")</f>
        <v>https://patents.google.com/patent/US7496445B2/en</v>
      </c>
    </row>
    <row r="8867" spans="3:5" x14ac:dyDescent="0.25">
      <c r="C8867" t="s">
        <v>16238</v>
      </c>
      <c r="D8867" t="s">
        <v>16239</v>
      </c>
      <c r="E8867" t="str">
        <f>HYPERLINK("https://patents.google.com/patent/US8117281B2/en")</f>
        <v>https://patents.google.com/patent/US8117281B2/en</v>
      </c>
    </row>
    <row r="8868" spans="3:5" x14ac:dyDescent="0.25">
      <c r="C8868" t="s">
        <v>16240</v>
      </c>
      <c r="D8868" t="s">
        <v>16241</v>
      </c>
      <c r="E8868" t="str">
        <f>HYPERLINK("https://patents.google.com/patent/US8073565B2/en")</f>
        <v>https://patents.google.com/patent/US8073565B2/en</v>
      </c>
    </row>
    <row r="8869" spans="3:5" x14ac:dyDescent="0.25">
      <c r="C8869" t="s">
        <v>16242</v>
      </c>
      <c r="D8869" t="s">
        <v>16243</v>
      </c>
      <c r="E8869" t="str">
        <f>HYPERLINK("https://patents.google.com/patent/US8624727B2/en")</f>
        <v>https://patents.google.com/patent/US8624727B2/en</v>
      </c>
    </row>
    <row r="8870" spans="3:5" x14ac:dyDescent="0.25">
      <c r="C8870" t="s">
        <v>16244</v>
      </c>
      <c r="D8870" t="s">
        <v>16245</v>
      </c>
      <c r="E8870" t="str">
        <f>HYPERLINK("https://patents.google.com/patent/US6961539B2/en")</f>
        <v>https://patents.google.com/patent/US6961539B2/en</v>
      </c>
    </row>
    <row r="8871" spans="3:5" x14ac:dyDescent="0.25">
      <c r="C8871" t="s">
        <v>16246</v>
      </c>
      <c r="D8871" t="s">
        <v>16247</v>
      </c>
      <c r="E8871" t="str">
        <f>HYPERLINK("https://patents.google.com/patent/US8289390B2/en")</f>
        <v>https://patents.google.com/patent/US8289390B2/en</v>
      </c>
    </row>
    <row r="8872" spans="3:5" x14ac:dyDescent="0.25">
      <c r="C8872" t="s">
        <v>16248</v>
      </c>
      <c r="D8872" t="s">
        <v>16249</v>
      </c>
      <c r="E8872" t="str">
        <f>HYPERLINK("https://patents.google.com/patent/US5536225A/en")</f>
        <v>https://patents.google.com/patent/US5536225A/en</v>
      </c>
    </row>
    <row r="8873" spans="3:5" x14ac:dyDescent="0.25">
      <c r="C8873" t="s">
        <v>16250</v>
      </c>
      <c r="D8873" t="s">
        <v>16251</v>
      </c>
      <c r="E8873" t="str">
        <f>HYPERLINK("https://patents.google.com/patent/US6985902B2/en")</f>
        <v>https://patents.google.com/patent/US6985902B2/en</v>
      </c>
    </row>
    <row r="8874" spans="3:5" x14ac:dyDescent="0.25">
      <c r="C8874" t="s">
        <v>16252</v>
      </c>
      <c r="D8874" t="s">
        <v>16253</v>
      </c>
      <c r="E8874" t="str">
        <f>HYPERLINK("https://patents.google.com/patent/US7218941B1/en")</f>
        <v>https://patents.google.com/patent/US7218941B1/en</v>
      </c>
    </row>
    <row r="8875" spans="3:5" x14ac:dyDescent="0.25">
      <c r="C8875" t="s">
        <v>16254</v>
      </c>
      <c r="D8875" t="s">
        <v>16255</v>
      </c>
      <c r="E8875" t="str">
        <f>HYPERLINK("https://patents.google.com/patent/US6315684B1/en")</f>
        <v>https://patents.google.com/patent/US6315684B1/en</v>
      </c>
    </row>
    <row r="8876" spans="3:5" x14ac:dyDescent="0.25">
      <c r="C8876" t="s">
        <v>16256</v>
      </c>
      <c r="D8876" t="s">
        <v>16257</v>
      </c>
      <c r="E8876" t="str">
        <f>HYPERLINK("https://patents.google.com/patent/US20020183072A1/en")</f>
        <v>https://patents.google.com/patent/US20020183072A1/en</v>
      </c>
    </row>
    <row r="8877" spans="3:5" x14ac:dyDescent="0.25">
      <c r="C8877" t="s">
        <v>16258</v>
      </c>
      <c r="D8877" t="s">
        <v>16259</v>
      </c>
      <c r="E8877" t="str">
        <f>HYPERLINK("https://patents.google.com/patent/US6894617B2/en")</f>
        <v>https://patents.google.com/patent/US6894617B2/en</v>
      </c>
    </row>
    <row r="8878" spans="3:5" x14ac:dyDescent="0.25">
      <c r="C8878" t="s">
        <v>16260</v>
      </c>
      <c r="D8878" t="s">
        <v>16261</v>
      </c>
      <c r="E8878" t="str">
        <f>HYPERLINK("https://patents.google.com/patent/US7561048B2/en")</f>
        <v>https://patents.google.com/patent/US7561048B2/en</v>
      </c>
    </row>
    <row r="8879" spans="3:5" x14ac:dyDescent="0.25">
      <c r="C8879" t="s">
        <v>16262</v>
      </c>
      <c r="D8879" t="s">
        <v>16263</v>
      </c>
      <c r="E8879" t="str">
        <f>HYPERLINK("https://patents.google.com/patent/US20120102409A1/en")</f>
        <v>https://patents.google.com/patent/US20120102409A1/en</v>
      </c>
    </row>
    <row r="8880" spans="3:5" x14ac:dyDescent="0.25">
      <c r="C8880" t="s">
        <v>16264</v>
      </c>
      <c r="D8880" t="s">
        <v>16265</v>
      </c>
      <c r="E8880" t="str">
        <f>HYPERLINK("https://patents.google.com/patent/CN101572720A/en")</f>
        <v>https://patents.google.com/patent/CN101572720A/en</v>
      </c>
    </row>
    <row r="8881" spans="3:5" x14ac:dyDescent="0.25">
      <c r="C8881" t="s">
        <v>16266</v>
      </c>
      <c r="D8881" t="s">
        <v>16267</v>
      </c>
      <c r="E8881" t="str">
        <f>HYPERLINK("https://patents.google.com/patent/US20080033641A1/en")</f>
        <v>https://patents.google.com/patent/US20080033641A1/en</v>
      </c>
    </row>
    <row r="8882" spans="3:5" x14ac:dyDescent="0.25">
      <c r="C8882" t="s">
        <v>16268</v>
      </c>
      <c r="D8882" t="s">
        <v>16269</v>
      </c>
      <c r="E8882" t="str">
        <f>HYPERLINK("https://patents.google.com/patent/US20030155413A1/en")</f>
        <v>https://patents.google.com/patent/US20030155413A1/en</v>
      </c>
    </row>
    <row r="8883" spans="3:5" x14ac:dyDescent="0.25">
      <c r="C8883" t="s">
        <v>16270</v>
      </c>
      <c r="D8883" t="s">
        <v>16271</v>
      </c>
      <c r="E8883" t="str">
        <f>HYPERLINK("https://patents.google.com/patent/US6431999B1/en")</f>
        <v>https://patents.google.com/patent/US6431999B1/en</v>
      </c>
    </row>
    <row r="8884" spans="3:5" x14ac:dyDescent="0.25">
      <c r="C8884" t="s">
        <v>16272</v>
      </c>
      <c r="D8884" t="s">
        <v>16273</v>
      </c>
      <c r="E8884" t="str">
        <f>HYPERLINK("https://patents.google.com/patent/US7193632B2/en")</f>
        <v>https://patents.google.com/patent/US7193632B2/en</v>
      </c>
    </row>
    <row r="8885" spans="3:5" x14ac:dyDescent="0.25">
      <c r="C8885" t="s">
        <v>16274</v>
      </c>
      <c r="D8885" t="s">
        <v>16275</v>
      </c>
      <c r="E8885" t="str">
        <f>HYPERLINK("https://patents.google.com/patent/US7330585B2/en")</f>
        <v>https://patents.google.com/patent/US7330585B2/en</v>
      </c>
    </row>
    <row r="8886" spans="3:5" x14ac:dyDescent="0.25">
      <c r="C8886" t="s">
        <v>16276</v>
      </c>
      <c r="D8886" t="s">
        <v>16277</v>
      </c>
      <c r="E8886" t="str">
        <f>HYPERLINK("https://patents.google.com/patent/US5454477A/en")</f>
        <v>https://patents.google.com/patent/US5454477A/en</v>
      </c>
    </row>
    <row r="8887" spans="3:5" x14ac:dyDescent="0.25">
      <c r="C8887" t="s">
        <v>16278</v>
      </c>
      <c r="D8887" t="s">
        <v>16279</v>
      </c>
      <c r="E8887" t="str">
        <f>HYPERLINK("https://patents.google.com/patent/US20030212536A1/en")</f>
        <v>https://patents.google.com/patent/US20030212536A1/en</v>
      </c>
    </row>
    <row r="8888" spans="3:5" x14ac:dyDescent="0.25">
      <c r="C8888" t="s">
        <v>16280</v>
      </c>
      <c r="D8888" t="s">
        <v>16281</v>
      </c>
      <c r="E8888" t="str">
        <f>HYPERLINK("https://patents.google.com/patent/US20110208418A1/en")</f>
        <v>https://patents.google.com/patent/US20110208418A1/en</v>
      </c>
    </row>
    <row r="8889" spans="3:5" x14ac:dyDescent="0.25">
      <c r="C8889" t="s">
        <v>16282</v>
      </c>
      <c r="D8889" t="s">
        <v>16283</v>
      </c>
      <c r="E8889" t="str">
        <f>HYPERLINK("https://patents.google.com/patent/US8306635B2/en")</f>
        <v>https://patents.google.com/patent/US8306635B2/en</v>
      </c>
    </row>
    <row r="8890" spans="3:5" x14ac:dyDescent="0.25">
      <c r="C8890" t="s">
        <v>16284</v>
      </c>
      <c r="D8890" t="s">
        <v>16285</v>
      </c>
      <c r="E8890" t="str">
        <f>HYPERLINK("https://patents.google.com/patent/US6019423A/en")</f>
        <v>https://patents.google.com/patent/US6019423A/en</v>
      </c>
    </row>
    <row r="8891" spans="3:5" x14ac:dyDescent="0.25">
      <c r="C8891" t="s">
        <v>16286</v>
      </c>
      <c r="D8891" t="s">
        <v>16287</v>
      </c>
      <c r="E8891" t="str">
        <f>HYPERLINK("https://patents.google.com/patent/US7925995B2/en")</f>
        <v>https://patents.google.com/patent/US7925995B2/en</v>
      </c>
    </row>
    <row r="8892" spans="3:5" x14ac:dyDescent="0.25">
      <c r="C8892" t="s">
        <v>16288</v>
      </c>
      <c r="D8892" t="s">
        <v>16289</v>
      </c>
      <c r="E8892" t="str">
        <f>HYPERLINK("https://patents.google.com/patent/US8505054B1/en")</f>
        <v>https://patents.google.com/patent/US8505054B1/en</v>
      </c>
    </row>
    <row r="8893" spans="3:5" x14ac:dyDescent="0.25">
      <c r="C8893" t="s">
        <v>16290</v>
      </c>
      <c r="D8893" t="s">
        <v>16291</v>
      </c>
      <c r="E8893" t="str">
        <f>HYPERLINK("https://patents.google.com/patent/US7474803B2/en")</f>
        <v>https://patents.google.com/patent/US7474803B2/en</v>
      </c>
    </row>
    <row r="8894" spans="3:5" x14ac:dyDescent="0.25">
      <c r="C8894" t="s">
        <v>16292</v>
      </c>
      <c r="D8894" t="s">
        <v>16293</v>
      </c>
      <c r="E8894" t="str">
        <f>HYPERLINK("https://patents.google.com/patent/US20120058775A1/en")</f>
        <v>https://patents.google.com/patent/US20120058775A1/en</v>
      </c>
    </row>
    <row r="8895" spans="3:5" x14ac:dyDescent="0.25">
      <c r="C8895" t="s">
        <v>16294</v>
      </c>
      <c r="D8895" t="s">
        <v>16295</v>
      </c>
      <c r="E8895" t="str">
        <f>HYPERLINK("https://patents.google.com/patent/US20110306304A1/en")</f>
        <v>https://patents.google.com/patent/US20110306304A1/en</v>
      </c>
    </row>
    <row r="8896" spans="3:5" x14ac:dyDescent="0.25">
      <c r="C8896" t="s">
        <v>16296</v>
      </c>
      <c r="D8896" t="s">
        <v>16297</v>
      </c>
      <c r="E8896" t="str">
        <f>HYPERLINK("https://patents.google.com/patent/US20130222369A1/en")</f>
        <v>https://patents.google.com/patent/US20130222369A1/en</v>
      </c>
    </row>
    <row r="8897" spans="3:5" x14ac:dyDescent="0.25">
      <c r="C8897" t="s">
        <v>16298</v>
      </c>
      <c r="D8897" t="s">
        <v>16299</v>
      </c>
      <c r="E8897" t="str">
        <f>HYPERLINK("https://patents.google.com/patent/US20090005061A1/en")</f>
        <v>https://patents.google.com/patent/US20090005061A1/en</v>
      </c>
    </row>
    <row r="8898" spans="3:5" x14ac:dyDescent="0.25">
      <c r="C8898" t="s">
        <v>16300</v>
      </c>
      <c r="D8898" t="s">
        <v>16301</v>
      </c>
      <c r="E8898" t="str">
        <f>HYPERLINK("https://patents.google.com/patent/US20050054439A1/en")</f>
        <v>https://patents.google.com/patent/US20050054439A1/en</v>
      </c>
    </row>
    <row r="8899" spans="3:5" x14ac:dyDescent="0.25">
      <c r="C8899" t="s">
        <v>16302</v>
      </c>
      <c r="D8899" t="s">
        <v>16303</v>
      </c>
      <c r="E8899" t="str">
        <f>HYPERLINK("https://patents.google.com/patent/US20100299615A1/en")</f>
        <v>https://patents.google.com/patent/US20100299615A1/en</v>
      </c>
    </row>
    <row r="8900" spans="3:5" x14ac:dyDescent="0.25">
      <c r="C8900" t="s">
        <v>16304</v>
      </c>
      <c r="D8900" t="s">
        <v>16305</v>
      </c>
      <c r="E8900" t="str">
        <f>HYPERLINK("https://patents.google.com/patent/US20030148774A1/en")</f>
        <v>https://patents.google.com/patent/US20030148774A1/en</v>
      </c>
    </row>
    <row r="8901" spans="3:5" x14ac:dyDescent="0.25">
      <c r="C8901" t="s">
        <v>16306</v>
      </c>
      <c r="D8901" t="s">
        <v>16307</v>
      </c>
      <c r="E8901" t="str">
        <f>HYPERLINK("https://patents.google.com/patent/US20110178863A1/en")</f>
        <v>https://patents.google.com/patent/US20110178863A1/en</v>
      </c>
    </row>
    <row r="8902" spans="3:5" x14ac:dyDescent="0.25">
      <c r="C8902" t="s">
        <v>16308</v>
      </c>
      <c r="D8902" t="s">
        <v>16309</v>
      </c>
      <c r="E8902" t="str">
        <f>HYPERLINK("https://patents.google.com/patent/US20100291907A1/en")</f>
        <v>https://patents.google.com/patent/US20100291907A1/en</v>
      </c>
    </row>
    <row r="8903" spans="3:5" x14ac:dyDescent="0.25">
      <c r="C8903" t="s">
        <v>16310</v>
      </c>
      <c r="D8903" t="s">
        <v>16311</v>
      </c>
      <c r="E8903" t="str">
        <f>HYPERLINK("https://patents.google.com/patent/US20080235351A1/en")</f>
        <v>https://patents.google.com/patent/US20080235351A1/en</v>
      </c>
    </row>
    <row r="8904" spans="3:5" x14ac:dyDescent="0.25">
      <c r="C8904" t="s">
        <v>16312</v>
      </c>
      <c r="D8904" t="s">
        <v>16313</v>
      </c>
      <c r="E8904" t="str">
        <f>HYPERLINK("https://patents.google.com/patent/US20060020469A1/en")</f>
        <v>https://patents.google.com/patent/US20060020469A1/en</v>
      </c>
    </row>
    <row r="8905" spans="3:5" x14ac:dyDescent="0.25">
      <c r="C8905" t="s">
        <v>16314</v>
      </c>
      <c r="D8905" t="s">
        <v>16315</v>
      </c>
      <c r="E8905" t="str">
        <f>HYPERLINK("https://patents.google.com/patent/US20120221687A1/en")</f>
        <v>https://patents.google.com/patent/US20120221687A1/en</v>
      </c>
    </row>
    <row r="8906" spans="3:5" x14ac:dyDescent="0.25">
      <c r="C8906" t="s">
        <v>16316</v>
      </c>
      <c r="D8906" t="s">
        <v>16317</v>
      </c>
      <c r="E8906" t="str">
        <f>HYPERLINK("https://patents.google.com/patent/US20110099126A1/en")</f>
        <v>https://patents.google.com/patent/US20110099126A1/en</v>
      </c>
    </row>
    <row r="8907" spans="3:5" x14ac:dyDescent="0.25">
      <c r="C8907" t="s">
        <v>16318</v>
      </c>
      <c r="D8907" t="s">
        <v>16319</v>
      </c>
      <c r="E8907" t="str">
        <f>HYPERLINK("https://patents.google.com/patent/US20130215116A1/en")</f>
        <v>https://patents.google.com/patent/US20130215116A1/en</v>
      </c>
    </row>
    <row r="8908" spans="3:5" x14ac:dyDescent="0.25">
      <c r="C8908" t="s">
        <v>16320</v>
      </c>
      <c r="D8908" t="s">
        <v>16321</v>
      </c>
      <c r="E8908" t="str">
        <f>HYPERLINK("https://patents.google.com/patent/US20100278141A1/en")</f>
        <v>https://patents.google.com/patent/US20100278141A1/en</v>
      </c>
    </row>
    <row r="8909" spans="3:5" x14ac:dyDescent="0.25">
      <c r="C8909" t="s">
        <v>16322</v>
      </c>
      <c r="D8909" t="s">
        <v>16323</v>
      </c>
      <c r="E8909" t="str">
        <f>HYPERLINK("https://patents.google.com/patent/US20100030578A1/en")</f>
        <v>https://patents.google.com/patent/US20100030578A1/en</v>
      </c>
    </row>
    <row r="8910" spans="3:5" x14ac:dyDescent="0.25">
      <c r="C8910" t="s">
        <v>16324</v>
      </c>
      <c r="D8910" t="s">
        <v>16325</v>
      </c>
      <c r="E8910" t="str">
        <f>HYPERLINK("https://patents.google.com/patent/US20100120447A1/en")</f>
        <v>https://patents.google.com/patent/US20100120447A1/en</v>
      </c>
    </row>
    <row r="8911" spans="3:5" x14ac:dyDescent="0.25">
      <c r="C8911" t="s">
        <v>16326</v>
      </c>
      <c r="D8911" t="s">
        <v>16327</v>
      </c>
      <c r="E8911" t="str">
        <f>HYPERLINK("https://patents.google.com/patent/US20110086614A1/en")</f>
        <v>https://patents.google.com/patent/US20110086614A1/en</v>
      </c>
    </row>
    <row r="8912" spans="3:5" x14ac:dyDescent="0.25">
      <c r="C8912" t="s">
        <v>16328</v>
      </c>
      <c r="D8912" t="s">
        <v>16329</v>
      </c>
      <c r="E8912" t="str">
        <f>HYPERLINK("https://patents.google.com/patent/US20100331016A1/en")</f>
        <v>https://patents.google.com/patent/US20100331016A1/en</v>
      </c>
    </row>
    <row r="8913" spans="3:5" x14ac:dyDescent="0.25">
      <c r="C8913" t="s">
        <v>16330</v>
      </c>
      <c r="D8913" t="s">
        <v>16331</v>
      </c>
      <c r="E8913" t="str">
        <f>HYPERLINK("https://patents.google.com/patent/US20060002590A1/en")</f>
        <v>https://patents.google.com/patent/US20060002590A1/en</v>
      </c>
    </row>
    <row r="8914" spans="3:5" x14ac:dyDescent="0.25">
      <c r="C8914" t="s">
        <v>16332</v>
      </c>
      <c r="D8914" t="s">
        <v>16333</v>
      </c>
      <c r="E8914" t="str">
        <f>HYPERLINK("https://patents.google.com/patent/US20110313840A1/en")</f>
        <v>https://patents.google.com/patent/US20110313840A1/en</v>
      </c>
    </row>
    <row r="8915" spans="3:5" x14ac:dyDescent="0.25">
      <c r="C8915" t="s">
        <v>16334</v>
      </c>
      <c r="D8915" t="s">
        <v>16335</v>
      </c>
      <c r="E8915" t="str">
        <f>HYPERLINK("https://patents.google.com/patent/US20040116115A1/en")</f>
        <v>https://patents.google.com/patent/US20040116115A1/en</v>
      </c>
    </row>
    <row r="8916" spans="3:5" x14ac:dyDescent="0.25">
      <c r="C8916" t="s">
        <v>16336</v>
      </c>
      <c r="D8916" t="s">
        <v>16337</v>
      </c>
      <c r="E8916" t="str">
        <f>HYPERLINK("https://patents.google.com/patent/US20110230986A1/en")</f>
        <v>https://patents.google.com/patent/US20110230986A1/en</v>
      </c>
    </row>
    <row r="8917" spans="3:5" x14ac:dyDescent="0.25">
      <c r="C8917" t="s">
        <v>16338</v>
      </c>
      <c r="D8917" t="s">
        <v>16339</v>
      </c>
      <c r="E8917" t="str">
        <f>HYPERLINK("https://patents.google.com/patent/US20090292599A1/en")</f>
        <v>https://patents.google.com/patent/US20090292599A1/en</v>
      </c>
    </row>
    <row r="8918" spans="3:5" x14ac:dyDescent="0.25">
      <c r="C8918" t="s">
        <v>16340</v>
      </c>
      <c r="D8918" t="s">
        <v>16341</v>
      </c>
      <c r="E8918" t="str">
        <f>HYPERLINK("https://patents.google.com/patent/US20100302056A1/en")</f>
        <v>https://patents.google.com/patent/US20100302056A1/en</v>
      </c>
    </row>
    <row r="8919" spans="3:5" x14ac:dyDescent="0.25">
      <c r="C8919" t="s">
        <v>16342</v>
      </c>
      <c r="D8919" t="s">
        <v>16343</v>
      </c>
      <c r="E8919" t="str">
        <f>HYPERLINK("https://patents.google.com/patent/US20140171039A1/en")</f>
        <v>https://patents.google.com/patent/US20140171039A1/en</v>
      </c>
    </row>
    <row r="8920" spans="3:5" x14ac:dyDescent="0.25">
      <c r="C8920" t="s">
        <v>16336</v>
      </c>
      <c r="D8920" t="s">
        <v>16344</v>
      </c>
      <c r="E8920" t="str">
        <f>HYPERLINK("https://patents.google.com/patent/US20110230273A1/en")</f>
        <v>https://patents.google.com/patent/US20110230273A1/en</v>
      </c>
    </row>
    <row r="8921" spans="3:5" x14ac:dyDescent="0.25">
      <c r="C8921" t="s">
        <v>16345</v>
      </c>
      <c r="D8921" t="s">
        <v>16346</v>
      </c>
      <c r="E8921" t="str">
        <f>HYPERLINK("https://patents.google.com/patent/US20110313874A1/en")</f>
        <v>https://patents.google.com/patent/US20110313874A1/en</v>
      </c>
    </row>
    <row r="8922" spans="3:5" x14ac:dyDescent="0.25">
      <c r="C8922" t="s">
        <v>16347</v>
      </c>
      <c r="D8922" t="s">
        <v>16348</v>
      </c>
      <c r="E8922" t="str">
        <f>HYPERLINK("https://patents.google.com/patent/US20120214515A1/en")</f>
        <v>https://patents.google.com/patent/US20120214515A1/en</v>
      </c>
    </row>
    <row r="8923" spans="3:5" x14ac:dyDescent="0.25">
      <c r="C8923" t="s">
        <v>16292</v>
      </c>
      <c r="D8923" t="s">
        <v>16349</v>
      </c>
      <c r="E8923" t="str">
        <f>HYPERLINK("https://patents.google.com/patent/US20130285855A1/en")</f>
        <v>https://patents.google.com/patent/US20130285855A1/en</v>
      </c>
    </row>
    <row r="8924" spans="3:5" x14ac:dyDescent="0.25">
      <c r="C8924" t="s">
        <v>16350</v>
      </c>
      <c r="D8924" t="s">
        <v>16351</v>
      </c>
      <c r="E8924" t="str">
        <f>HYPERLINK("https://patents.google.com/patent/US20090006184A1/en")</f>
        <v>https://patents.google.com/patent/US20090006184A1/en</v>
      </c>
    </row>
    <row r="8925" spans="3:5" x14ac:dyDescent="0.25">
      <c r="C8925" t="s">
        <v>16352</v>
      </c>
      <c r="D8925" t="s">
        <v>16353</v>
      </c>
      <c r="E8925" t="str">
        <f>HYPERLINK("https://patents.google.com/patent/US20120271883A1/en")</f>
        <v>https://patents.google.com/patent/US20120271883A1/en</v>
      </c>
    </row>
    <row r="8926" spans="3:5" x14ac:dyDescent="0.25">
      <c r="C8926" t="s">
        <v>16354</v>
      </c>
      <c r="D8926" t="s">
        <v>16355</v>
      </c>
      <c r="E8926" t="str">
        <f>HYPERLINK("https://patents.google.com/patent/US20060229163A1/en")</f>
        <v>https://patents.google.com/patent/US20060229163A1/en</v>
      </c>
    </row>
    <row r="8927" spans="3:5" x14ac:dyDescent="0.25">
      <c r="C8927" t="s">
        <v>16356</v>
      </c>
      <c r="D8927" t="s">
        <v>16357</v>
      </c>
      <c r="E8927" t="str">
        <f>HYPERLINK("https://patents.google.com/patent/US20090143977A1/en")</f>
        <v>https://patents.google.com/patent/US20090143977A1/en</v>
      </c>
    </row>
    <row r="8928" spans="3:5" x14ac:dyDescent="0.25">
      <c r="C8928" t="s">
        <v>16358</v>
      </c>
      <c r="D8928" t="s">
        <v>16359</v>
      </c>
      <c r="E8928" t="str">
        <f>HYPERLINK("https://patents.google.com/patent/US20060020523A1/en")</f>
        <v>https://patents.google.com/patent/US20060020523A1/en</v>
      </c>
    </row>
    <row r="8929" spans="3:5" x14ac:dyDescent="0.25">
      <c r="C8929" t="s">
        <v>16360</v>
      </c>
      <c r="D8929" t="s">
        <v>16361</v>
      </c>
      <c r="E8929" t="str">
        <f>HYPERLINK("https://patents.google.com/patent/US20030206100A1/en")</f>
        <v>https://patents.google.com/patent/US20030206100A1/en</v>
      </c>
    </row>
    <row r="8930" spans="3:5" x14ac:dyDescent="0.25">
      <c r="C8930" t="s">
        <v>16362</v>
      </c>
      <c r="D8930" t="s">
        <v>16363</v>
      </c>
      <c r="E8930" t="str">
        <f>HYPERLINK("https://patents.google.com/patent/US20090177603A1/en")</f>
        <v>https://patents.google.com/patent/US20090177603A1/en</v>
      </c>
    </row>
    <row r="8931" spans="3:5" x14ac:dyDescent="0.25">
      <c r="C8931" t="s">
        <v>16364</v>
      </c>
      <c r="D8931" t="s">
        <v>16365</v>
      </c>
      <c r="E8931" t="str">
        <f>HYPERLINK("https://patents.google.com/patent/US20080262901A1/en")</f>
        <v>https://patents.google.com/patent/US20080262901A1/en</v>
      </c>
    </row>
    <row r="8932" spans="3:5" x14ac:dyDescent="0.25">
      <c r="C8932" t="s">
        <v>16366</v>
      </c>
      <c r="D8932" t="s">
        <v>16367</v>
      </c>
      <c r="E8932" t="str">
        <f>HYPERLINK("https://patents.google.com/patent/US20060072014A1/en")</f>
        <v>https://patents.google.com/patent/US20060072014A1/en</v>
      </c>
    </row>
    <row r="8933" spans="3:5" x14ac:dyDescent="0.25">
      <c r="C8933" t="s">
        <v>16336</v>
      </c>
      <c r="D8933" t="s">
        <v>16368</v>
      </c>
      <c r="E8933" t="str">
        <f>HYPERLINK("https://patents.google.com/patent/US20110230274A1/en")</f>
        <v>https://patents.google.com/patent/US20110230274A1/en</v>
      </c>
    </row>
    <row r="8934" spans="3:5" x14ac:dyDescent="0.25">
      <c r="C8934" t="s">
        <v>16369</v>
      </c>
      <c r="D8934" t="s">
        <v>16370</v>
      </c>
      <c r="E8934" t="str">
        <f>HYPERLINK("https://patents.google.com/patent/US20110081919A1/en")</f>
        <v>https://patents.google.com/patent/US20110081919A1/en</v>
      </c>
    </row>
    <row r="8935" spans="3:5" x14ac:dyDescent="0.25">
      <c r="C8935" t="s">
        <v>16371</v>
      </c>
      <c r="D8935" t="s">
        <v>16372</v>
      </c>
      <c r="E8935" t="str">
        <f>HYPERLINK("https://patents.google.com/patent/US20030179133A1/en")</f>
        <v>https://patents.google.com/patent/US20030179133A1/en</v>
      </c>
    </row>
    <row r="8936" spans="3:5" x14ac:dyDescent="0.25">
      <c r="C8936" t="s">
        <v>16336</v>
      </c>
      <c r="D8936" t="s">
        <v>16373</v>
      </c>
      <c r="E8936" t="str">
        <f>HYPERLINK("https://patents.google.com/patent/US20110230985A1/en")</f>
        <v>https://patents.google.com/patent/US20110230985A1/en</v>
      </c>
    </row>
    <row r="8937" spans="3:5" x14ac:dyDescent="0.25">
      <c r="C8937" t="s">
        <v>16374</v>
      </c>
      <c r="D8937" t="s">
        <v>16375</v>
      </c>
      <c r="E8937" t="str">
        <f>HYPERLINK("https://patents.google.com/patent/US20140059695A1/en")</f>
        <v>https://patents.google.com/patent/US20140059695A1/en</v>
      </c>
    </row>
    <row r="8938" spans="3:5" x14ac:dyDescent="0.25">
      <c r="C8938" t="s">
        <v>16376</v>
      </c>
      <c r="D8938" t="s">
        <v>16377</v>
      </c>
      <c r="E8938" t="str">
        <f>HYPERLINK("https://patents.google.com/patent/US20080261622A1/en")</f>
        <v>https://patents.google.com/patent/US20080261622A1/en</v>
      </c>
    </row>
    <row r="8939" spans="3:5" x14ac:dyDescent="0.25">
      <c r="C8939" t="s">
        <v>16378</v>
      </c>
      <c r="D8939" t="s">
        <v>16379</v>
      </c>
      <c r="E8939" t="str">
        <f>HYPERLINK("https://patents.google.com/patent/US20100246544A1/en")</f>
        <v>https://patents.google.com/patent/US20100246544A1/en</v>
      </c>
    </row>
    <row r="8940" spans="3:5" x14ac:dyDescent="0.25">
      <c r="C8940" t="s">
        <v>16380</v>
      </c>
      <c r="D8940" t="s">
        <v>16381</v>
      </c>
      <c r="E8940" t="str">
        <f>HYPERLINK("https://patents.google.com/patent/US20100248640A1/en")</f>
        <v>https://patents.google.com/patent/US20100248640A1/en</v>
      </c>
    </row>
    <row r="8941" spans="3:5" x14ac:dyDescent="0.25">
      <c r="C8941" t="s">
        <v>16322</v>
      </c>
      <c r="D8941" t="s">
        <v>16382</v>
      </c>
      <c r="E8941" t="str">
        <f>HYPERLINK("https://patents.google.com/patent/US20160210602A1/en")</f>
        <v>https://patents.google.com/patent/US20160210602A1/en</v>
      </c>
    </row>
    <row r="8942" spans="3:5" x14ac:dyDescent="0.25">
      <c r="C8942" t="s">
        <v>16383</v>
      </c>
      <c r="D8942" t="s">
        <v>16384</v>
      </c>
      <c r="E8942" t="str">
        <f>HYPERLINK("https://patents.google.com/patent/US20120059720A1/en")</f>
        <v>https://patents.google.com/patent/US20120059720A1/en</v>
      </c>
    </row>
    <row r="8943" spans="3:5" x14ac:dyDescent="0.25">
      <c r="C8943" t="s">
        <v>16385</v>
      </c>
      <c r="D8943" t="s">
        <v>16386</v>
      </c>
      <c r="E8943" t="str">
        <f>HYPERLINK("https://patents.google.com/patent/US20110059752A1/en")</f>
        <v>https://patents.google.com/patent/US20110059752A1/en</v>
      </c>
    </row>
    <row r="8944" spans="3:5" x14ac:dyDescent="0.25">
      <c r="C8944" t="s">
        <v>16387</v>
      </c>
      <c r="D8944" t="s">
        <v>16388</v>
      </c>
      <c r="E8944" t="str">
        <f>HYPERLINK("https://patents.google.com/patent/US20140162693A1/en")</f>
        <v>https://patents.google.com/patent/US20140162693A1/en</v>
      </c>
    </row>
    <row r="8945" spans="3:5" x14ac:dyDescent="0.25">
      <c r="C8945" t="s">
        <v>16389</v>
      </c>
      <c r="D8945" t="s">
        <v>16390</v>
      </c>
      <c r="E8945" t="str">
        <f>HYPERLINK("https://patents.google.com/patent/US20110090123A1/en")</f>
        <v>https://patents.google.com/patent/US20110090123A1/en</v>
      </c>
    </row>
    <row r="8946" spans="3:5" x14ac:dyDescent="0.25">
      <c r="C8946" t="s">
        <v>16391</v>
      </c>
      <c r="D8946" t="s">
        <v>16392</v>
      </c>
      <c r="E8946" t="str">
        <f>HYPERLINK("https://patents.google.com/patent/US20110246148A1/en")</f>
        <v>https://patents.google.com/patent/US20110246148A1/en</v>
      </c>
    </row>
    <row r="8947" spans="3:5" x14ac:dyDescent="0.25">
      <c r="C8947" t="s">
        <v>16393</v>
      </c>
      <c r="D8947" t="s">
        <v>16394</v>
      </c>
      <c r="E8947" t="str">
        <f>HYPERLINK("https://patents.google.com/patent/US20120028649A1/en")</f>
        <v>https://patents.google.com/patent/US20120028649A1/en</v>
      </c>
    </row>
    <row r="8948" spans="3:5" x14ac:dyDescent="0.25">
      <c r="C8948" t="s">
        <v>16395</v>
      </c>
      <c r="D8948" t="s">
        <v>16396</v>
      </c>
      <c r="E8948" t="str">
        <f>HYPERLINK("https://patents.google.com/patent/US20100212087A1/en")</f>
        <v>https://patents.google.com/patent/US20100212087A1/en</v>
      </c>
    </row>
    <row r="8949" spans="3:5" x14ac:dyDescent="0.25">
      <c r="C8949" t="s">
        <v>16397</v>
      </c>
      <c r="D8949" t="s">
        <v>16398</v>
      </c>
      <c r="E8949" t="str">
        <f>HYPERLINK("https://patents.google.com/patent/US20110099047A1/en")</f>
        <v>https://patents.google.com/patent/US20110099047A1/en</v>
      </c>
    </row>
    <row r="8950" spans="3:5" x14ac:dyDescent="0.25">
      <c r="C8950" t="s">
        <v>16399</v>
      </c>
      <c r="D8950" t="s">
        <v>16400</v>
      </c>
      <c r="E8950" t="str">
        <f>HYPERLINK("https://patents.google.com/patent/US20110172550A1/en")</f>
        <v>https://patents.google.com/patent/US20110172550A1/en</v>
      </c>
    </row>
    <row r="8951" spans="3:5" x14ac:dyDescent="0.25">
      <c r="C8951" t="s">
        <v>16401</v>
      </c>
      <c r="D8951" t="s">
        <v>16402</v>
      </c>
      <c r="E8951" t="str">
        <f>HYPERLINK("https://patents.google.com/patent/US20110081918A1/en")</f>
        <v>https://patents.google.com/patent/US20110081918A1/en</v>
      </c>
    </row>
    <row r="8952" spans="3:5" x14ac:dyDescent="0.25">
      <c r="C8952" t="s">
        <v>16403</v>
      </c>
      <c r="D8952" t="s">
        <v>16404</v>
      </c>
      <c r="E8952" t="str">
        <f>HYPERLINK("https://patents.google.com/patent/US20120191476A1/en")</f>
        <v>https://patents.google.com/patent/US20120191476A1/en</v>
      </c>
    </row>
    <row r="8953" spans="3:5" x14ac:dyDescent="0.25">
      <c r="C8953" t="s">
        <v>16405</v>
      </c>
      <c r="D8953" t="s">
        <v>16406</v>
      </c>
      <c r="E8953" t="str">
        <f>HYPERLINK("https://patents.google.com/patent/US20100305855A1/en")</f>
        <v>https://patents.google.com/patent/US20100305855A1/en</v>
      </c>
    </row>
    <row r="8954" spans="3:5" x14ac:dyDescent="0.25">
      <c r="C8954" t="s">
        <v>16407</v>
      </c>
      <c r="D8954" t="s">
        <v>16408</v>
      </c>
      <c r="E8954" t="str">
        <f>HYPERLINK("https://patents.google.com/patent/US20060001677A1/en")</f>
        <v>https://patents.google.com/patent/US20060001677A1/en</v>
      </c>
    </row>
    <row r="8955" spans="3:5" x14ac:dyDescent="0.25">
      <c r="C8955" t="s">
        <v>16409</v>
      </c>
      <c r="D8955" t="s">
        <v>16410</v>
      </c>
      <c r="E8955" t="str">
        <f>HYPERLINK("https://patents.google.com/patent/US20120039539A1/en")</f>
        <v>https://patents.google.com/patent/US20120039539A1/en</v>
      </c>
    </row>
    <row r="8956" spans="3:5" x14ac:dyDescent="0.25">
      <c r="C8956" t="s">
        <v>16411</v>
      </c>
      <c r="D8956" t="s">
        <v>16412</v>
      </c>
      <c r="E8956" t="str">
        <f>HYPERLINK("https://patents.google.com/patent/US20120044265A1/en")</f>
        <v>https://patents.google.com/patent/US20120044265A1/en</v>
      </c>
    </row>
    <row r="8957" spans="3:5" x14ac:dyDescent="0.25">
      <c r="C8957" t="s">
        <v>16413</v>
      </c>
      <c r="D8957" t="s">
        <v>16414</v>
      </c>
      <c r="E8957" t="str">
        <f>HYPERLINK("https://patents.google.com/patent/US20140335893A1/en")</f>
        <v>https://patents.google.com/patent/US20140335893A1/en</v>
      </c>
    </row>
    <row r="8958" spans="3:5" x14ac:dyDescent="0.25">
      <c r="C8958" t="s">
        <v>16306</v>
      </c>
      <c r="D8958" t="s">
        <v>16415</v>
      </c>
      <c r="E8958" t="str">
        <f>HYPERLINK("https://patents.google.com/patent/US20110178862A1/en")</f>
        <v>https://patents.google.com/patent/US20110178862A1/en</v>
      </c>
    </row>
    <row r="8959" spans="3:5" x14ac:dyDescent="0.25">
      <c r="C8959" t="s">
        <v>16416</v>
      </c>
      <c r="D8959" t="s">
        <v>16417</v>
      </c>
      <c r="E8959" t="str">
        <f>HYPERLINK("https://patents.google.com/patent/US20060190285A1/en")</f>
        <v>https://patents.google.com/patent/US20060190285A1/en</v>
      </c>
    </row>
    <row r="8960" spans="3:5" x14ac:dyDescent="0.25">
      <c r="C8960" t="s">
        <v>16418</v>
      </c>
      <c r="D8960" t="s">
        <v>16419</v>
      </c>
      <c r="E8960" t="str">
        <f>HYPERLINK("https://patents.google.com/patent/US20070188488A1/en")</f>
        <v>https://patents.google.com/patent/US20070188488A1/en</v>
      </c>
    </row>
    <row r="8961" spans="3:5" x14ac:dyDescent="0.25">
      <c r="C8961" t="s">
        <v>16420</v>
      </c>
      <c r="D8961" t="s">
        <v>16421</v>
      </c>
      <c r="E8961" t="str">
        <f>HYPERLINK("https://patents.google.com/patent/US20130045751A1/en")</f>
        <v>https://patents.google.com/patent/US20130045751A1/en</v>
      </c>
    </row>
    <row r="8962" spans="3:5" x14ac:dyDescent="0.25">
      <c r="C8962" t="s">
        <v>16422</v>
      </c>
      <c r="D8962" t="s">
        <v>16423</v>
      </c>
      <c r="E8962" t="str">
        <f>HYPERLINK("https://patents.google.com/patent/US20110090081A1/en")</f>
        <v>https://patents.google.com/patent/US20110090081A1/en</v>
      </c>
    </row>
    <row r="8963" spans="3:5" x14ac:dyDescent="0.25">
      <c r="C8963" t="s">
        <v>16424</v>
      </c>
      <c r="D8963" t="s">
        <v>16425</v>
      </c>
      <c r="E8963" t="str">
        <f>HYPERLINK("https://patents.google.com/patent/US20090144080A1/en")</f>
        <v>https://patents.google.com/patent/US20090144080A1/en</v>
      </c>
    </row>
    <row r="8964" spans="3:5" x14ac:dyDescent="0.25">
      <c r="C8964" t="s">
        <v>16426</v>
      </c>
      <c r="D8964" t="s">
        <v>16427</v>
      </c>
      <c r="E8964" t="str">
        <f>HYPERLINK("https://patents.google.com/patent/US20130122935A1/en")</f>
        <v>https://patents.google.com/patent/US20130122935A1/en</v>
      </c>
    </row>
    <row r="8965" spans="3:5" x14ac:dyDescent="0.25">
      <c r="C8965" t="s">
        <v>16428</v>
      </c>
      <c r="D8965" t="s">
        <v>16429</v>
      </c>
      <c r="E8965" t="str">
        <f>HYPERLINK("https://patents.google.com/patent/US20160036962A1/en")</f>
        <v>https://patents.google.com/patent/US20160036962A1/en</v>
      </c>
    </row>
    <row r="8966" spans="3:5" x14ac:dyDescent="0.25">
      <c r="C8966" t="s">
        <v>16430</v>
      </c>
      <c r="D8966" t="s">
        <v>16431</v>
      </c>
      <c r="E8966" t="str">
        <f>HYPERLINK("https://patents.google.com/patent/CN201622814U/en")</f>
        <v>https://patents.google.com/patent/CN201622814U/en</v>
      </c>
    </row>
    <row r="8967" spans="3:5" x14ac:dyDescent="0.25">
      <c r="C8967" t="s">
        <v>16403</v>
      </c>
      <c r="D8967" t="s">
        <v>16432</v>
      </c>
      <c r="E8967" t="str">
        <f>HYPERLINK("https://patents.google.com/patent/US20110295078A1/en")</f>
        <v>https://patents.google.com/patent/US20110295078A1/en</v>
      </c>
    </row>
    <row r="8968" spans="3:5" x14ac:dyDescent="0.25">
      <c r="C8968" t="s">
        <v>16433</v>
      </c>
      <c r="D8968" t="s">
        <v>16434</v>
      </c>
      <c r="E8968" t="str">
        <f>HYPERLINK("https://patents.google.com/patent/US20100331089A1/en")</f>
        <v>https://patents.google.com/patent/US20100331089A1/en</v>
      </c>
    </row>
    <row r="8969" spans="3:5" x14ac:dyDescent="0.25">
      <c r="C8969" t="s">
        <v>16435</v>
      </c>
      <c r="D8969" t="s">
        <v>16436</v>
      </c>
      <c r="E8969" t="str">
        <f>HYPERLINK("https://patents.google.com/patent/US5110252A/en")</f>
        <v>https://patents.google.com/patent/US5110252A/en</v>
      </c>
    </row>
    <row r="8970" spans="3:5" x14ac:dyDescent="0.25">
      <c r="C8970" t="s">
        <v>16270</v>
      </c>
      <c r="D8970" t="s">
        <v>16437</v>
      </c>
      <c r="E8970" t="str">
        <f>HYPERLINK("https://patents.google.com/patent/US6612941B2/en")</f>
        <v>https://patents.google.com/patent/US6612941B2/en</v>
      </c>
    </row>
    <row r="8971" spans="3:5" x14ac:dyDescent="0.25">
      <c r="C8971" t="s">
        <v>16438</v>
      </c>
      <c r="D8971" t="s">
        <v>16439</v>
      </c>
      <c r="E8971" t="str">
        <f>HYPERLINK("https://patents.google.com/patent/CN102325063A/en")</f>
        <v>https://patents.google.com/patent/CN102325063A/en</v>
      </c>
    </row>
    <row r="8972" spans="3:5" x14ac:dyDescent="0.25">
      <c r="C8972" t="s">
        <v>16440</v>
      </c>
      <c r="D8972" t="s">
        <v>16441</v>
      </c>
      <c r="E8972" t="str">
        <f>HYPERLINK("https://patents.google.com/patent/US20120176525A1/en")</f>
        <v>https://patents.google.com/patent/US20120176525A1/en</v>
      </c>
    </row>
    <row r="8973" spans="3:5" x14ac:dyDescent="0.25">
      <c r="C8973" t="s">
        <v>16442</v>
      </c>
      <c r="D8973" t="s">
        <v>16443</v>
      </c>
      <c r="E8973" t="str">
        <f>HYPERLINK("https://patents.google.com/patent/US20110086646A1/en")</f>
        <v>https://patents.google.com/patent/US20110086646A1/en</v>
      </c>
    </row>
    <row r="8974" spans="3:5" x14ac:dyDescent="0.25">
      <c r="C8974" t="s">
        <v>16444</v>
      </c>
      <c r="D8974" t="s">
        <v>16445</v>
      </c>
      <c r="E8974" t="str">
        <f>HYPERLINK("https://patents.google.com/patent/US20140095122A1/en")</f>
        <v>https://patents.google.com/patent/US20140095122A1/en</v>
      </c>
    </row>
    <row r="8975" spans="3:5" x14ac:dyDescent="0.25">
      <c r="C8975" t="s">
        <v>16446</v>
      </c>
      <c r="D8975" t="s">
        <v>16447</v>
      </c>
      <c r="E8975" t="str">
        <f>HYPERLINK("https://patents.google.com/patent/US20130187952A1/en")</f>
        <v>https://patents.google.com/patent/US20130187952A1/en</v>
      </c>
    </row>
    <row r="8976" spans="3:5" x14ac:dyDescent="0.25">
      <c r="C8976" t="s">
        <v>16448</v>
      </c>
      <c r="D8976" t="s">
        <v>16449</v>
      </c>
      <c r="E8976" t="str">
        <f>HYPERLINK("https://patents.google.com/patent/US20100165960A1/en")</f>
        <v>https://patents.google.com/patent/US20100165960A1/en</v>
      </c>
    </row>
    <row r="8977" spans="3:5" x14ac:dyDescent="0.25">
      <c r="C8977" t="s">
        <v>16254</v>
      </c>
      <c r="D8977" t="s">
        <v>16450</v>
      </c>
      <c r="E8977" t="str">
        <f>HYPERLINK("https://patents.google.com/patent/US6325730B1/en")</f>
        <v>https://patents.google.com/patent/US6325730B1/en</v>
      </c>
    </row>
    <row r="8978" spans="3:5" x14ac:dyDescent="0.25">
      <c r="C8978" t="s">
        <v>16451</v>
      </c>
      <c r="D8978" t="s">
        <v>16452</v>
      </c>
      <c r="E8978" t="str">
        <f>HYPERLINK("https://patents.google.com/patent/US6966574B1/en")</f>
        <v>https://patents.google.com/patent/US6966574B1/en</v>
      </c>
    </row>
    <row r="8979" spans="3:5" x14ac:dyDescent="0.25">
      <c r="C8979" t="s">
        <v>16453</v>
      </c>
      <c r="D8979" t="s">
        <v>16454</v>
      </c>
      <c r="E8979" t="str">
        <f>HYPERLINK("https://patents.google.com/patent/US7230629B2/en")</f>
        <v>https://patents.google.com/patent/US7230629B2/en</v>
      </c>
    </row>
    <row r="8980" spans="3:5" x14ac:dyDescent="0.25">
      <c r="C8980" t="s">
        <v>16435</v>
      </c>
      <c r="D8980" t="s">
        <v>16455</v>
      </c>
      <c r="E8980" t="str">
        <f>HYPERLINK("https://patents.google.com/patent/US5158419A/en")</f>
        <v>https://patents.google.com/patent/US5158419A/en</v>
      </c>
    </row>
    <row r="8981" spans="3:5" x14ac:dyDescent="0.25">
      <c r="C8981" t="s">
        <v>16456</v>
      </c>
      <c r="D8981" t="s">
        <v>16457</v>
      </c>
      <c r="E8981" t="str">
        <f>HYPERLINK("https://patents.google.com/patent/US20120030734A1/en")</f>
        <v>https://patents.google.com/patent/US20120030734A1/en</v>
      </c>
    </row>
    <row r="8982" spans="3:5" x14ac:dyDescent="0.25">
      <c r="C8982" t="s">
        <v>16458</v>
      </c>
      <c r="D8982" t="s">
        <v>16459</v>
      </c>
      <c r="E8982" t="str">
        <f>HYPERLINK("https://patents.google.com/patent/US20120099804A1/en")</f>
        <v>https://patents.google.com/patent/US20120099804A1/en</v>
      </c>
    </row>
    <row r="8983" spans="3:5" x14ac:dyDescent="0.25">
      <c r="C8983" t="s">
        <v>16460</v>
      </c>
      <c r="D8983" t="s">
        <v>16461</v>
      </c>
      <c r="E8983" t="str">
        <f>HYPERLINK("https://patents.google.com/patent/US20080231630A1/en")</f>
        <v>https://patents.google.com/patent/US20080231630A1/en</v>
      </c>
    </row>
    <row r="8984" spans="3:5" x14ac:dyDescent="0.25">
      <c r="C8984" t="s">
        <v>16462</v>
      </c>
      <c r="D8984" t="s">
        <v>16463</v>
      </c>
      <c r="E8984" t="str">
        <f>HYPERLINK("https://patents.google.com/patent/US20080097826A1/en")</f>
        <v>https://patents.google.com/patent/US20080097826A1/en</v>
      </c>
    </row>
    <row r="8985" spans="3:5" x14ac:dyDescent="0.25">
      <c r="C8985" t="s">
        <v>16464</v>
      </c>
      <c r="D8985" t="s">
        <v>16465</v>
      </c>
      <c r="E8985" t="str">
        <f>HYPERLINK("https://patents.google.com/patent/US20110137549A1/en")</f>
        <v>https://patents.google.com/patent/US20110137549A1/en</v>
      </c>
    </row>
    <row r="8986" spans="3:5" x14ac:dyDescent="0.25">
      <c r="C8986" t="s">
        <v>16466</v>
      </c>
      <c r="D8986" t="s">
        <v>16467</v>
      </c>
      <c r="E8986" t="str">
        <f>HYPERLINK("https://patents.google.com/patent/US20090098980A1/en")</f>
        <v>https://patents.google.com/patent/US20090098980A1/en</v>
      </c>
    </row>
    <row r="8987" spans="3:5" x14ac:dyDescent="0.25">
      <c r="C8987" t="s">
        <v>16468</v>
      </c>
      <c r="D8987" t="s">
        <v>16469</v>
      </c>
      <c r="E8987" t="str">
        <f>HYPERLINK("https://patents.google.com/patent/US20080109296A1/en")</f>
        <v>https://patents.google.com/patent/US20080109296A1/en</v>
      </c>
    </row>
    <row r="8988" spans="3:5" x14ac:dyDescent="0.25">
      <c r="C8988" t="s">
        <v>16470</v>
      </c>
      <c r="D8988" t="s">
        <v>16471</v>
      </c>
      <c r="E8988" t="str">
        <f>HYPERLINK("https://patents.google.com/patent/US20140287779A1/en")</f>
        <v>https://patents.google.com/patent/US20140287779A1/en</v>
      </c>
    </row>
    <row r="8989" spans="3:5" x14ac:dyDescent="0.25">
      <c r="C8989" t="s">
        <v>16472</v>
      </c>
      <c r="D8989" t="s">
        <v>16473</v>
      </c>
      <c r="E8989" t="str">
        <f>HYPERLINK("https://patents.google.com/patent/CN107846078A/en")</f>
        <v>https://patents.google.com/patent/CN107846078A/en</v>
      </c>
    </row>
    <row r="8990" spans="3:5" x14ac:dyDescent="0.25">
      <c r="C8990" t="s">
        <v>16474</v>
      </c>
      <c r="D8990" t="s">
        <v>16475</v>
      </c>
      <c r="E8990" t="str">
        <f>HYPERLINK("https://patents.google.com/patent/CN105377385A/en")</f>
        <v>https://patents.google.com/patent/CN105377385A/en</v>
      </c>
    </row>
    <row r="8991" spans="3:5" x14ac:dyDescent="0.25">
      <c r="C8991" t="s">
        <v>16476</v>
      </c>
      <c r="D8991" t="s">
        <v>16477</v>
      </c>
      <c r="E8991" t="str">
        <f>HYPERLINK("https://patents.google.com/patent/US20130033999A1/en")</f>
        <v>https://patents.google.com/patent/US20130033999A1/en</v>
      </c>
    </row>
    <row r="8992" spans="3:5" x14ac:dyDescent="0.25">
      <c r="C8992" t="s">
        <v>16478</v>
      </c>
      <c r="D8992" t="s">
        <v>16479</v>
      </c>
      <c r="E8992" t="str">
        <f>HYPERLINK("https://patents.google.com/patent/US20130096649A1/en")</f>
        <v>https://patents.google.com/patent/US20130096649A1/en</v>
      </c>
    </row>
    <row r="8993" spans="3:5" x14ac:dyDescent="0.25">
      <c r="C8993" t="s">
        <v>16480</v>
      </c>
      <c r="D8993" t="s">
        <v>16481</v>
      </c>
      <c r="E8993" t="str">
        <f>HYPERLINK("https://patents.google.com/patent/US20140337123A1/en")</f>
        <v>https://patents.google.com/patent/US20140337123A1/en</v>
      </c>
    </row>
    <row r="8994" spans="3:5" x14ac:dyDescent="0.25">
      <c r="C8994" t="s">
        <v>16482</v>
      </c>
      <c r="D8994" t="s">
        <v>16483</v>
      </c>
      <c r="E8994" t="str">
        <f>HYPERLINK("https://patents.google.com/patent/US20080263633A1/en")</f>
        <v>https://patents.google.com/patent/US20080263633A1/en</v>
      </c>
    </row>
    <row r="8995" spans="3:5" x14ac:dyDescent="0.25">
      <c r="C8995" t="s">
        <v>16484</v>
      </c>
      <c r="D8995" t="s">
        <v>16485</v>
      </c>
      <c r="E8995" t="str">
        <f>HYPERLINK("https://patents.google.com/patent/US20100159945A1/en")</f>
        <v>https://patents.google.com/patent/US20100159945A1/en</v>
      </c>
    </row>
    <row r="8996" spans="3:5" x14ac:dyDescent="0.25">
      <c r="C8996" t="s">
        <v>16486</v>
      </c>
      <c r="D8996" t="s">
        <v>16487</v>
      </c>
      <c r="E8996" t="str">
        <f>HYPERLINK("https://patents.google.com/patent/US20130110392A1/en")</f>
        <v>https://patents.google.com/patent/US20130110392A1/en</v>
      </c>
    </row>
    <row r="8997" spans="3:5" x14ac:dyDescent="0.25">
      <c r="C8997" t="s">
        <v>16488</v>
      </c>
      <c r="D8997" t="s">
        <v>16489</v>
      </c>
      <c r="E8997" t="str">
        <f>HYPERLINK("https://patents.google.com/patent/US20120214512A1/en")</f>
        <v>https://patents.google.com/patent/US20120214512A1/en</v>
      </c>
    </row>
    <row r="8998" spans="3:5" x14ac:dyDescent="0.25">
      <c r="C8998" t="s">
        <v>16490</v>
      </c>
      <c r="D8998" t="s">
        <v>16491</v>
      </c>
      <c r="E8998" t="str">
        <f>HYPERLINK("https://patents.google.com/patent/US20140300775A1/en")</f>
        <v>https://patents.google.com/patent/US20140300775A1/en</v>
      </c>
    </row>
    <row r="8999" spans="3:5" x14ac:dyDescent="0.25">
      <c r="C8999" t="s">
        <v>16492</v>
      </c>
      <c r="D8999" t="s">
        <v>16493</v>
      </c>
      <c r="E8999" t="str">
        <f>HYPERLINK("https://patents.google.com/patent/US20140274136A1/en")</f>
        <v>https://patents.google.com/patent/US20140274136A1/en</v>
      </c>
    </row>
    <row r="9000" spans="3:5" x14ac:dyDescent="0.25">
      <c r="C9000" t="s">
        <v>16494</v>
      </c>
      <c r="D9000" t="s">
        <v>16495</v>
      </c>
      <c r="E9000" t="str">
        <f>HYPERLINK("https://patents.google.com/patent/US20090315776A1/en")</f>
        <v>https://patents.google.com/patent/US20090315776A1/en</v>
      </c>
    </row>
    <row r="9001" spans="3:5" x14ac:dyDescent="0.25">
      <c r="C9001" t="s">
        <v>16496</v>
      </c>
      <c r="D9001" t="s">
        <v>16497</v>
      </c>
      <c r="E9001" t="str">
        <f>HYPERLINK("https://patents.google.com/patent/US20150154643A1/en")</f>
        <v>https://patents.google.com/patent/US20150154643A1/en</v>
      </c>
    </row>
    <row r="9002" spans="3:5" x14ac:dyDescent="0.25">
      <c r="C9002" t="s">
        <v>16498</v>
      </c>
      <c r="D9002" t="s">
        <v>16499</v>
      </c>
      <c r="E9002" t="str">
        <f>HYPERLINK("https://patents.google.com/patent/US20080268823A1/en")</f>
        <v>https://patents.google.com/patent/US20080268823A1/en</v>
      </c>
    </row>
    <row r="9003" spans="3:5" x14ac:dyDescent="0.25">
      <c r="C9003" t="s">
        <v>16500</v>
      </c>
      <c r="D9003" t="s">
        <v>16501</v>
      </c>
      <c r="E9003" t="str">
        <f>HYPERLINK("https://patents.google.com/patent/US20050273354A1/en")</f>
        <v>https://patents.google.com/patent/US20050273354A1/en</v>
      </c>
    </row>
    <row r="9004" spans="3:5" x14ac:dyDescent="0.25">
      <c r="C9004" t="s">
        <v>16502</v>
      </c>
      <c r="D9004" t="s">
        <v>16503</v>
      </c>
      <c r="E9004" t="str">
        <f>HYPERLINK("https://patents.google.com/patent/US20150330787A1/en")</f>
        <v>https://patents.google.com/patent/US20150330787A1/en</v>
      </c>
    </row>
    <row r="9005" spans="3:5" x14ac:dyDescent="0.25">
      <c r="C9005" t="s">
        <v>16504</v>
      </c>
      <c r="D9005" t="s">
        <v>16505</v>
      </c>
      <c r="E9005" t="str">
        <f>HYPERLINK("https://patents.google.com/patent/US6578528B1/en")</f>
        <v>https://patents.google.com/patent/US6578528B1/en</v>
      </c>
    </row>
    <row r="9006" spans="3:5" x14ac:dyDescent="0.25">
      <c r="C9006" t="s">
        <v>16506</v>
      </c>
      <c r="D9006" t="s">
        <v>16507</v>
      </c>
      <c r="E9006" t="str">
        <f>HYPERLINK("https://patents.google.com/patent/US20050267900A1/en")</f>
        <v>https://patents.google.com/patent/US20050267900A1/en</v>
      </c>
    </row>
    <row r="9007" spans="3:5" x14ac:dyDescent="0.25">
      <c r="C9007" t="s">
        <v>16508</v>
      </c>
      <c r="D9007" t="s">
        <v>16509</v>
      </c>
      <c r="E9007" t="str">
        <f>HYPERLINK("https://patents.google.com/patent/US20120113142A1/en")</f>
        <v>https://patents.google.com/patent/US20120113142A1/en</v>
      </c>
    </row>
    <row r="9008" spans="3:5" x14ac:dyDescent="0.25">
      <c r="C9008" t="s">
        <v>16510</v>
      </c>
      <c r="D9008" t="s">
        <v>16511</v>
      </c>
      <c r="E9008" t="str">
        <f>HYPERLINK("https://patents.google.com/patent/US20130079033A1/en")</f>
        <v>https://patents.google.com/patent/US20130079033A1/en</v>
      </c>
    </row>
    <row r="9009" spans="3:5" x14ac:dyDescent="0.25">
      <c r="C9009" t="s">
        <v>16492</v>
      </c>
      <c r="D9009" t="s">
        <v>16512</v>
      </c>
      <c r="E9009" t="str">
        <f>HYPERLINK("https://patents.google.com/patent/US20140274135A1/en")</f>
        <v>https://patents.google.com/patent/US20140274135A1/en</v>
      </c>
    </row>
    <row r="9010" spans="3:5" x14ac:dyDescent="0.25">
      <c r="C9010" t="s">
        <v>16513</v>
      </c>
      <c r="D9010" t="s">
        <v>16514</v>
      </c>
      <c r="E9010" t="str">
        <f>HYPERLINK("https://patents.google.com/patent/US20140355461A1/en")</f>
        <v>https://patents.google.com/patent/US20140355461A1/en</v>
      </c>
    </row>
    <row r="9011" spans="3:5" x14ac:dyDescent="0.25">
      <c r="C9011" t="s">
        <v>16515</v>
      </c>
      <c r="D9011" t="s">
        <v>16516</v>
      </c>
      <c r="E9011" t="str">
        <f>HYPERLINK("https://patents.google.com/patent/US20120330722A1/en")</f>
        <v>https://patents.google.com/patent/US20120330722A1/en</v>
      </c>
    </row>
    <row r="9012" spans="3:5" x14ac:dyDescent="0.25">
      <c r="C9012" t="s">
        <v>16517</v>
      </c>
      <c r="D9012" t="s">
        <v>16518</v>
      </c>
      <c r="E9012" t="str">
        <f>HYPERLINK("https://patents.google.com/patent/US20080103878A1/en")</f>
        <v>https://patents.google.com/patent/US20080103878A1/en</v>
      </c>
    </row>
    <row r="9013" spans="3:5" x14ac:dyDescent="0.25">
      <c r="C9013" t="s">
        <v>16519</v>
      </c>
      <c r="D9013" t="s">
        <v>16520</v>
      </c>
      <c r="E9013" t="str">
        <f>HYPERLINK("https://patents.google.com/patent/US20080097827A1/en")</f>
        <v>https://patents.google.com/patent/US20080097827A1/en</v>
      </c>
    </row>
    <row r="9014" spans="3:5" x14ac:dyDescent="0.25">
      <c r="C9014" t="s">
        <v>16521</v>
      </c>
      <c r="D9014" t="s">
        <v>16522</v>
      </c>
      <c r="E9014" t="str">
        <f>HYPERLINK("https://patents.google.com/patent/US20150133173A1/en")</f>
        <v>https://patents.google.com/patent/US20150133173A1/en</v>
      </c>
    </row>
    <row r="9015" spans="3:5" x14ac:dyDescent="0.25">
      <c r="C9015" t="s">
        <v>16523</v>
      </c>
      <c r="D9015" t="s">
        <v>16524</v>
      </c>
      <c r="E9015" t="str">
        <f>HYPERLINK("https://patents.google.com/patent/US20120258733A1/en")</f>
        <v>https://patents.google.com/patent/US20120258733A1/en</v>
      </c>
    </row>
    <row r="9016" spans="3:5" x14ac:dyDescent="0.25">
      <c r="C9016" t="s">
        <v>16525</v>
      </c>
      <c r="D9016" t="s">
        <v>16526</v>
      </c>
      <c r="E9016" t="str">
        <f>HYPERLINK("https://patents.google.com/patent/US20090070249A1/en")</f>
        <v>https://patents.google.com/patent/US20090070249A1/en</v>
      </c>
    </row>
    <row r="9017" spans="3:5" x14ac:dyDescent="0.25">
      <c r="C9017" t="s">
        <v>16527</v>
      </c>
      <c r="D9017" t="s">
        <v>16528</v>
      </c>
      <c r="E9017" t="str">
        <f>HYPERLINK("https://patents.google.com/patent/US7269650B2/en")</f>
        <v>https://patents.google.com/patent/US7269650B2/en</v>
      </c>
    </row>
    <row r="9018" spans="3:5" x14ac:dyDescent="0.25">
      <c r="C9018" t="s">
        <v>16529</v>
      </c>
      <c r="D9018" t="s">
        <v>16530</v>
      </c>
      <c r="E9018" t="str">
        <f>HYPERLINK("https://patents.google.com/patent/US20130024880A1/en")</f>
        <v>https://patents.google.com/patent/US20130024880A1/en</v>
      </c>
    </row>
    <row r="9019" spans="3:5" x14ac:dyDescent="0.25">
      <c r="C9019" t="s">
        <v>16531</v>
      </c>
      <c r="D9019" t="s">
        <v>16532</v>
      </c>
      <c r="E9019" t="str">
        <f>HYPERLINK("https://patents.google.com/patent/US20080243532A1/en")</f>
        <v>https://patents.google.com/patent/US20080243532A1/en</v>
      </c>
    </row>
    <row r="9020" spans="3:5" x14ac:dyDescent="0.25">
      <c r="C9020" t="s">
        <v>16533</v>
      </c>
      <c r="D9020" t="s">
        <v>16534</v>
      </c>
      <c r="E9020" t="str">
        <f>HYPERLINK("https://patents.google.com/patent/US20140160959A1/en")</f>
        <v>https://patents.google.com/patent/US20140160959A1/en</v>
      </c>
    </row>
    <row r="9021" spans="3:5" x14ac:dyDescent="0.25">
      <c r="C9021" t="s">
        <v>16535</v>
      </c>
      <c r="D9021" t="s">
        <v>16536</v>
      </c>
      <c r="E9021" t="str">
        <f>HYPERLINK("https://patents.google.com/patent/US7326024B2/en")</f>
        <v>https://patents.google.com/patent/US7326024B2/en</v>
      </c>
    </row>
    <row r="9022" spans="3:5" x14ac:dyDescent="0.25">
      <c r="C9022" t="s">
        <v>16537</v>
      </c>
      <c r="D9022" t="s">
        <v>16538</v>
      </c>
      <c r="E9022" t="str">
        <f>HYPERLINK("https://patents.google.com/patent/US20130290909A1/en")</f>
        <v>https://patents.google.com/patent/US20130290909A1/en</v>
      </c>
    </row>
    <row r="9023" spans="3:5" x14ac:dyDescent="0.25">
      <c r="C9023" t="s">
        <v>16539</v>
      </c>
      <c r="D9023" t="s">
        <v>16540</v>
      </c>
      <c r="E9023" t="str">
        <f>HYPERLINK("https://patents.google.com/patent/US20080082355A1/en")</f>
        <v>https://patents.google.com/patent/US20080082355A1/en</v>
      </c>
    </row>
    <row r="9024" spans="3:5" x14ac:dyDescent="0.25">
      <c r="C9024" t="s">
        <v>16541</v>
      </c>
      <c r="D9024" t="s">
        <v>16542</v>
      </c>
      <c r="E9024" t="str">
        <f>HYPERLINK("https://patents.google.com/patent/US20090289790A1/en")</f>
        <v>https://patents.google.com/patent/US20090289790A1/en</v>
      </c>
    </row>
    <row r="9025" spans="3:5" x14ac:dyDescent="0.25">
      <c r="C9025" t="s">
        <v>16543</v>
      </c>
      <c r="D9025" t="s">
        <v>16544</v>
      </c>
      <c r="E9025" t="str">
        <f>HYPERLINK("https://patents.google.com/patent/CN102645666A/en")</f>
        <v>https://patents.google.com/patent/CN102645666A/en</v>
      </c>
    </row>
    <row r="9026" spans="3:5" x14ac:dyDescent="0.25">
      <c r="C9026" t="s">
        <v>16545</v>
      </c>
      <c r="D9026" t="s">
        <v>16546</v>
      </c>
      <c r="E9026" t="str">
        <f>HYPERLINK("https://patents.google.com/patent/CN101958817A/en")</f>
        <v>https://patents.google.com/patent/CN101958817A/en</v>
      </c>
    </row>
    <row r="9027" spans="3:5" x14ac:dyDescent="0.25">
      <c r="C9027" t="s">
        <v>16547</v>
      </c>
      <c r="D9027" t="s">
        <v>16548</v>
      </c>
      <c r="E9027" t="str">
        <f>HYPERLINK("https://patents.google.com/patent/US20110250939A1/en")</f>
        <v>https://patents.google.com/patent/US20110250939A1/en</v>
      </c>
    </row>
    <row r="9028" spans="3:5" x14ac:dyDescent="0.25">
      <c r="C9028" t="s">
        <v>16549</v>
      </c>
      <c r="D9028" t="s">
        <v>16550</v>
      </c>
      <c r="E9028" t="str">
        <f>HYPERLINK("https://patents.google.com/patent/CN2663390Y/en")</f>
        <v>https://patents.google.com/patent/CN2663390Y/en</v>
      </c>
    </row>
    <row r="9029" spans="3:5" x14ac:dyDescent="0.25">
      <c r="C9029" t="s">
        <v>16551</v>
      </c>
      <c r="D9029" t="s">
        <v>16552</v>
      </c>
      <c r="E9029" t="str">
        <f>HYPERLINK("https://patents.google.com/patent/WO1996031047A2/en")</f>
        <v>https://patents.google.com/patent/WO1996031047A2/en</v>
      </c>
    </row>
    <row r="9030" spans="3:5" x14ac:dyDescent="0.25">
      <c r="C9030" t="s">
        <v>8649</v>
      </c>
      <c r="D9030" t="s">
        <v>16553</v>
      </c>
      <c r="E9030" t="str">
        <f>HYPERLINK("https://patents.google.com/patent/US1771911A/en")</f>
        <v>https://patents.google.com/patent/US1771911A/en</v>
      </c>
    </row>
    <row r="9031" spans="3:5" x14ac:dyDescent="0.25">
      <c r="C9031" t="s">
        <v>16554</v>
      </c>
      <c r="D9031" t="s">
        <v>16555</v>
      </c>
      <c r="E9031" t="str">
        <f>HYPERLINK("https://patents.google.com/patent/US20140153773A1/en")</f>
        <v>https://patents.google.com/patent/US20140153773A1/en</v>
      </c>
    </row>
    <row r="9032" spans="3:5" x14ac:dyDescent="0.25">
      <c r="C9032" t="s">
        <v>16556</v>
      </c>
      <c r="D9032" t="s">
        <v>16557</v>
      </c>
      <c r="E9032" t="str">
        <f>HYPERLINK("https://patents.google.com/patent/US20080025646A1/en")</f>
        <v>https://patents.google.com/patent/US20080025646A1/en</v>
      </c>
    </row>
    <row r="9033" spans="3:5" x14ac:dyDescent="0.25">
      <c r="C9033" t="s">
        <v>16558</v>
      </c>
      <c r="D9033" t="s">
        <v>16559</v>
      </c>
      <c r="E9033" t="str">
        <f>HYPERLINK("https://patents.google.com/patent/US20130109406A1/en")</f>
        <v>https://patents.google.com/patent/US20130109406A1/en</v>
      </c>
    </row>
    <row r="9034" spans="3:5" x14ac:dyDescent="0.25">
      <c r="C9034" t="s">
        <v>16560</v>
      </c>
      <c r="D9034" t="s">
        <v>16561</v>
      </c>
      <c r="E9034" t="str">
        <f>HYPERLINK("https://patents.google.com/patent/US20160366548A1/en")</f>
        <v>https://patents.google.com/patent/US20160366548A1/en</v>
      </c>
    </row>
    <row r="9035" spans="3:5" x14ac:dyDescent="0.25">
      <c r="C9035" t="s">
        <v>16562</v>
      </c>
      <c r="D9035" t="s">
        <v>16563</v>
      </c>
      <c r="E9035" t="str">
        <f>HYPERLINK("https://patents.google.com/patent/JP2009229204A/en")</f>
        <v>https://patents.google.com/patent/JP2009229204A/en</v>
      </c>
    </row>
    <row r="9036" spans="3:5" x14ac:dyDescent="0.25">
      <c r="C9036" t="s">
        <v>16564</v>
      </c>
      <c r="D9036" t="s">
        <v>16565</v>
      </c>
      <c r="E9036" t="str">
        <f>HYPERLINK("https://patents.google.com/patent/CN1833397A/en")</f>
        <v>https://patents.google.com/patent/CN1833397A/en</v>
      </c>
    </row>
    <row r="9037" spans="3:5" x14ac:dyDescent="0.25">
      <c r="C9037" t="s">
        <v>16566</v>
      </c>
      <c r="D9037" t="s">
        <v>16567</v>
      </c>
      <c r="E9037" t="str">
        <f>HYPERLINK("https://patents.google.com/patent/CN102419180A/en")</f>
        <v>https://patents.google.com/patent/CN102419180A/en</v>
      </c>
    </row>
    <row r="9038" spans="3:5" x14ac:dyDescent="0.25">
      <c r="C9038" t="s">
        <v>16568</v>
      </c>
      <c r="D9038" t="s">
        <v>16569</v>
      </c>
      <c r="E9038" t="str">
        <f>HYPERLINK("https://patents.google.com/patent/CN101110079A/en")</f>
        <v>https://patents.google.com/patent/CN101110079A/en</v>
      </c>
    </row>
    <row r="9039" spans="3:5" x14ac:dyDescent="0.25">
      <c r="C9039" t="s">
        <v>16254</v>
      </c>
      <c r="D9039" t="s">
        <v>16570</v>
      </c>
      <c r="E9039" t="str">
        <f>HYPERLINK("https://patents.google.com/patent/US6413172B1/en")</f>
        <v>https://patents.google.com/patent/US6413172B1/en</v>
      </c>
    </row>
    <row r="9040" spans="3:5" x14ac:dyDescent="0.25">
      <c r="C9040" t="s">
        <v>16571</v>
      </c>
      <c r="D9040" t="s">
        <v>16572</v>
      </c>
      <c r="E9040" t="str">
        <f>HYPERLINK("https://patents.google.com/patent/CN102546324A/en")</f>
        <v>https://patents.google.com/patent/CN102546324A/en</v>
      </c>
    </row>
    <row r="9041" spans="3:5" x14ac:dyDescent="0.25">
      <c r="C9041" t="s">
        <v>16573</v>
      </c>
      <c r="D9041" t="s">
        <v>16574</v>
      </c>
      <c r="E9041" t="str">
        <f>HYPERLINK("https://patents.google.com/patent/CN103402177A/en")</f>
        <v>https://patents.google.com/patent/CN103402177A/en</v>
      </c>
    </row>
    <row r="9042" spans="3:5" x14ac:dyDescent="0.25">
      <c r="C9042" t="s">
        <v>16575</v>
      </c>
      <c r="D9042" t="s">
        <v>16576</v>
      </c>
      <c r="E9042" t="str">
        <f>HYPERLINK("https://patents.google.com/patent/US20140162688A1/en")</f>
        <v>https://patents.google.com/patent/US20140162688A1/en</v>
      </c>
    </row>
    <row r="9043" spans="3:5" x14ac:dyDescent="0.25">
      <c r="C9043" t="s">
        <v>16577</v>
      </c>
      <c r="D9043" t="s">
        <v>16578</v>
      </c>
      <c r="E9043" t="str">
        <f>HYPERLINK("https://patents.google.com/patent/US20130101163A1/en")</f>
        <v>https://patents.google.com/patent/US20130101163A1/en</v>
      </c>
    </row>
    <row r="9044" spans="3:5" x14ac:dyDescent="0.25">
      <c r="C9044" t="s">
        <v>16579</v>
      </c>
      <c r="D9044" t="s">
        <v>16580</v>
      </c>
      <c r="E9044" t="str">
        <f>HYPERLINK("https://patents.google.com/patent/CN102707724A/en")</f>
        <v>https://patents.google.com/patent/CN102707724A/en</v>
      </c>
    </row>
    <row r="9045" spans="3:5" x14ac:dyDescent="0.25">
      <c r="C9045" t="s">
        <v>16581</v>
      </c>
      <c r="D9045" t="s">
        <v>16582</v>
      </c>
      <c r="E9045" t="str">
        <f>HYPERLINK("https://patents.google.com/patent/US20160077547A1/en")</f>
        <v>https://patents.google.com/patent/US20160077547A1/en</v>
      </c>
    </row>
    <row r="9046" spans="3:5" x14ac:dyDescent="0.25">
      <c r="C9046" t="s">
        <v>16583</v>
      </c>
      <c r="D9046" t="s">
        <v>16584</v>
      </c>
      <c r="E9046" t="str">
        <f>HYPERLINK("https://patents.google.com/patent/US20160127875A1/en")</f>
        <v>https://patents.google.com/patent/US20160127875A1/en</v>
      </c>
    </row>
    <row r="9047" spans="3:5" x14ac:dyDescent="0.25">
      <c r="C9047" t="s">
        <v>16585</v>
      </c>
      <c r="D9047" t="s">
        <v>16586</v>
      </c>
      <c r="E9047" t="str">
        <f>HYPERLINK("https://patents.google.com/patent/CN101557332A/en")</f>
        <v>https://patents.google.com/patent/CN101557332A/en</v>
      </c>
    </row>
    <row r="9048" spans="3:5" x14ac:dyDescent="0.25">
      <c r="C9048" t="s">
        <v>16587</v>
      </c>
      <c r="D9048" t="s">
        <v>16588</v>
      </c>
      <c r="E9048" t="str">
        <f>HYPERLINK("https://patents.google.com/patent/CN101894488A/en")</f>
        <v>https://patents.google.com/patent/CN101894488A/en</v>
      </c>
    </row>
    <row r="9049" spans="3:5" x14ac:dyDescent="0.25">
      <c r="C9049" t="s">
        <v>16589</v>
      </c>
      <c r="D9049" t="s">
        <v>16590</v>
      </c>
      <c r="E9049" t="str">
        <f>HYPERLINK("https://patents.google.com/patent/CN101763607A/en")</f>
        <v>https://patents.google.com/patent/CN101763607A/en</v>
      </c>
    </row>
    <row r="9050" spans="3:5" x14ac:dyDescent="0.25">
      <c r="C9050" t="s">
        <v>16591</v>
      </c>
      <c r="D9050" t="s">
        <v>16592</v>
      </c>
      <c r="E9050" t="str">
        <f>HYPERLINK("https://patents.google.com/patent/JP2000207575A/en")</f>
        <v>https://patents.google.com/patent/JP2000207575A/en</v>
      </c>
    </row>
    <row r="9051" spans="3:5" x14ac:dyDescent="0.25">
      <c r="C9051" t="s">
        <v>16593</v>
      </c>
      <c r="D9051" t="s">
        <v>16594</v>
      </c>
      <c r="E9051" t="str">
        <f>HYPERLINK("https://patents.google.com/patent/CN101739633A/en")</f>
        <v>https://patents.google.com/patent/CN101739633A/en</v>
      </c>
    </row>
    <row r="9052" spans="3:5" x14ac:dyDescent="0.25">
      <c r="C9052" t="s">
        <v>16595</v>
      </c>
      <c r="D9052" t="s">
        <v>16596</v>
      </c>
      <c r="E9052" t="str">
        <f>HYPERLINK("https://patents.google.com/patent/US20150153160A1/en")</f>
        <v>https://patents.google.com/patent/US20150153160A1/en</v>
      </c>
    </row>
    <row r="9053" spans="3:5" x14ac:dyDescent="0.25">
      <c r="C9053" t="s">
        <v>16597</v>
      </c>
      <c r="D9053" t="s">
        <v>16598</v>
      </c>
      <c r="E9053" t="str">
        <f>HYPERLINK("https://patents.google.com/patent/US20100182436A1/en")</f>
        <v>https://patents.google.com/patent/US20100182436A1/en</v>
      </c>
    </row>
    <row r="9054" spans="3:5" x14ac:dyDescent="0.25">
      <c r="C9054" t="s">
        <v>16599</v>
      </c>
      <c r="D9054" t="s">
        <v>16600</v>
      </c>
      <c r="E9054" t="str">
        <f>HYPERLINK("https://patents.google.com/patent/US20130080457A1/en")</f>
        <v>https://patents.google.com/patent/US20130080457A1/en</v>
      </c>
    </row>
    <row r="9055" spans="3:5" x14ac:dyDescent="0.25">
      <c r="C9055" t="s">
        <v>16601</v>
      </c>
      <c r="D9055" t="s">
        <v>16602</v>
      </c>
      <c r="E9055" t="str">
        <f>HYPERLINK("https://patents.google.com/patent/US20150112826A1/en")</f>
        <v>https://patents.google.com/patent/US20150112826A1/en</v>
      </c>
    </row>
    <row r="9056" spans="3:5" x14ac:dyDescent="0.25">
      <c r="C9056" t="s">
        <v>16603</v>
      </c>
      <c r="D9056" t="s">
        <v>16604</v>
      </c>
      <c r="E9056" t="str">
        <f>HYPERLINK("https://patents.google.com/patent/US20130109405A1/en")</f>
        <v>https://patents.google.com/patent/US20130109405A1/en</v>
      </c>
    </row>
    <row r="9057" spans="3:5" x14ac:dyDescent="0.25">
      <c r="C9057" t="s">
        <v>16605</v>
      </c>
      <c r="D9057" t="s">
        <v>16606</v>
      </c>
      <c r="E9057" t="str">
        <f>HYPERLINK("https://patents.google.com/patent/US20150181553A1/en")</f>
        <v>https://patents.google.com/patent/US20150181553A1/en</v>
      </c>
    </row>
    <row r="9058" spans="3:5" x14ac:dyDescent="0.25">
      <c r="C9058" t="s">
        <v>16607</v>
      </c>
      <c r="D9058" t="s">
        <v>16608</v>
      </c>
      <c r="E9058" t="str">
        <f>HYPERLINK("https://patents.google.com/patent/US20130218931A1/en")</f>
        <v>https://patents.google.com/patent/US20130218931A1/en</v>
      </c>
    </row>
    <row r="9059" spans="3:5" x14ac:dyDescent="0.25">
      <c r="C9059" t="s">
        <v>16609</v>
      </c>
      <c r="D9059" t="s">
        <v>16610</v>
      </c>
      <c r="E9059" t="str">
        <f>HYPERLINK("https://patents.google.com/patent/US20110164044A1/en")</f>
        <v>https://patents.google.com/patent/US20110164044A1/en</v>
      </c>
    </row>
    <row r="9060" spans="3:5" x14ac:dyDescent="0.25">
      <c r="C9060" t="s">
        <v>16611</v>
      </c>
      <c r="D9060" t="s">
        <v>16612</v>
      </c>
      <c r="E9060" t="str">
        <f>HYPERLINK("https://patents.google.com/patent/US20120206604A1/en")</f>
        <v>https://patents.google.com/patent/US20120206604A1/en</v>
      </c>
    </row>
    <row r="9061" spans="3:5" x14ac:dyDescent="0.25">
      <c r="C9061" t="s">
        <v>16613</v>
      </c>
      <c r="D9061" t="s">
        <v>16614</v>
      </c>
      <c r="E9061" t="str">
        <f>HYPERLINK("https://patents.google.com/patent/US20140256346A1/en")</f>
        <v>https://patents.google.com/patent/US20140256346A1/en</v>
      </c>
    </row>
    <row r="9062" spans="3:5" x14ac:dyDescent="0.25">
      <c r="C9062" t="s">
        <v>16342</v>
      </c>
      <c r="D9062" t="s">
        <v>16615</v>
      </c>
      <c r="E9062" t="str">
        <f>HYPERLINK("https://patents.google.com/patent/US20150262208A1/en")</f>
        <v>https://patents.google.com/patent/US20150262208A1/en</v>
      </c>
    </row>
    <row r="9063" spans="3:5" x14ac:dyDescent="0.25">
      <c r="C9063" t="s">
        <v>16616</v>
      </c>
      <c r="D9063" t="s">
        <v>16617</v>
      </c>
      <c r="E9063" t="str">
        <f>HYPERLINK("https://patents.google.com/patent/US20120221713A1/en")</f>
        <v>https://patents.google.com/patent/US20120221713A1/en</v>
      </c>
    </row>
    <row r="9064" spans="3:5" x14ac:dyDescent="0.25">
      <c r="C9064" t="s">
        <v>16618</v>
      </c>
      <c r="D9064" t="s">
        <v>16619</v>
      </c>
      <c r="E9064" t="str">
        <f>HYPERLINK("https://patents.google.com/patent/US4303236A/en")</f>
        <v>https://patents.google.com/patent/US4303236A/en</v>
      </c>
    </row>
    <row r="9065" spans="3:5" x14ac:dyDescent="0.25">
      <c r="C9065" t="s">
        <v>16620</v>
      </c>
      <c r="D9065" t="s">
        <v>16621</v>
      </c>
      <c r="E9065" t="str">
        <f>HYPERLINK("https://patents.google.com/patent/US20090222322A1/en")</f>
        <v>https://patents.google.com/patent/US20090222322A1/en</v>
      </c>
    </row>
    <row r="9066" spans="3:5" x14ac:dyDescent="0.25">
      <c r="C9066" t="s">
        <v>16622</v>
      </c>
      <c r="D9066" t="s">
        <v>16623</v>
      </c>
      <c r="E9066" t="str">
        <f>HYPERLINK("https://patents.google.com/patent/JP2001312238A/en")</f>
        <v>https://patents.google.com/patent/JP2001312238A/en</v>
      </c>
    </row>
    <row r="9067" spans="3:5" x14ac:dyDescent="0.25">
      <c r="C9067" t="s">
        <v>16624</v>
      </c>
      <c r="D9067" t="s">
        <v>16625</v>
      </c>
      <c r="E9067" t="str">
        <f>HYPERLINK("https://patents.google.com/patent/CN101013635A/en")</f>
        <v>https://patents.google.com/patent/CN101013635A/en</v>
      </c>
    </row>
    <row r="9068" spans="3:5" x14ac:dyDescent="0.25">
      <c r="C9068" t="s">
        <v>16626</v>
      </c>
      <c r="D9068" t="s">
        <v>16627</v>
      </c>
      <c r="E9068" t="str">
        <f>HYPERLINK("https://patents.google.com/patent/CN103150981A/en")</f>
        <v>https://patents.google.com/patent/CN103150981A/en</v>
      </c>
    </row>
    <row r="9069" spans="3:5" x14ac:dyDescent="0.25">
      <c r="C9069" t="s">
        <v>16628</v>
      </c>
      <c r="D9069" t="s">
        <v>16629</v>
      </c>
      <c r="E9069" t="str">
        <f>HYPERLINK("https://patents.google.com/patent/US20060182581A1/en")</f>
        <v>https://patents.google.com/patent/US20060182581A1/en</v>
      </c>
    </row>
    <row r="9070" spans="3:5" x14ac:dyDescent="0.25">
      <c r="C9070" t="s">
        <v>16630</v>
      </c>
      <c r="D9070" t="s">
        <v>16631</v>
      </c>
      <c r="E9070" t="str">
        <f>HYPERLINK("https://patents.google.com/patent/US20130267251A1/en")</f>
        <v>https://patents.google.com/patent/US20130267251A1/en</v>
      </c>
    </row>
    <row r="9071" spans="3:5" x14ac:dyDescent="0.25">
      <c r="C9071" t="s">
        <v>16632</v>
      </c>
      <c r="D9071" t="s">
        <v>16633</v>
      </c>
      <c r="E9071" t="str">
        <f>HYPERLINK("https://patents.google.com/patent/US20080097825A1/en")</f>
        <v>https://patents.google.com/patent/US20080097825A1/en</v>
      </c>
    </row>
    <row r="9072" spans="3:5" x14ac:dyDescent="0.25">
      <c r="C9072" t="s">
        <v>16634</v>
      </c>
      <c r="D9072" t="s">
        <v>16635</v>
      </c>
      <c r="E9072" t="str">
        <f>HYPERLINK("https://patents.google.com/patent/US20080103920A1/en")</f>
        <v>https://patents.google.com/patent/US20080103920A1/en</v>
      </c>
    </row>
    <row r="9073" spans="3:5" x14ac:dyDescent="0.25">
      <c r="C9073" t="s">
        <v>16636</v>
      </c>
      <c r="D9073" t="s">
        <v>16637</v>
      </c>
      <c r="E9073" t="str">
        <f>HYPERLINK("https://patents.google.com/patent/US7438672B1/en")</f>
        <v>https://patents.google.com/patent/US7438672B1/en</v>
      </c>
    </row>
    <row r="9074" spans="3:5" x14ac:dyDescent="0.25">
      <c r="C9074" t="s">
        <v>16638</v>
      </c>
      <c r="D9074" t="s">
        <v>16639</v>
      </c>
      <c r="E9074" t="str">
        <f>HYPERLINK("https://patents.google.com/patent/US20080109345A1/en")</f>
        <v>https://patents.google.com/patent/US20080109345A1/en</v>
      </c>
    </row>
    <row r="9075" spans="3:5" x14ac:dyDescent="0.25">
      <c r="C9075" t="s">
        <v>16640</v>
      </c>
      <c r="D9075" t="s">
        <v>16641</v>
      </c>
      <c r="E9075" t="str">
        <f>HYPERLINK("https://patents.google.com/patent/WO2004066077A2/en")</f>
        <v>https://patents.google.com/patent/WO2004066077A2/en</v>
      </c>
    </row>
    <row r="9076" spans="3:5" x14ac:dyDescent="0.25">
      <c r="C9076" t="s">
        <v>16642</v>
      </c>
      <c r="D9076" t="s">
        <v>16643</v>
      </c>
      <c r="E9076" t="str">
        <f>HYPERLINK("https://patents.google.com/patent/US20130073343A1/en")</f>
        <v>https://patents.google.com/patent/US20130073343A1/en</v>
      </c>
    </row>
    <row r="9077" spans="3:5" x14ac:dyDescent="0.25">
      <c r="C9077" t="s">
        <v>16607</v>
      </c>
      <c r="D9077" t="s">
        <v>16644</v>
      </c>
      <c r="E9077" t="str">
        <f>HYPERLINK("https://patents.google.com/patent/US20130048720A1/en")</f>
        <v>https://patents.google.com/patent/US20130048720A1/en</v>
      </c>
    </row>
    <row r="9078" spans="3:5" x14ac:dyDescent="0.25">
      <c r="C9078" t="s">
        <v>16645</v>
      </c>
      <c r="D9078" t="s">
        <v>16646</v>
      </c>
      <c r="E9078" t="str">
        <f>HYPERLINK("https://patents.google.com/patent/US20080109322A1/en")</f>
        <v>https://patents.google.com/patent/US20080109322A1/en</v>
      </c>
    </row>
    <row r="9079" spans="3:5" x14ac:dyDescent="0.25">
      <c r="C9079" t="s">
        <v>16647</v>
      </c>
      <c r="D9079" t="s">
        <v>16648</v>
      </c>
      <c r="E9079" t="str">
        <f>HYPERLINK("https://patents.google.com/patent/US20140280267A1/en")</f>
        <v>https://patents.google.com/patent/US20140280267A1/en</v>
      </c>
    </row>
    <row r="9080" spans="3:5" x14ac:dyDescent="0.25">
      <c r="C9080" t="s">
        <v>16649</v>
      </c>
      <c r="D9080" t="s">
        <v>16650</v>
      </c>
      <c r="E9080" t="str">
        <f>HYPERLINK("https://patents.google.com/patent/US20080103801A1/en")</f>
        <v>https://patents.google.com/patent/US20080103801A1/en</v>
      </c>
    </row>
    <row r="9081" spans="3:5" x14ac:dyDescent="0.25">
      <c r="C9081" t="s">
        <v>16651</v>
      </c>
      <c r="D9081" t="s">
        <v>16652</v>
      </c>
      <c r="E9081" t="str">
        <f>HYPERLINK("https://patents.google.com/patent/US20080109321A1/en")</f>
        <v>https://patents.google.com/patent/US20080109321A1/en</v>
      </c>
    </row>
    <row r="9082" spans="3:5" x14ac:dyDescent="0.25">
      <c r="C9082" t="s">
        <v>16653</v>
      </c>
      <c r="D9082" t="s">
        <v>16654</v>
      </c>
      <c r="E9082" t="str">
        <f>HYPERLINK("https://patents.google.com/patent/WO2013086169A1/en")</f>
        <v>https://patents.google.com/patent/WO2013086169A1/en</v>
      </c>
    </row>
    <row r="9083" spans="3:5" x14ac:dyDescent="0.25">
      <c r="C9083" t="s">
        <v>16655</v>
      </c>
      <c r="D9083" t="s">
        <v>16656</v>
      </c>
      <c r="E9083" t="str">
        <f>HYPERLINK("https://patents.google.com/patent/US20120246223A1/en")</f>
        <v>https://patents.google.com/patent/US20120246223A1/en</v>
      </c>
    </row>
    <row r="9084" spans="3:5" x14ac:dyDescent="0.25">
      <c r="C9084" t="s">
        <v>16657</v>
      </c>
      <c r="D9084" t="s">
        <v>16658</v>
      </c>
      <c r="E9084" t="str">
        <f>HYPERLINK("https://patents.google.com/patent/US5211415A/en")</f>
        <v>https://patents.google.com/patent/US5211415A/en</v>
      </c>
    </row>
    <row r="9085" spans="3:5" x14ac:dyDescent="0.25">
      <c r="C9085" t="s">
        <v>16659</v>
      </c>
      <c r="D9085" t="s">
        <v>16660</v>
      </c>
      <c r="E9085" t="str">
        <f>HYPERLINK("https://patents.google.com/patent/CN102591275A/en")</f>
        <v>https://patents.google.com/patent/CN102591275A/en</v>
      </c>
    </row>
    <row r="9086" spans="3:5" x14ac:dyDescent="0.25">
      <c r="C9086" t="s">
        <v>16661</v>
      </c>
      <c r="D9086" t="s">
        <v>16662</v>
      </c>
      <c r="E9086" t="str">
        <f>HYPERLINK("https://patents.google.com/patent/US20080109323A1/en")</f>
        <v>https://patents.google.com/patent/US20080109323A1/en</v>
      </c>
    </row>
    <row r="9087" spans="3:5" x14ac:dyDescent="0.25">
      <c r="C9087" t="s">
        <v>16663</v>
      </c>
      <c r="D9087" t="s">
        <v>16664</v>
      </c>
      <c r="E9087" t="str">
        <f>HYPERLINK("https://patents.google.com/patent/US20090255066A1/en")</f>
        <v>https://patents.google.com/patent/US20090255066A1/en</v>
      </c>
    </row>
    <row r="9088" spans="3:5" x14ac:dyDescent="0.25">
      <c r="C9088" t="s">
        <v>16665</v>
      </c>
      <c r="D9088" t="s">
        <v>16666</v>
      </c>
      <c r="E9088" t="str">
        <f>HYPERLINK("https://patents.google.com/patent/US20130093897A1/en")</f>
        <v>https://patents.google.com/patent/US20130093897A1/en</v>
      </c>
    </row>
    <row r="9089" spans="3:5" x14ac:dyDescent="0.25">
      <c r="C9089" t="s">
        <v>16667</v>
      </c>
      <c r="D9089" t="s">
        <v>16668</v>
      </c>
      <c r="E9089" t="str">
        <f>HYPERLINK("https://patents.google.com/patent/CN1414496A/en")</f>
        <v>https://patents.google.com/patent/CN1414496A/en</v>
      </c>
    </row>
    <row r="9090" spans="3:5" x14ac:dyDescent="0.25">
      <c r="C9090" t="s">
        <v>16669</v>
      </c>
      <c r="D9090" t="s">
        <v>16670</v>
      </c>
      <c r="E9090" t="str">
        <f>HYPERLINK("https://patents.google.com/patent/CN102789223A/en")</f>
        <v>https://patents.google.com/patent/CN102789223A/en</v>
      </c>
    </row>
    <row r="9091" spans="3:5" x14ac:dyDescent="0.25">
      <c r="C9091" t="s">
        <v>16671</v>
      </c>
      <c r="D9091" t="s">
        <v>16672</v>
      </c>
      <c r="E9091" t="str">
        <f>HYPERLINK("https://patents.google.com/patent/CN1873683A/en")</f>
        <v>https://patents.google.com/patent/CN1873683A/en</v>
      </c>
    </row>
    <row r="9092" spans="3:5" x14ac:dyDescent="0.25">
      <c r="C9092" t="s">
        <v>16673</v>
      </c>
      <c r="D9092" t="s">
        <v>16674</v>
      </c>
      <c r="E9092" t="str">
        <f>HYPERLINK("https://patents.google.com/patent/US20140187258A1/en")</f>
        <v>https://patents.google.com/patent/US20140187258A1/en</v>
      </c>
    </row>
    <row r="9093" spans="3:5" x14ac:dyDescent="0.25">
      <c r="C9093" t="s">
        <v>16270</v>
      </c>
      <c r="D9093" t="s">
        <v>16675</v>
      </c>
      <c r="E9093" t="str">
        <f>HYPERLINK("https://patents.google.com/patent/US6612940B1/en")</f>
        <v>https://patents.google.com/patent/US6612940B1/en</v>
      </c>
    </row>
    <row r="9094" spans="3:5" x14ac:dyDescent="0.25">
      <c r="C9094" t="s">
        <v>16676</v>
      </c>
      <c r="D9094" t="s">
        <v>16677</v>
      </c>
      <c r="E9094" t="str">
        <f>HYPERLINK("https://patents.google.com/patent/US20080103802A1/en")</f>
        <v>https://patents.google.com/patent/US20080103802A1/en</v>
      </c>
    </row>
    <row r="9095" spans="3:5" x14ac:dyDescent="0.25">
      <c r="C9095" t="s">
        <v>16678</v>
      </c>
      <c r="D9095" t="s">
        <v>16679</v>
      </c>
      <c r="E9095" t="str">
        <f>HYPERLINK("https://patents.google.com/patent/US20080109234A1/en")</f>
        <v>https://patents.google.com/patent/US20080109234A1/en</v>
      </c>
    </row>
    <row r="9096" spans="3:5" x14ac:dyDescent="0.25">
      <c r="C9096" t="s">
        <v>16680</v>
      </c>
      <c r="D9096" t="s">
        <v>16681</v>
      </c>
      <c r="E9096" t="str">
        <f>HYPERLINK("https://patents.google.com/patent/CN101763658A/en")</f>
        <v>https://patents.google.com/patent/CN101763658A/en</v>
      </c>
    </row>
    <row r="9097" spans="3:5" x14ac:dyDescent="0.25">
      <c r="C9097" t="s">
        <v>16682</v>
      </c>
      <c r="D9097" t="s">
        <v>16683</v>
      </c>
      <c r="E9097" t="str">
        <f>HYPERLINK("https://patents.google.com/patent/US20120076016A1/en")</f>
        <v>https://patents.google.com/patent/US20120076016A1/en</v>
      </c>
    </row>
    <row r="9098" spans="3:5" x14ac:dyDescent="0.25">
      <c r="C9098" t="s">
        <v>16684</v>
      </c>
      <c r="D9098" t="s">
        <v>16685</v>
      </c>
      <c r="E9098" t="str">
        <f>HYPERLINK("https://patents.google.com/patent/US20110309976A1/en")</f>
        <v>https://patents.google.com/patent/US20110309976A1/en</v>
      </c>
    </row>
    <row r="9099" spans="3:5" x14ac:dyDescent="0.25">
      <c r="C9099" t="s">
        <v>16686</v>
      </c>
      <c r="D9099" t="s">
        <v>16687</v>
      </c>
      <c r="E9099" t="str">
        <f>HYPERLINK("https://patents.google.com/patent/US8930458B2/en")</f>
        <v>https://patents.google.com/patent/US8930458B2/en</v>
      </c>
    </row>
    <row r="9100" spans="3:5" x14ac:dyDescent="0.25">
      <c r="C9100" t="s">
        <v>16688</v>
      </c>
      <c r="D9100" t="s">
        <v>16689</v>
      </c>
      <c r="E9100" t="str">
        <f>HYPERLINK("https://patents.google.com/patent/US20140162589A1/en")</f>
        <v>https://patents.google.com/patent/US20140162589A1/en</v>
      </c>
    </row>
    <row r="9101" spans="3:5" x14ac:dyDescent="0.25">
      <c r="C9101" t="s">
        <v>16690</v>
      </c>
      <c r="D9101" t="s">
        <v>16691</v>
      </c>
      <c r="E9101" t="str">
        <f>HYPERLINK("https://patents.google.com/patent/US20140094199A1/en")</f>
        <v>https://patents.google.com/patent/US20140094199A1/en</v>
      </c>
    </row>
    <row r="9102" spans="3:5" x14ac:dyDescent="0.25">
      <c r="C9102" t="s">
        <v>16692</v>
      </c>
      <c r="D9102" t="s">
        <v>16693</v>
      </c>
      <c r="E9102" t="str">
        <f>HYPERLINK("https://patents.google.com/patent/CN104052151A/en")</f>
        <v>https://patents.google.com/patent/CN104052151A/en</v>
      </c>
    </row>
    <row r="9103" spans="3:5" x14ac:dyDescent="0.25">
      <c r="C9103" t="s">
        <v>16694</v>
      </c>
      <c r="D9103" t="s">
        <v>16695</v>
      </c>
      <c r="E9103" t="str">
        <f>HYPERLINK("https://patents.google.com/patent/US20130198277A1/en")</f>
        <v>https://patents.google.com/patent/US20130198277A1/en</v>
      </c>
    </row>
    <row r="9104" spans="3:5" x14ac:dyDescent="0.25">
      <c r="C9104" t="s">
        <v>16696</v>
      </c>
      <c r="D9104" t="s">
        <v>16697</v>
      </c>
      <c r="E9104" t="str">
        <f>HYPERLINK("https://patents.google.com/patent/US20100117898A1/en")</f>
        <v>https://patents.google.com/patent/US20100117898A1/en</v>
      </c>
    </row>
    <row r="9105" spans="3:5" x14ac:dyDescent="0.25">
      <c r="C9105" t="s">
        <v>16698</v>
      </c>
      <c r="D9105" t="s">
        <v>16699</v>
      </c>
      <c r="E9105" t="str">
        <f>HYPERLINK("https://patents.google.com/patent/US20160021038A1/en")</f>
        <v>https://patents.google.com/patent/US20160021038A1/en</v>
      </c>
    </row>
    <row r="9106" spans="3:5" x14ac:dyDescent="0.25">
      <c r="C9106" t="s">
        <v>16700</v>
      </c>
      <c r="D9106" t="s">
        <v>16701</v>
      </c>
      <c r="E9106" t="str">
        <f>HYPERLINK("https://patents.google.com/patent/US20120031119A1/en")</f>
        <v>https://patents.google.com/patent/US20120031119A1/en</v>
      </c>
    </row>
    <row r="9107" spans="3:5" x14ac:dyDescent="0.25">
      <c r="C9107" t="s">
        <v>16702</v>
      </c>
      <c r="D9107" t="s">
        <v>16703</v>
      </c>
      <c r="E9107" t="str">
        <f>HYPERLINK("https://patents.google.com/patent/CN201365259Y/en")</f>
        <v>https://patents.google.com/patent/CN201365259Y/en</v>
      </c>
    </row>
    <row r="9108" spans="3:5" x14ac:dyDescent="0.25">
      <c r="C9108" t="s">
        <v>16704</v>
      </c>
      <c r="D9108" t="s">
        <v>16705</v>
      </c>
      <c r="E9108" t="str">
        <f>HYPERLINK("https://patents.google.com/patent/US20130115969A1/en")</f>
        <v>https://patents.google.com/patent/US20130115969A1/en</v>
      </c>
    </row>
    <row r="9109" spans="3:5" x14ac:dyDescent="0.25">
      <c r="C9109" t="s">
        <v>16706</v>
      </c>
      <c r="D9109" t="s">
        <v>16707</v>
      </c>
      <c r="E9109" t="str">
        <f>HYPERLINK("https://patents.google.com/patent/US5690557A/en")</f>
        <v>https://patents.google.com/patent/US5690557A/en</v>
      </c>
    </row>
    <row r="9110" spans="3:5" x14ac:dyDescent="0.25">
      <c r="C9110" t="s">
        <v>16708</v>
      </c>
      <c r="D9110" t="s">
        <v>16709</v>
      </c>
      <c r="E9110" t="str">
        <f>HYPERLINK("https://patents.google.com/patent/US20120272584A1/en")</f>
        <v>https://patents.google.com/patent/US20120272584A1/en</v>
      </c>
    </row>
    <row r="9111" spans="3:5" x14ac:dyDescent="0.25">
      <c r="C9111" t="s">
        <v>16710</v>
      </c>
      <c r="D9111" t="s">
        <v>16711</v>
      </c>
      <c r="E9111" t="str">
        <f>HYPERLINK("https://patents.google.com/patent/US20080109233A1/en")</f>
        <v>https://patents.google.com/patent/US20080109233A1/en</v>
      </c>
    </row>
    <row r="9112" spans="3:5" x14ac:dyDescent="0.25">
      <c r="C9112" t="s">
        <v>16712</v>
      </c>
      <c r="D9112" t="s">
        <v>16713</v>
      </c>
      <c r="E9112" t="str">
        <f>HYPERLINK("https://patents.google.com/patent/JP2001285894A/en")</f>
        <v>https://patents.google.com/patent/JP2001285894A/en</v>
      </c>
    </row>
    <row r="9113" spans="3:5" x14ac:dyDescent="0.25">
      <c r="C9113" t="s">
        <v>16714</v>
      </c>
      <c r="D9113" t="s">
        <v>16715</v>
      </c>
      <c r="E9113" t="str">
        <f>HYPERLINK("https://patents.google.com/patent/US20150012467A1/en")</f>
        <v>https://patents.google.com/patent/US20150012467A1/en</v>
      </c>
    </row>
    <row r="9114" spans="3:5" x14ac:dyDescent="0.25">
      <c r="C9114" t="s">
        <v>16716</v>
      </c>
      <c r="D9114" t="s">
        <v>16717</v>
      </c>
      <c r="E9114" t="str">
        <f>HYPERLINK("https://patents.google.com/patent/US20070118437A1/en")</f>
        <v>https://patents.google.com/patent/US20070118437A1/en</v>
      </c>
    </row>
    <row r="9115" spans="3:5" x14ac:dyDescent="0.25">
      <c r="C9115" t="s">
        <v>16718</v>
      </c>
      <c r="D9115" t="s">
        <v>16719</v>
      </c>
      <c r="E9115" t="str">
        <f>HYPERLINK("https://patents.google.com/patent/US20080103803A1/en")</f>
        <v>https://patents.google.com/patent/US20080103803A1/en</v>
      </c>
    </row>
    <row r="9116" spans="3:5" x14ac:dyDescent="0.25">
      <c r="C9116" t="s">
        <v>16720</v>
      </c>
      <c r="D9116" t="s">
        <v>16721</v>
      </c>
      <c r="E9116" t="str">
        <f>HYPERLINK("https://patents.google.com/patent/WO2013084213A1/en")</f>
        <v>https://patents.google.com/patent/WO2013084213A1/en</v>
      </c>
    </row>
    <row r="9117" spans="3:5" x14ac:dyDescent="0.25">
      <c r="C9117" t="s">
        <v>16722</v>
      </c>
      <c r="D9117" t="s">
        <v>16723</v>
      </c>
      <c r="E9117" t="str">
        <f>HYPERLINK("https://patents.google.com/patent/CN1277122A/en")</f>
        <v>https://patents.google.com/patent/CN1277122A/en</v>
      </c>
    </row>
    <row r="9118" spans="3:5" x14ac:dyDescent="0.25">
      <c r="C9118" t="s">
        <v>16694</v>
      </c>
      <c r="D9118" t="s">
        <v>16724</v>
      </c>
      <c r="E9118" t="str">
        <f>HYPERLINK("https://patents.google.com/patent/US8903852B1/en")</f>
        <v>https://patents.google.com/patent/US8903852B1/en</v>
      </c>
    </row>
    <row r="9119" spans="3:5" x14ac:dyDescent="0.25">
      <c r="C9119" t="s">
        <v>16694</v>
      </c>
      <c r="D9119" t="s">
        <v>16725</v>
      </c>
      <c r="E9119" t="str">
        <f>HYPERLINK("https://patents.google.com/patent/US8832191B1/en")</f>
        <v>https://patents.google.com/patent/US8832191B1/en</v>
      </c>
    </row>
    <row r="9120" spans="3:5" x14ac:dyDescent="0.25">
      <c r="C9120" t="s">
        <v>16726</v>
      </c>
      <c r="D9120" t="s">
        <v>16727</v>
      </c>
      <c r="E9120" t="str">
        <f>HYPERLINK("https://patents.google.com/patent/CN102685249A/en")</f>
        <v>https://patents.google.com/patent/CN102685249A/en</v>
      </c>
    </row>
    <row r="9121" spans="3:5" x14ac:dyDescent="0.25">
      <c r="C9121" t="s">
        <v>16728</v>
      </c>
      <c r="D9121" t="s">
        <v>16729</v>
      </c>
      <c r="E9121" t="str">
        <f>HYPERLINK("https://patents.google.com/patent/US20080320084A1/en")</f>
        <v>https://patents.google.com/patent/US20080320084A1/en</v>
      </c>
    </row>
    <row r="9122" spans="3:5" x14ac:dyDescent="0.25">
      <c r="C9122" t="s">
        <v>16730</v>
      </c>
      <c r="D9122" t="s">
        <v>16731</v>
      </c>
      <c r="E9122" t="str">
        <f>HYPERLINK("https://patents.google.com/patent/KR200359711Y1/en")</f>
        <v>https://patents.google.com/patent/KR200359711Y1/en</v>
      </c>
    </row>
    <row r="9123" spans="3:5" x14ac:dyDescent="0.25">
      <c r="C9123" t="s">
        <v>16732</v>
      </c>
      <c r="D9123" t="s">
        <v>16733</v>
      </c>
      <c r="E9123" t="str">
        <f>HYPERLINK("https://patents.google.com/patent/US20050120200A1/en")</f>
        <v>https://patents.google.com/patent/US20050120200A1/en</v>
      </c>
    </row>
    <row r="9124" spans="3:5" x14ac:dyDescent="0.25">
      <c r="C9124" t="s">
        <v>16734</v>
      </c>
      <c r="D9124" t="s">
        <v>16735</v>
      </c>
      <c r="E9124" t="str">
        <f>HYPERLINK("https://patents.google.com/patent/US20150120015A1/en")</f>
        <v>https://patents.google.com/patent/US20150120015A1/en</v>
      </c>
    </row>
    <row r="9125" spans="3:5" x14ac:dyDescent="0.25">
      <c r="C9125" t="s">
        <v>16736</v>
      </c>
      <c r="D9125" t="s">
        <v>16737</v>
      </c>
      <c r="E9125" t="str">
        <f>HYPERLINK("https://patents.google.com/patent/US20160232774A1/en")</f>
        <v>https://patents.google.com/patent/US20160232774A1/en</v>
      </c>
    </row>
    <row r="9126" spans="3:5" x14ac:dyDescent="0.25">
      <c r="C9126" t="s">
        <v>16738</v>
      </c>
      <c r="D9126" t="s">
        <v>16739</v>
      </c>
      <c r="E9126" t="str">
        <f>HYPERLINK("https://patents.google.com/patent/US20150095350A1/en")</f>
        <v>https://patents.google.com/patent/US20150095350A1/en</v>
      </c>
    </row>
    <row r="9127" spans="3:5" x14ac:dyDescent="0.25">
      <c r="C9127" t="s">
        <v>16740</v>
      </c>
      <c r="D9127" t="s">
        <v>16741</v>
      </c>
      <c r="E9127" t="str">
        <f>HYPERLINK("https://patents.google.com/patent/US20170079001A1/en")</f>
        <v>https://patents.google.com/patent/US20170079001A1/en</v>
      </c>
    </row>
    <row r="9128" spans="3:5" x14ac:dyDescent="0.25">
      <c r="C9128" t="s">
        <v>16742</v>
      </c>
      <c r="D9128" t="s">
        <v>16743</v>
      </c>
      <c r="E9128" t="str">
        <f>HYPERLINK("https://patents.google.com/patent/US20050276318A1/en")</f>
        <v>https://patents.google.com/patent/US20050276318A1/en</v>
      </c>
    </row>
    <row r="9129" spans="3:5" x14ac:dyDescent="0.25">
      <c r="C9129" t="s">
        <v>16744</v>
      </c>
      <c r="D9129" t="s">
        <v>16745</v>
      </c>
      <c r="E9129" t="str">
        <f>HYPERLINK("https://patents.google.com/patent/US20080109297A1/en")</f>
        <v>https://patents.google.com/patent/US20080109297A1/en</v>
      </c>
    </row>
    <row r="9130" spans="3:5" x14ac:dyDescent="0.25">
      <c r="C9130" t="s">
        <v>16746</v>
      </c>
      <c r="D9130" t="s">
        <v>16747</v>
      </c>
      <c r="E9130" t="str">
        <f>HYPERLINK("https://patents.google.com/patent/CN102564784A/en")</f>
        <v>https://patents.google.com/patent/CN102564784A/en</v>
      </c>
    </row>
    <row r="9131" spans="3:5" x14ac:dyDescent="0.25">
      <c r="C9131" t="s">
        <v>16748</v>
      </c>
      <c r="D9131" t="s">
        <v>16749</v>
      </c>
      <c r="E9131" t="str">
        <f>HYPERLINK("https://patents.google.com/patent/KR20160104230A/en")</f>
        <v>https://patents.google.com/patent/KR20160104230A/en</v>
      </c>
    </row>
    <row r="9132" spans="3:5" x14ac:dyDescent="0.25">
      <c r="C9132" t="s">
        <v>16750</v>
      </c>
      <c r="D9132" t="s">
        <v>16751</v>
      </c>
      <c r="E9132" t="str">
        <f>HYPERLINK("https://patents.google.com/patent/CN202634473U/en")</f>
        <v>https://patents.google.com/patent/CN202634473U/en</v>
      </c>
    </row>
    <row r="9133" spans="3:5" x14ac:dyDescent="0.25">
      <c r="C9133" t="s">
        <v>16752</v>
      </c>
      <c r="D9133" t="s">
        <v>16753</v>
      </c>
      <c r="E9133" t="str">
        <f>HYPERLINK("https://patents.google.com/patent/JP2001028093A/en")</f>
        <v>https://patents.google.com/patent/JP2001028093A/en</v>
      </c>
    </row>
    <row r="9134" spans="3:5" x14ac:dyDescent="0.25">
      <c r="C9134" t="s">
        <v>16754</v>
      </c>
      <c r="D9134" t="s">
        <v>16755</v>
      </c>
      <c r="E9134" t="str">
        <f>HYPERLINK("https://patents.google.com/patent/CN101374177A/en")</f>
        <v>https://patents.google.com/patent/CN101374177A/en</v>
      </c>
    </row>
    <row r="9135" spans="3:5" x14ac:dyDescent="0.25">
      <c r="C9135" t="s">
        <v>16694</v>
      </c>
      <c r="D9135" t="s">
        <v>16756</v>
      </c>
      <c r="E9135" t="str">
        <f>HYPERLINK("https://patents.google.com/patent/US8832127B1/en")</f>
        <v>https://patents.google.com/patent/US8832127B1/en</v>
      </c>
    </row>
    <row r="9136" spans="3:5" x14ac:dyDescent="0.25">
      <c r="C9136" t="s">
        <v>16694</v>
      </c>
      <c r="D9136" t="s">
        <v>16757</v>
      </c>
      <c r="E9136" t="str">
        <f>HYPERLINK("https://patents.google.com/patent/US8825083B1/en")</f>
        <v>https://patents.google.com/patent/US8825083B1/en</v>
      </c>
    </row>
    <row r="9137" spans="3:5" x14ac:dyDescent="0.25">
      <c r="C9137" t="s">
        <v>16758</v>
      </c>
      <c r="D9137" t="s">
        <v>16759</v>
      </c>
      <c r="E9137" t="str">
        <f>HYPERLINK("https://patents.google.com/patent/US20120035993A1/en")</f>
        <v>https://patents.google.com/patent/US20120035993A1/en</v>
      </c>
    </row>
    <row r="9138" spans="3:5" x14ac:dyDescent="0.25">
      <c r="C9138" t="s">
        <v>16760</v>
      </c>
      <c r="D9138" t="s">
        <v>16761</v>
      </c>
      <c r="E9138" t="str">
        <f>HYPERLINK("https://patents.google.com/patent/WO2013188762A1/en")</f>
        <v>https://patents.google.com/patent/WO2013188762A1/en</v>
      </c>
    </row>
    <row r="9139" spans="3:5" x14ac:dyDescent="0.25">
      <c r="C9139" t="s">
        <v>16762</v>
      </c>
      <c r="D9139" t="s">
        <v>16763</v>
      </c>
      <c r="E9139" t="str">
        <f>HYPERLINK("https://patents.google.com/patent/US20080103919A1/en")</f>
        <v>https://patents.google.com/patent/US20080103919A1/en</v>
      </c>
    </row>
    <row r="9140" spans="3:5" x14ac:dyDescent="0.25">
      <c r="C9140" t="s">
        <v>16764</v>
      </c>
      <c r="D9140" t="s">
        <v>16765</v>
      </c>
      <c r="E9140" t="str">
        <f>HYPERLINK("https://patents.google.com/patent/CN1794771A/en")</f>
        <v>https://patents.google.com/patent/CN1794771A/en</v>
      </c>
    </row>
    <row r="9141" spans="3:5" x14ac:dyDescent="0.25">
      <c r="C9141" t="s">
        <v>16694</v>
      </c>
      <c r="D9141" t="s">
        <v>16766</v>
      </c>
      <c r="E9141" t="str">
        <f>HYPERLINK("https://patents.google.com/patent/US8832062B1/en")</f>
        <v>https://patents.google.com/patent/US8832062B1/en</v>
      </c>
    </row>
    <row r="9142" spans="3:5" x14ac:dyDescent="0.25">
      <c r="C9142" t="s">
        <v>16767</v>
      </c>
      <c r="D9142" t="s">
        <v>16768</v>
      </c>
      <c r="E9142" t="str">
        <f>HYPERLINK("https://patents.google.com/patent/CN101976461A/en")</f>
        <v>https://patents.google.com/patent/CN101976461A/en</v>
      </c>
    </row>
    <row r="9143" spans="3:5" x14ac:dyDescent="0.25">
      <c r="C9143" t="s">
        <v>16769</v>
      </c>
      <c r="D9143" t="s">
        <v>16770</v>
      </c>
      <c r="E9143" t="str">
        <f>HYPERLINK("https://patents.google.com/patent/US20090271837A1/en")</f>
        <v>https://patents.google.com/patent/US20090271837A1/en</v>
      </c>
    </row>
    <row r="9144" spans="3:5" x14ac:dyDescent="0.25">
      <c r="C9144" t="s">
        <v>16771</v>
      </c>
      <c r="D9144" t="s">
        <v>16772</v>
      </c>
      <c r="E9144" t="str">
        <f>HYPERLINK("https://patents.google.com/patent/US20090097671A1/en")</f>
        <v>https://patents.google.com/patent/US20090097671A1/en</v>
      </c>
    </row>
    <row r="9145" spans="3:5" x14ac:dyDescent="0.25">
      <c r="C9145" t="s">
        <v>16773</v>
      </c>
      <c r="D9145" t="s">
        <v>16774</v>
      </c>
      <c r="E9145" t="str">
        <f>HYPERLINK("https://patents.google.com/patent/US20070186238A1/en")</f>
        <v>https://patents.google.com/patent/US20070186238A1/en</v>
      </c>
    </row>
    <row r="9146" spans="3:5" x14ac:dyDescent="0.25">
      <c r="C9146" t="s">
        <v>16775</v>
      </c>
      <c r="D9146" t="s">
        <v>16776</v>
      </c>
      <c r="E9146" t="str">
        <f>HYPERLINK("https://patents.google.com/patent/US20110218885A1/en")</f>
        <v>https://patents.google.com/patent/US20110218885A1/en</v>
      </c>
    </row>
    <row r="9147" spans="3:5" x14ac:dyDescent="0.25">
      <c r="C9147" t="s">
        <v>16777</v>
      </c>
      <c r="D9147" t="s">
        <v>16778</v>
      </c>
      <c r="E9147" t="str">
        <f>HYPERLINK("https://patents.google.com/patent/US20150024782A1/en")</f>
        <v>https://patents.google.com/patent/US20150024782A1/en</v>
      </c>
    </row>
    <row r="9148" spans="3:5" x14ac:dyDescent="0.25">
      <c r="C9148" t="s">
        <v>16779</v>
      </c>
      <c r="D9148" t="s">
        <v>16780</v>
      </c>
      <c r="E9148" t="str">
        <f>HYPERLINK("https://patents.google.com/patent/CN101610190A/en")</f>
        <v>https://patents.google.com/patent/CN101610190A/en</v>
      </c>
    </row>
    <row r="9149" spans="3:5" x14ac:dyDescent="0.25">
      <c r="C9149" t="s">
        <v>16781</v>
      </c>
      <c r="D9149" t="s">
        <v>16782</v>
      </c>
      <c r="E9149" t="str">
        <f>HYPERLINK("https://patents.google.com/patent/US20100136984A1/en")</f>
        <v>https://patents.google.com/patent/US20100136984A1/en</v>
      </c>
    </row>
    <row r="9150" spans="3:5" x14ac:dyDescent="0.25">
      <c r="C9150" t="s">
        <v>16783</v>
      </c>
      <c r="D9150" t="s">
        <v>16784</v>
      </c>
      <c r="E9150" t="str">
        <f>HYPERLINK("https://patents.google.com/patent/CN102065065A/en")</f>
        <v>https://patents.google.com/patent/CN102065065A/en</v>
      </c>
    </row>
    <row r="9151" spans="3:5" x14ac:dyDescent="0.25">
      <c r="C9151" t="s">
        <v>16785</v>
      </c>
      <c r="D9151" t="s">
        <v>16786</v>
      </c>
      <c r="E9151" t="str">
        <f>HYPERLINK("https://patents.google.com/patent/US20120272585A1/en")</f>
        <v>https://patents.google.com/patent/US20120272585A1/en</v>
      </c>
    </row>
    <row r="9152" spans="3:5" x14ac:dyDescent="0.25">
      <c r="C9152" t="s">
        <v>16694</v>
      </c>
      <c r="D9152" t="s">
        <v>16787</v>
      </c>
      <c r="E9152" t="str">
        <f>HYPERLINK("https://patents.google.com/patent/US8812528B1/en")</f>
        <v>https://patents.google.com/patent/US8812528B1/en</v>
      </c>
    </row>
    <row r="9153" spans="3:5" x14ac:dyDescent="0.25">
      <c r="C9153" t="s">
        <v>16788</v>
      </c>
      <c r="D9153" t="s">
        <v>16789</v>
      </c>
      <c r="E9153" t="str">
        <f>HYPERLINK("https://patents.google.com/patent/US20150087330A1/en")</f>
        <v>https://patents.google.com/patent/US20150087330A1/en</v>
      </c>
    </row>
    <row r="9154" spans="3:5" x14ac:dyDescent="0.25">
      <c r="C9154" t="s">
        <v>16790</v>
      </c>
      <c r="D9154" t="s">
        <v>16791</v>
      </c>
      <c r="E9154" t="str">
        <f>HYPERLINK("https://patents.google.com/patent/JP2012174165A/en")</f>
        <v>https://patents.google.com/patent/JP2012174165A/en</v>
      </c>
    </row>
    <row r="9155" spans="3:5" x14ac:dyDescent="0.25">
      <c r="C9155" t="s">
        <v>16792</v>
      </c>
      <c r="D9155" t="s">
        <v>16793</v>
      </c>
      <c r="E9155" t="str">
        <f>HYPERLINK("https://patents.google.com/patent/CN1609870A/en")</f>
        <v>https://patents.google.com/patent/CN1609870A/en</v>
      </c>
    </row>
    <row r="9156" spans="3:5" x14ac:dyDescent="0.25">
      <c r="C9156" t="s">
        <v>16794</v>
      </c>
      <c r="D9156" t="s">
        <v>16795</v>
      </c>
      <c r="E9156" t="str">
        <f>HYPERLINK("https://patents.google.com/patent/CN104966340A/en")</f>
        <v>https://patents.google.com/patent/CN104966340A/en</v>
      </c>
    </row>
    <row r="9157" spans="3:5" x14ac:dyDescent="0.25">
      <c r="C9157" t="s">
        <v>16796</v>
      </c>
      <c r="D9157" t="s">
        <v>16797</v>
      </c>
      <c r="E9157" t="str">
        <f>HYPERLINK("https://patents.google.com/patent/US20100131192A1/en")</f>
        <v>https://patents.google.com/patent/US20100131192A1/en</v>
      </c>
    </row>
    <row r="9158" spans="3:5" x14ac:dyDescent="0.25">
      <c r="C9158" t="s">
        <v>16462</v>
      </c>
      <c r="D9158" t="s">
        <v>16798</v>
      </c>
      <c r="E9158" t="str">
        <f>HYPERLINK("https://patents.google.com/patent/WO2008028188A2/en")</f>
        <v>https://patents.google.com/patent/WO2008028188A2/en</v>
      </c>
    </row>
    <row r="9159" spans="3:5" x14ac:dyDescent="0.25">
      <c r="C9159" t="s">
        <v>16799</v>
      </c>
      <c r="D9159" t="s">
        <v>16800</v>
      </c>
      <c r="E9159" t="str">
        <f>HYPERLINK("https://patents.google.com/patent/US20120317202A1/en")</f>
        <v>https://patents.google.com/patent/US20120317202A1/en</v>
      </c>
    </row>
    <row r="9160" spans="3:5" x14ac:dyDescent="0.25">
      <c r="C9160" t="s">
        <v>16801</v>
      </c>
      <c r="D9160" t="s">
        <v>16802</v>
      </c>
      <c r="E9160" t="str">
        <f>HYPERLINK("https://patents.google.com/patent/US8082186B2/en")</f>
        <v>https://patents.google.com/patent/US8082186B2/en</v>
      </c>
    </row>
    <row r="9161" spans="3:5" x14ac:dyDescent="0.25">
      <c r="C9161" t="s">
        <v>16803</v>
      </c>
      <c r="D9161" t="s">
        <v>16804</v>
      </c>
      <c r="E9161" t="str">
        <f>HYPERLINK("https://patents.google.com/patent/CN104656530A/en")</f>
        <v>https://patents.google.com/patent/CN104656530A/en</v>
      </c>
    </row>
    <row r="9162" spans="3:5" x14ac:dyDescent="0.25">
      <c r="C9162" t="s">
        <v>16605</v>
      </c>
      <c r="D9162" t="s">
        <v>16805</v>
      </c>
      <c r="E9162" t="str">
        <f>HYPERLINK("https://patents.google.com/patent/US20140162683A1/en")</f>
        <v>https://patents.google.com/patent/US20140162683A1/en</v>
      </c>
    </row>
    <row r="9163" spans="3:5" x14ac:dyDescent="0.25">
      <c r="C9163" t="s">
        <v>16806</v>
      </c>
      <c r="D9163" t="s">
        <v>16807</v>
      </c>
      <c r="E9163" t="str">
        <f>HYPERLINK("https://patents.google.com/patent/CN103754242A/en")</f>
        <v>https://patents.google.com/patent/CN103754242A/en</v>
      </c>
    </row>
    <row r="9164" spans="3:5" x14ac:dyDescent="0.25">
      <c r="C9164" t="s">
        <v>16808</v>
      </c>
      <c r="D9164" t="s">
        <v>16809</v>
      </c>
      <c r="E9164" t="str">
        <f>HYPERLINK("https://patents.google.com/patent/CN1330335A/en")</f>
        <v>https://patents.google.com/patent/CN1330335A/en</v>
      </c>
    </row>
    <row r="9165" spans="3:5" x14ac:dyDescent="0.25">
      <c r="C9165" t="s">
        <v>16810</v>
      </c>
      <c r="D9165" t="s">
        <v>16811</v>
      </c>
      <c r="E9165" t="str">
        <f>HYPERLINK("https://patents.google.com/patent/CN102752367A/en")</f>
        <v>https://patents.google.com/patent/CN102752367A/en</v>
      </c>
    </row>
    <row r="9166" spans="3:5" x14ac:dyDescent="0.25">
      <c r="C9166" t="s">
        <v>16812</v>
      </c>
      <c r="D9166" t="s">
        <v>16813</v>
      </c>
      <c r="E9166" t="str">
        <f>HYPERLINK("https://patents.google.com/patent/WO2002036419A1/en")</f>
        <v>https://patents.google.com/patent/WO2002036419A1/en</v>
      </c>
    </row>
    <row r="9167" spans="3:5" x14ac:dyDescent="0.25">
      <c r="C9167" t="s">
        <v>16814</v>
      </c>
      <c r="D9167" t="s">
        <v>16815</v>
      </c>
      <c r="E9167" t="str">
        <f>HYPERLINK("https://patents.google.com/patent/CN102752577A/en")</f>
        <v>https://patents.google.com/patent/CN102752577A/en</v>
      </c>
    </row>
    <row r="9168" spans="3:5" x14ac:dyDescent="0.25">
      <c r="C9168" t="s">
        <v>16816</v>
      </c>
      <c r="D9168" t="s">
        <v>16817</v>
      </c>
      <c r="E9168" t="str">
        <f>HYPERLINK("https://patents.google.com/patent/WO2004003852A1/en")</f>
        <v>https://patents.google.com/patent/WO2004003852A1/en</v>
      </c>
    </row>
    <row r="9169" spans="3:5" x14ac:dyDescent="0.25">
      <c r="C9169" t="s">
        <v>16818</v>
      </c>
      <c r="D9169" t="s">
        <v>16819</v>
      </c>
      <c r="E9169" t="str">
        <f>HYPERLINK("https://patents.google.com/patent/US7707780B2/en")</f>
        <v>https://patents.google.com/patent/US7707780B2/en</v>
      </c>
    </row>
    <row r="9170" spans="3:5" x14ac:dyDescent="0.25">
      <c r="C9170" t="s">
        <v>16820</v>
      </c>
      <c r="D9170" t="s">
        <v>16821</v>
      </c>
      <c r="E9170" t="str">
        <f>HYPERLINK("https://patents.google.com/patent/US20090262015A1/en")</f>
        <v>https://patents.google.com/patent/US20090262015A1/en</v>
      </c>
    </row>
    <row r="9171" spans="3:5" x14ac:dyDescent="0.25">
      <c r="C9171" t="s">
        <v>16822</v>
      </c>
      <c r="D9171" t="s">
        <v>16823</v>
      </c>
      <c r="E9171" t="str">
        <f>HYPERLINK("https://patents.google.com/patent/US20130238857A1/en")</f>
        <v>https://patents.google.com/patent/US20130238857A1/en</v>
      </c>
    </row>
    <row r="9172" spans="3:5" x14ac:dyDescent="0.25">
      <c r="C9172" t="s">
        <v>16824</v>
      </c>
      <c r="D9172" t="s">
        <v>16825</v>
      </c>
      <c r="E9172" t="str">
        <f>HYPERLINK("https://patents.google.com/patent/CN103035136A/en")</f>
        <v>https://patents.google.com/patent/CN103035136A/en</v>
      </c>
    </row>
    <row r="9173" spans="3:5" x14ac:dyDescent="0.25">
      <c r="C9173" t="s">
        <v>16826</v>
      </c>
      <c r="D9173" t="s">
        <v>16827</v>
      </c>
      <c r="E9173" t="str">
        <f>HYPERLINK("https://patents.google.com/patent/US20130120450A1/en")</f>
        <v>https://patents.google.com/patent/US20130120450A1/en</v>
      </c>
    </row>
    <row r="9174" spans="3:5" x14ac:dyDescent="0.25">
      <c r="C9174" t="s">
        <v>16828</v>
      </c>
      <c r="D9174" t="s">
        <v>16829</v>
      </c>
      <c r="E9174" t="str">
        <f>HYPERLINK("https://patents.google.com/patent/CN102546816A/en")</f>
        <v>https://patents.google.com/patent/CN102546816A/en</v>
      </c>
    </row>
    <row r="9175" spans="3:5" x14ac:dyDescent="0.25">
      <c r="C9175" t="s">
        <v>16830</v>
      </c>
      <c r="D9175" t="s">
        <v>16831</v>
      </c>
      <c r="E9175" t="str">
        <f>HYPERLINK("https://patents.google.com/patent/CN101134464A/en")</f>
        <v>https://patents.google.com/patent/CN101134464A/en</v>
      </c>
    </row>
    <row r="9176" spans="3:5" x14ac:dyDescent="0.25">
      <c r="C9176" t="s">
        <v>16832</v>
      </c>
      <c r="D9176" t="s">
        <v>16833</v>
      </c>
      <c r="E9176" t="str">
        <f>HYPERLINK("https://patents.google.com/patent/WO2002015075A1/en")</f>
        <v>https://patents.google.com/patent/WO2002015075A1/en</v>
      </c>
    </row>
    <row r="9177" spans="3:5" x14ac:dyDescent="0.25">
      <c r="C9177" t="s">
        <v>16834</v>
      </c>
      <c r="D9177" t="s">
        <v>16835</v>
      </c>
      <c r="E9177" t="str">
        <f>HYPERLINK("https://patents.google.com/patent/CN104837118A/en")</f>
        <v>https://patents.google.com/patent/CN104837118A/en</v>
      </c>
    </row>
    <row r="9178" spans="3:5" x14ac:dyDescent="0.25">
      <c r="C9178" t="s">
        <v>16836</v>
      </c>
      <c r="D9178" t="s">
        <v>16837</v>
      </c>
      <c r="E9178" t="str">
        <f>HYPERLINK("https://patents.google.com/patent/JP2015018545A/en")</f>
        <v>https://patents.google.com/patent/JP2015018545A/en</v>
      </c>
    </row>
    <row r="9179" spans="3:5" x14ac:dyDescent="0.25">
      <c r="C9179" t="s">
        <v>16838</v>
      </c>
      <c r="D9179" t="s">
        <v>16839</v>
      </c>
      <c r="E9179" t="str">
        <f>HYPERLINK("https://patents.google.com/patent/US20160330601A1/en")</f>
        <v>https://patents.google.com/patent/US20160330601A1/en</v>
      </c>
    </row>
    <row r="9180" spans="3:5" x14ac:dyDescent="0.25">
      <c r="C9180" t="s">
        <v>16840</v>
      </c>
      <c r="D9180" t="s">
        <v>16841</v>
      </c>
      <c r="E9180" t="str">
        <f>HYPERLINK("https://patents.google.com/patent/US7942461B2/en")</f>
        <v>https://patents.google.com/patent/US7942461B2/en</v>
      </c>
    </row>
    <row r="9181" spans="3:5" x14ac:dyDescent="0.25">
      <c r="C9181" t="s">
        <v>16842</v>
      </c>
      <c r="D9181" t="s">
        <v>16843</v>
      </c>
      <c r="E9181" t="str">
        <f>HYPERLINK("https://patents.google.com/patent/US20150242525A1/en")</f>
        <v>https://patents.google.com/patent/US20150242525A1/en</v>
      </c>
    </row>
    <row r="9182" spans="3:5" x14ac:dyDescent="0.25">
      <c r="C9182" t="s">
        <v>16844</v>
      </c>
      <c r="D9182" t="s">
        <v>16845</v>
      </c>
      <c r="E9182" t="str">
        <f>HYPERLINK("https://patents.google.com/patent/WO2014001937A1/en")</f>
        <v>https://patents.google.com/patent/WO2014001937A1/en</v>
      </c>
    </row>
    <row r="9183" spans="3:5" x14ac:dyDescent="0.25">
      <c r="C9183" t="s">
        <v>16846</v>
      </c>
      <c r="D9183" t="s">
        <v>16847</v>
      </c>
      <c r="E9183" t="str">
        <f>HYPERLINK("https://patents.google.com/patent/US8108091B2/en")</f>
        <v>https://patents.google.com/patent/US8108091B2/en</v>
      </c>
    </row>
    <row r="9184" spans="3:5" x14ac:dyDescent="0.25">
      <c r="C9184" t="s">
        <v>16848</v>
      </c>
      <c r="D9184" t="s">
        <v>16849</v>
      </c>
      <c r="E9184" t="str">
        <f>HYPERLINK("https://patents.google.com/patent/US8005656B1/en")</f>
        <v>https://patents.google.com/patent/US8005656B1/en</v>
      </c>
    </row>
    <row r="9185" spans="3:5" x14ac:dyDescent="0.25">
      <c r="C9185" t="s">
        <v>16850</v>
      </c>
      <c r="D9185" t="s">
        <v>16851</v>
      </c>
      <c r="E9185" t="str">
        <f>HYPERLINK("https://patents.google.com/patent/CN106741696A/en")</f>
        <v>https://patents.google.com/patent/CN106741696A/en</v>
      </c>
    </row>
    <row r="9186" spans="3:5" x14ac:dyDescent="0.25">
      <c r="C9186" t="s">
        <v>16852</v>
      </c>
      <c r="D9186" t="s">
        <v>16853</v>
      </c>
      <c r="E9186" t="str">
        <f>HYPERLINK("https://patents.google.com/patent/CN106237588A/en")</f>
        <v>https://patents.google.com/patent/CN106237588A/en</v>
      </c>
    </row>
    <row r="9187" spans="3:5" x14ac:dyDescent="0.25">
      <c r="C9187" t="s">
        <v>16854</v>
      </c>
      <c r="D9187" t="s">
        <v>16855</v>
      </c>
      <c r="E9187" t="str">
        <f>HYPERLINK("https://patents.google.com/patent/CN108462732A/en")</f>
        <v>https://patents.google.com/patent/CN108462732A/en</v>
      </c>
    </row>
    <row r="9188" spans="3:5" x14ac:dyDescent="0.25">
      <c r="C9188" t="s">
        <v>16856</v>
      </c>
      <c r="D9188" t="s">
        <v>16857</v>
      </c>
      <c r="E9188" t="str">
        <f>HYPERLINK("https://patents.google.com/patent/CN106294903A/en")</f>
        <v>https://patents.google.com/patent/CN106294903A/en</v>
      </c>
    </row>
    <row r="9189" spans="3:5" x14ac:dyDescent="0.25">
      <c r="C9189" t="s">
        <v>16858</v>
      </c>
      <c r="D9189" t="s">
        <v>16859</v>
      </c>
      <c r="E9189" t="str">
        <f>HYPERLINK("https://patents.google.com/patent/CN104732726A/en")</f>
        <v>https://patents.google.com/patent/CN104732726A/en</v>
      </c>
    </row>
    <row r="9190" spans="3:5" x14ac:dyDescent="0.25">
      <c r="C9190" t="s">
        <v>16860</v>
      </c>
      <c r="D9190" t="s">
        <v>16861</v>
      </c>
      <c r="E9190" t="str">
        <f>HYPERLINK("https://patents.google.com/patent/CN201083024Y/en")</f>
        <v>https://patents.google.com/patent/CN201083024Y/en</v>
      </c>
    </row>
    <row r="9191" spans="3:5" x14ac:dyDescent="0.25">
      <c r="C9191" t="s">
        <v>16862</v>
      </c>
      <c r="D9191" t="s">
        <v>16863</v>
      </c>
      <c r="E9191" t="str">
        <f>HYPERLINK("https://patents.google.com/patent/CN102530207B/en")</f>
        <v>https://patents.google.com/patent/CN102530207B/en</v>
      </c>
    </row>
    <row r="9192" spans="3:5" x14ac:dyDescent="0.25">
      <c r="C9192" t="s">
        <v>16864</v>
      </c>
      <c r="D9192" t="s">
        <v>16865</v>
      </c>
      <c r="E9192" t="str">
        <f>HYPERLINK("https://patents.google.com/patent/CN101121408A/en")</f>
        <v>https://patents.google.com/patent/CN101121408A/en</v>
      </c>
    </row>
    <row r="9193" spans="3:5" x14ac:dyDescent="0.25">
      <c r="C9193" t="s">
        <v>16866</v>
      </c>
      <c r="D9193" t="s">
        <v>16867</v>
      </c>
      <c r="E9193" t="str">
        <f>HYPERLINK("https://patents.google.com/patent/DE102004040057A1/en")</f>
        <v>https://patents.google.com/patent/DE102004040057A1/en</v>
      </c>
    </row>
    <row r="9194" spans="3:5" x14ac:dyDescent="0.25">
      <c r="C9194" t="s">
        <v>16868</v>
      </c>
      <c r="D9194" t="s">
        <v>16869</v>
      </c>
      <c r="E9194" t="str">
        <f>HYPERLINK("https://patents.google.com/patent/CN102436621A/en")</f>
        <v>https://patents.google.com/patent/CN102436621A/en</v>
      </c>
    </row>
    <row r="9195" spans="3:5" x14ac:dyDescent="0.25">
      <c r="C9195" t="s">
        <v>16870</v>
      </c>
      <c r="D9195" t="s">
        <v>16871</v>
      </c>
      <c r="E9195" t="str">
        <f>HYPERLINK("https://patents.google.com/patent/CN1756163A/en")</f>
        <v>https://patents.google.com/patent/CN1756163A/en</v>
      </c>
    </row>
    <row r="9196" spans="3:5" x14ac:dyDescent="0.25">
      <c r="C9196" t="s">
        <v>16872</v>
      </c>
      <c r="D9196" t="s">
        <v>16873</v>
      </c>
      <c r="E9196" t="str">
        <f>HYPERLINK("https://patents.google.com/patent/RU2173280C2/en")</f>
        <v>https://patents.google.com/patent/RU2173280C2/en</v>
      </c>
    </row>
    <row r="9197" spans="3:5" x14ac:dyDescent="0.25">
      <c r="C9197" t="s">
        <v>16874</v>
      </c>
      <c r="D9197" t="s">
        <v>16875</v>
      </c>
      <c r="E9197" t="str">
        <f>HYPERLINK("https://patents.google.com/patent/CN102801214A/en")</f>
        <v>https://patents.google.com/patent/CN102801214A/en</v>
      </c>
    </row>
    <row r="9198" spans="3:5" x14ac:dyDescent="0.25">
      <c r="C9198" t="s">
        <v>16876</v>
      </c>
      <c r="D9198" t="s">
        <v>16877</v>
      </c>
      <c r="E9198" t="str">
        <f>HYPERLINK("https://patents.google.com/patent/US20160242010A1/en")</f>
        <v>https://patents.google.com/patent/US20160242010A1/en</v>
      </c>
    </row>
    <row r="9199" spans="3:5" x14ac:dyDescent="0.25">
      <c r="C9199" t="s">
        <v>16878</v>
      </c>
      <c r="D9199" t="s">
        <v>16879</v>
      </c>
      <c r="E9199" t="str">
        <f>HYPERLINK("https://patents.google.com/patent/WO2015148696A1/en")</f>
        <v>https://patents.google.com/patent/WO2015148696A1/en</v>
      </c>
    </row>
    <row r="9200" spans="3:5" x14ac:dyDescent="0.25">
      <c r="C9200" t="s">
        <v>13313</v>
      </c>
      <c r="D9200" t="s">
        <v>16880</v>
      </c>
      <c r="E9200" t="str">
        <f>HYPERLINK("https://patents.google.com/patent/CN1349581A/en")</f>
        <v>https://patents.google.com/patent/CN1349581A/en</v>
      </c>
    </row>
    <row r="9201" spans="3:5" x14ac:dyDescent="0.25">
      <c r="C9201" t="s">
        <v>16881</v>
      </c>
      <c r="D9201" t="s">
        <v>16882</v>
      </c>
      <c r="E9201" t="str">
        <f>HYPERLINK("https://patents.google.com/patent/US20150042663A1/en")</f>
        <v>https://patents.google.com/patent/US20150042663A1/en</v>
      </c>
    </row>
    <row r="9202" spans="3:5" x14ac:dyDescent="0.25">
      <c r="C9202" t="s">
        <v>16883</v>
      </c>
      <c r="D9202" t="s">
        <v>16884</v>
      </c>
      <c r="E9202" t="str">
        <f>HYPERLINK("https://patents.google.com/patent/CN202795008U/en")</f>
        <v>https://patents.google.com/patent/CN202795008U/en</v>
      </c>
    </row>
    <row r="9203" spans="3:5" x14ac:dyDescent="0.25">
      <c r="C9203" t="s">
        <v>16885</v>
      </c>
      <c r="D9203" t="s">
        <v>16886</v>
      </c>
      <c r="E9203" t="str">
        <f>HYPERLINK("https://patents.google.com/patent/US20170227965A1/en")</f>
        <v>https://patents.google.com/patent/US20170227965A1/en</v>
      </c>
    </row>
    <row r="9204" spans="3:5" x14ac:dyDescent="0.25">
      <c r="C9204" t="s">
        <v>16887</v>
      </c>
      <c r="D9204" t="s">
        <v>16888</v>
      </c>
      <c r="E9204" t="str">
        <f>HYPERLINK("https://patents.google.com/patent/CN1305172A/en")</f>
        <v>https://patents.google.com/patent/CN1305172A/en</v>
      </c>
    </row>
    <row r="9205" spans="3:5" x14ac:dyDescent="0.25">
      <c r="C9205" t="s">
        <v>16889</v>
      </c>
      <c r="D9205" t="s">
        <v>16890</v>
      </c>
      <c r="E9205" t="str">
        <f>HYPERLINK("https://patents.google.com/patent/CN103310300A/en")</f>
        <v>https://patents.google.com/patent/CN103310300A/en</v>
      </c>
    </row>
    <row r="9206" spans="3:5" x14ac:dyDescent="0.25">
      <c r="C9206" t="s">
        <v>16891</v>
      </c>
      <c r="D9206" t="s">
        <v>16892</v>
      </c>
      <c r="E9206" t="str">
        <f>HYPERLINK("https://patents.google.com/patent/CN203133746U/en")</f>
        <v>https://patents.google.com/patent/CN203133746U/en</v>
      </c>
    </row>
    <row r="9207" spans="3:5" x14ac:dyDescent="0.25">
      <c r="C9207" t="s">
        <v>16893</v>
      </c>
      <c r="D9207" t="s">
        <v>16894</v>
      </c>
      <c r="E9207" t="str">
        <f>HYPERLINK("https://patents.google.com/patent/CN202204926U/en")</f>
        <v>https://patents.google.com/patent/CN202204926U/en</v>
      </c>
    </row>
    <row r="9208" spans="3:5" x14ac:dyDescent="0.25">
      <c r="C9208" t="s">
        <v>16895</v>
      </c>
      <c r="D9208" t="s">
        <v>16896</v>
      </c>
      <c r="E9208" t="str">
        <f>HYPERLINK("https://patents.google.com/patent/US20160049012A1/en")</f>
        <v>https://patents.google.com/patent/US20160049012A1/en</v>
      </c>
    </row>
    <row r="9209" spans="3:5" x14ac:dyDescent="0.25">
      <c r="C9209" t="s">
        <v>16897</v>
      </c>
      <c r="D9209" t="s">
        <v>16898</v>
      </c>
      <c r="E9209" t="str">
        <f>HYPERLINK("https://patents.google.com/patent/US20080059562A1/en")</f>
        <v>https://patents.google.com/patent/US20080059562A1/en</v>
      </c>
    </row>
    <row r="9210" spans="3:5" x14ac:dyDescent="0.25">
      <c r="C9210" t="s">
        <v>16899</v>
      </c>
      <c r="D9210" t="s">
        <v>16900</v>
      </c>
      <c r="E9210" t="str">
        <f>HYPERLINK("https://patents.google.com/patent/US20160330580A1/en")</f>
        <v>https://patents.google.com/patent/US20160330580A1/en</v>
      </c>
    </row>
    <row r="9211" spans="3:5" x14ac:dyDescent="0.25">
      <c r="C9211" t="s">
        <v>16901</v>
      </c>
      <c r="D9211" t="s">
        <v>16902</v>
      </c>
      <c r="E9211" t="str">
        <f>HYPERLINK("https://patents.google.com/patent/CN201780604U/en")</f>
        <v>https://patents.google.com/patent/CN201780604U/en</v>
      </c>
    </row>
    <row r="9212" spans="3:5" x14ac:dyDescent="0.25">
      <c r="C9212" t="s">
        <v>16903</v>
      </c>
      <c r="D9212" t="s">
        <v>16904</v>
      </c>
      <c r="E9212" t="str">
        <f>HYPERLINK("https://patents.google.com/patent/US20090174769A1/en")</f>
        <v>https://patents.google.com/patent/US20090174769A1/en</v>
      </c>
    </row>
    <row r="9213" spans="3:5" x14ac:dyDescent="0.25">
      <c r="C9213" t="s">
        <v>16905</v>
      </c>
      <c r="D9213" t="s">
        <v>16906</v>
      </c>
      <c r="E9213" t="str">
        <f>HYPERLINK("https://patents.google.com/patent/US9432421B1/en")</f>
        <v>https://patents.google.com/patent/US9432421B1/en</v>
      </c>
    </row>
    <row r="9214" spans="3:5" x14ac:dyDescent="0.25">
      <c r="C9214" t="s">
        <v>16907</v>
      </c>
      <c r="D9214" t="s">
        <v>16908</v>
      </c>
      <c r="E9214" t="str">
        <f>HYPERLINK("https://patents.google.com/patent/CN103823949A/en")</f>
        <v>https://patents.google.com/patent/CN103823949A/en</v>
      </c>
    </row>
    <row r="9215" spans="3:5" x14ac:dyDescent="0.25">
      <c r="C9215" t="s">
        <v>16909</v>
      </c>
      <c r="D9215" t="s">
        <v>16910</v>
      </c>
      <c r="E9215" t="str">
        <f>HYPERLINK("https://patents.google.com/patent/CN202541538U/en")</f>
        <v>https://patents.google.com/patent/CN202541538U/en</v>
      </c>
    </row>
    <row r="9216" spans="3:5" x14ac:dyDescent="0.25">
      <c r="C9216" t="s">
        <v>16911</v>
      </c>
      <c r="D9216" t="s">
        <v>16912</v>
      </c>
      <c r="E9216" t="str">
        <f>HYPERLINK("https://patents.google.com/patent/US20170201858A1/en")</f>
        <v>https://patents.google.com/patent/US20170201858A1/en</v>
      </c>
    </row>
    <row r="9217" spans="3:5" x14ac:dyDescent="0.25">
      <c r="C9217" t="s">
        <v>16913</v>
      </c>
      <c r="D9217" t="s">
        <v>16914</v>
      </c>
      <c r="E9217" t="str">
        <f>HYPERLINK("https://patents.google.com/patent/WO2007134508A1/en")</f>
        <v>https://patents.google.com/patent/WO2007134508A1/en</v>
      </c>
    </row>
    <row r="9218" spans="3:5" x14ac:dyDescent="0.25">
      <c r="C9218" t="s">
        <v>16915</v>
      </c>
      <c r="D9218" t="s">
        <v>16916</v>
      </c>
      <c r="E9218" t="str">
        <f>HYPERLINK("https://patents.google.com/patent/CN202798880U/en")</f>
        <v>https://patents.google.com/patent/CN202798880U/en</v>
      </c>
    </row>
    <row r="9219" spans="3:5" x14ac:dyDescent="0.25">
      <c r="C9219" t="s">
        <v>16917</v>
      </c>
      <c r="D9219" t="s">
        <v>16918</v>
      </c>
      <c r="E9219" t="str">
        <f>HYPERLINK("https://patents.google.com/patent/CN206053428U/en")</f>
        <v>https://patents.google.com/patent/CN206053428U/en</v>
      </c>
    </row>
    <row r="9220" spans="3:5" x14ac:dyDescent="0.25">
      <c r="C9220" t="s">
        <v>16919</v>
      </c>
      <c r="D9220" t="s">
        <v>16920</v>
      </c>
      <c r="E9220" t="str">
        <f>HYPERLINK("https://patents.google.com/patent/WO2014172792A1/en")</f>
        <v>https://patents.google.com/patent/WO2014172792A1/en</v>
      </c>
    </row>
    <row r="9221" spans="3:5" x14ac:dyDescent="0.25">
      <c r="C9221" t="s">
        <v>16921</v>
      </c>
      <c r="D9221" t="s">
        <v>16922</v>
      </c>
      <c r="E9221" t="str">
        <f>HYPERLINK("https://patents.google.com/patent/JP2014115778A/en")</f>
        <v>https://patents.google.com/patent/JP2014115778A/en</v>
      </c>
    </row>
    <row r="9222" spans="3:5" x14ac:dyDescent="0.25">
      <c r="C9222" t="s">
        <v>16923</v>
      </c>
      <c r="D9222" t="s">
        <v>16924</v>
      </c>
      <c r="E9222" t="str">
        <f>HYPERLINK("https://patents.google.com/patent/CN204143526U/en")</f>
        <v>https://patents.google.com/patent/CN204143526U/en</v>
      </c>
    </row>
    <row r="9223" spans="3:5" x14ac:dyDescent="0.25">
      <c r="C9223" t="s">
        <v>16925</v>
      </c>
      <c r="D9223" t="s">
        <v>16926</v>
      </c>
      <c r="E9223" t="str">
        <f>HYPERLINK("https://patents.google.com/patent/CN101610252A/en")</f>
        <v>https://patents.google.com/patent/CN101610252A/en</v>
      </c>
    </row>
    <row r="9224" spans="3:5" x14ac:dyDescent="0.25">
      <c r="C9224" t="s">
        <v>16927</v>
      </c>
      <c r="D9224" t="s">
        <v>16928</v>
      </c>
      <c r="E9224" t="str">
        <f>HYPERLINK("https://patents.google.com/patent/CN207741762U/en")</f>
        <v>https://patents.google.com/patent/CN207741762U/en</v>
      </c>
    </row>
    <row r="9225" spans="3:5" x14ac:dyDescent="0.25">
      <c r="C9225" t="s">
        <v>16929</v>
      </c>
      <c r="D9225" t="s">
        <v>16930</v>
      </c>
      <c r="E9225" t="str">
        <f>HYPERLINK("https://patents.google.com/patent/CN204795367U/en")</f>
        <v>https://patents.google.com/patent/CN204795367U/en</v>
      </c>
    </row>
    <row r="9226" spans="3:5" x14ac:dyDescent="0.25">
      <c r="C9226" t="s">
        <v>16931</v>
      </c>
      <c r="D9226" t="s">
        <v>16932</v>
      </c>
      <c r="E9226" t="str">
        <f>HYPERLINK("https://patents.google.com/patent/CN206167833U/en")</f>
        <v>https://patents.google.com/patent/CN206167833U/en</v>
      </c>
    </row>
    <row r="9227" spans="3:5" x14ac:dyDescent="0.25">
      <c r="C9227" t="s">
        <v>16933</v>
      </c>
      <c r="D9227" t="s">
        <v>16934</v>
      </c>
      <c r="E9227" t="str">
        <f>HYPERLINK("https://patents.google.com/patent/CN1415829A/en")</f>
        <v>https://patents.google.com/patent/CN1415829A/en</v>
      </c>
    </row>
    <row r="9228" spans="3:5" x14ac:dyDescent="0.25">
      <c r="C9228" t="s">
        <v>16935</v>
      </c>
      <c r="D9228" t="s">
        <v>16936</v>
      </c>
      <c r="E9228" t="str">
        <f>HYPERLINK("https://patents.google.com/patent/US20180094939A1/en")</f>
        <v>https://patents.google.com/patent/US20180094939A1/en</v>
      </c>
    </row>
    <row r="9229" spans="3:5" x14ac:dyDescent="0.25">
      <c r="C9229" t="s">
        <v>16937</v>
      </c>
      <c r="D9229" t="s">
        <v>16938</v>
      </c>
      <c r="E9229" t="str">
        <f>HYPERLINK("https://patents.google.com/patent/CN103763116A/en")</f>
        <v>https://patents.google.com/patent/CN103763116A/en</v>
      </c>
    </row>
    <row r="9230" spans="3:5" x14ac:dyDescent="0.25">
      <c r="C9230" t="s">
        <v>16939</v>
      </c>
      <c r="D9230" t="s">
        <v>16940</v>
      </c>
      <c r="E9230" t="str">
        <f>HYPERLINK("https://patents.google.com/patent/CN85106579A/en")</f>
        <v>https://patents.google.com/patent/CN85106579A/en</v>
      </c>
    </row>
    <row r="9231" spans="3:5" x14ac:dyDescent="0.25">
      <c r="C9231" t="s">
        <v>16941</v>
      </c>
      <c r="D9231" t="s">
        <v>16942</v>
      </c>
      <c r="E9231" t="str">
        <f>HYPERLINK("https://patents.google.com/patent/US20080293506A1/en")</f>
        <v>https://patents.google.com/patent/US20080293506A1/en</v>
      </c>
    </row>
    <row r="9232" spans="3:5" x14ac:dyDescent="0.25">
      <c r="C9232" t="s">
        <v>16943</v>
      </c>
      <c r="D9232" t="s">
        <v>16944</v>
      </c>
      <c r="E9232" t="str">
        <f>HYPERLINK("https://patents.google.com/patent/US20150339303A1/en")</f>
        <v>https://patents.google.com/patent/US20150339303A1/en</v>
      </c>
    </row>
    <row r="9233" spans="3:5" x14ac:dyDescent="0.25">
      <c r="C9233" t="s">
        <v>16945</v>
      </c>
      <c r="D9233" t="s">
        <v>16946</v>
      </c>
      <c r="E9233" t="str">
        <f>HYPERLINK("https://patents.google.com/patent/CN202939644U/en")</f>
        <v>https://patents.google.com/patent/CN202939644U/en</v>
      </c>
    </row>
    <row r="9234" spans="3:5" x14ac:dyDescent="0.25">
      <c r="C9234" t="s">
        <v>16947</v>
      </c>
      <c r="D9234" t="s">
        <v>16948</v>
      </c>
      <c r="E9234" t="str">
        <f>HYPERLINK("https://patents.google.com/patent/US20180288213A1/en")</f>
        <v>https://patents.google.com/patent/US20180288213A1/en</v>
      </c>
    </row>
    <row r="9235" spans="3:5" x14ac:dyDescent="0.25">
      <c r="C9235" t="s">
        <v>16949</v>
      </c>
      <c r="D9235" t="s">
        <v>16950</v>
      </c>
      <c r="E9235" t="str">
        <f>HYPERLINK("https://patents.google.com/patent/CN103675877A/en")</f>
        <v>https://patents.google.com/patent/CN103675877A/en</v>
      </c>
    </row>
    <row r="9236" spans="3:5" x14ac:dyDescent="0.25">
      <c r="C9236" t="s">
        <v>16951</v>
      </c>
      <c r="D9236" t="s">
        <v>16952</v>
      </c>
      <c r="E9236" t="str">
        <f>HYPERLINK("https://patents.google.com/patent/CN101175295A/en")</f>
        <v>https://patents.google.com/patent/CN101175295A/en</v>
      </c>
    </row>
    <row r="9237" spans="3:5" x14ac:dyDescent="0.25">
      <c r="C9237" t="s">
        <v>16953</v>
      </c>
      <c r="D9237" t="s">
        <v>16954</v>
      </c>
      <c r="E9237" t="str">
        <f>HYPERLINK("https://patents.google.com/patent/CN2685148Y/en")</f>
        <v>https://patents.google.com/patent/CN2685148Y/en</v>
      </c>
    </row>
    <row r="9238" spans="3:5" x14ac:dyDescent="0.25">
      <c r="C9238" t="s">
        <v>16955</v>
      </c>
      <c r="D9238" t="s">
        <v>16956</v>
      </c>
      <c r="E9238" t="str">
        <f>HYPERLINK("https://patents.google.com/patent/US20150081532A1/en")</f>
        <v>https://patents.google.com/patent/US20150081532A1/en</v>
      </c>
    </row>
    <row r="9239" spans="3:5" x14ac:dyDescent="0.25">
      <c r="C9239" t="s">
        <v>16957</v>
      </c>
      <c r="D9239" t="s">
        <v>16958</v>
      </c>
      <c r="E9239" t="str">
        <f>HYPERLINK("https://patents.google.com/patent/US20150139608A1/en")</f>
        <v>https://patents.google.com/patent/US20150139608A1/en</v>
      </c>
    </row>
    <row r="9240" spans="3:5" x14ac:dyDescent="0.25">
      <c r="C9240" t="s">
        <v>16959</v>
      </c>
      <c r="D9240" t="s">
        <v>16960</v>
      </c>
      <c r="E9240" t="str">
        <f>HYPERLINK("https://patents.google.com/patent/EP2728541A1/en")</f>
        <v>https://patents.google.com/patent/EP2728541A1/en</v>
      </c>
    </row>
    <row r="9241" spans="3:5" x14ac:dyDescent="0.25">
      <c r="C9241" t="s">
        <v>16961</v>
      </c>
      <c r="D9241" t="s">
        <v>16962</v>
      </c>
      <c r="E9241" t="str">
        <f>HYPERLINK("https://patents.google.com/patent/US20150379618A1/en")</f>
        <v>https://patents.google.com/patent/US20150379618A1/en</v>
      </c>
    </row>
    <row r="9242" spans="3:5" x14ac:dyDescent="0.25">
      <c r="C9242" t="s">
        <v>16963</v>
      </c>
      <c r="D9242" t="s">
        <v>16964</v>
      </c>
      <c r="E9242" t="str">
        <f>HYPERLINK("https://patents.google.com/patent/US20160029368A1/en")</f>
        <v>https://patents.google.com/patent/US20160029368A1/en</v>
      </c>
    </row>
    <row r="9243" spans="3:5" x14ac:dyDescent="0.25">
      <c r="C9243" t="s">
        <v>16965</v>
      </c>
      <c r="D9243" t="s">
        <v>16966</v>
      </c>
      <c r="E9243" t="str">
        <f>HYPERLINK("https://patents.google.com/patent/US20130099519A1/en")</f>
        <v>https://patents.google.com/patent/US20130099519A1/en</v>
      </c>
    </row>
    <row r="9244" spans="3:5" x14ac:dyDescent="0.25">
      <c r="C9244" t="s">
        <v>16967</v>
      </c>
      <c r="D9244" t="s">
        <v>16968</v>
      </c>
      <c r="E9244" t="str">
        <f>HYPERLINK("https://patents.google.com/patent/KR100811225B1/en")</f>
        <v>https://patents.google.com/patent/KR100811225B1/en</v>
      </c>
    </row>
    <row r="9245" spans="3:5" x14ac:dyDescent="0.25">
      <c r="C9245" t="s">
        <v>16969</v>
      </c>
      <c r="D9245" t="s">
        <v>16970</v>
      </c>
      <c r="E9245" t="str">
        <f>HYPERLINK("https://patents.google.com/patent/CN102402749A/en")</f>
        <v>https://patents.google.com/patent/CN102402749A/en</v>
      </c>
    </row>
    <row r="9246" spans="3:5" x14ac:dyDescent="0.25">
      <c r="C9246" t="s">
        <v>16971</v>
      </c>
      <c r="D9246" t="s">
        <v>16972</v>
      </c>
      <c r="E9246" t="str">
        <f>HYPERLINK("https://patents.google.com/patent/US20090313251A1/en")</f>
        <v>https://patents.google.com/patent/US20090313251A1/en</v>
      </c>
    </row>
    <row r="9247" spans="3:5" x14ac:dyDescent="0.25">
      <c r="C9247" t="s">
        <v>16973</v>
      </c>
      <c r="D9247" t="s">
        <v>16974</v>
      </c>
      <c r="E9247" t="str">
        <f>HYPERLINK("https://patents.google.com/patent/JP2002290789A/en")</f>
        <v>https://patents.google.com/patent/JP2002290789A/en</v>
      </c>
    </row>
    <row r="9248" spans="3:5" x14ac:dyDescent="0.25">
      <c r="C9248" t="s">
        <v>16975</v>
      </c>
      <c r="D9248" t="s">
        <v>16976</v>
      </c>
      <c r="E9248" t="str">
        <f>HYPERLINK("https://patents.google.com/patent/CN201411709Y/en")</f>
        <v>https://patents.google.com/patent/CN201411709Y/en</v>
      </c>
    </row>
    <row r="9249" spans="3:5" x14ac:dyDescent="0.25">
      <c r="C9249" t="s">
        <v>16977</v>
      </c>
      <c r="D9249" t="s">
        <v>16978</v>
      </c>
      <c r="E9249" t="str">
        <f>HYPERLINK("https://patents.google.com/patent/CN204996141U/en")</f>
        <v>https://patents.google.com/patent/CN204996141U/en</v>
      </c>
    </row>
    <row r="9250" spans="3:5" x14ac:dyDescent="0.25">
      <c r="C9250" t="s">
        <v>16979</v>
      </c>
      <c r="D9250" t="s">
        <v>16980</v>
      </c>
      <c r="E9250" t="str">
        <f>HYPERLINK("https://patents.google.com/patent/KR20090132914A/en")</f>
        <v>https://patents.google.com/patent/KR20090132914A/en</v>
      </c>
    </row>
    <row r="9251" spans="3:5" x14ac:dyDescent="0.25">
      <c r="C9251" t="s">
        <v>16981</v>
      </c>
      <c r="D9251" t="s">
        <v>16982</v>
      </c>
      <c r="E9251" t="str">
        <f>HYPERLINK("https://patents.google.com/patent/CN101572721A/en")</f>
        <v>https://patents.google.com/patent/CN101572721A/en</v>
      </c>
    </row>
    <row r="9252" spans="3:5" x14ac:dyDescent="0.25">
      <c r="C9252" t="s">
        <v>16983</v>
      </c>
      <c r="D9252" t="s">
        <v>16984</v>
      </c>
      <c r="E9252" t="str">
        <f>HYPERLINK("https://patents.google.com/patent/US20140070492A1/en")</f>
        <v>https://patents.google.com/patent/US20140070492A1/en</v>
      </c>
    </row>
    <row r="9253" spans="3:5" x14ac:dyDescent="0.25">
      <c r="C9253" t="s">
        <v>16985</v>
      </c>
      <c r="D9253" t="s">
        <v>16986</v>
      </c>
      <c r="E9253" t="str">
        <f>HYPERLINK("https://patents.google.com/patent/KR20060027396A/en")</f>
        <v>https://patents.google.com/patent/KR20060027396A/en</v>
      </c>
    </row>
    <row r="9254" spans="3:5" x14ac:dyDescent="0.25">
      <c r="C9254" t="s">
        <v>16987</v>
      </c>
      <c r="D9254" t="s">
        <v>16988</v>
      </c>
      <c r="E9254" t="str">
        <f>HYPERLINK("https://patents.google.com/patent/CN202721502U/en")</f>
        <v>https://patents.google.com/patent/CN202721502U/en</v>
      </c>
    </row>
    <row r="9255" spans="3:5" x14ac:dyDescent="0.25">
      <c r="C9255" t="s">
        <v>16989</v>
      </c>
      <c r="D9255" t="s">
        <v>16990</v>
      </c>
      <c r="E9255" t="str">
        <f>HYPERLINK("https://patents.google.com/patent/US20160343140A1/en")</f>
        <v>https://patents.google.com/patent/US20160343140A1/en</v>
      </c>
    </row>
    <row r="9256" spans="3:5" x14ac:dyDescent="0.25">
      <c r="C9256" t="s">
        <v>16991</v>
      </c>
      <c r="D9256" t="s">
        <v>16992</v>
      </c>
      <c r="E9256" t="str">
        <f>HYPERLINK("https://patents.google.com/patent/RU76368U1/en")</f>
        <v>https://patents.google.com/patent/RU76368U1/en</v>
      </c>
    </row>
    <row r="9257" spans="3:5" x14ac:dyDescent="0.25">
      <c r="C9257" t="s">
        <v>16993</v>
      </c>
      <c r="D9257" t="s">
        <v>16994</v>
      </c>
      <c r="E9257" t="str">
        <f>HYPERLINK("https://patents.google.com/patent/EP1977396B1/en")</f>
        <v>https://patents.google.com/patent/EP1977396B1/en</v>
      </c>
    </row>
    <row r="9258" spans="3:5" x14ac:dyDescent="0.25">
      <c r="C9258" t="s">
        <v>16995</v>
      </c>
      <c r="D9258" t="s">
        <v>16996</v>
      </c>
      <c r="E9258" t="str">
        <f>HYPERLINK("https://patents.google.com/patent/CN103379426A/en")</f>
        <v>https://patents.google.com/patent/CN103379426A/en</v>
      </c>
    </row>
    <row r="9259" spans="3:5" x14ac:dyDescent="0.25">
      <c r="C9259" t="s">
        <v>16997</v>
      </c>
      <c r="D9259" t="s">
        <v>16998</v>
      </c>
      <c r="E9259" t="str">
        <f>HYPERLINK("https://patents.google.com/patent/CN1495326A/en")</f>
        <v>https://patents.google.com/patent/CN1495326A/en</v>
      </c>
    </row>
    <row r="9260" spans="3:5" x14ac:dyDescent="0.25">
      <c r="C9260" t="s">
        <v>16999</v>
      </c>
      <c r="D9260" t="s">
        <v>17000</v>
      </c>
      <c r="E9260" t="str">
        <f>HYPERLINK("https://patents.google.com/patent/CN1593983A/en")</f>
        <v>https://patents.google.com/patent/CN1593983A/en</v>
      </c>
    </row>
    <row r="9261" spans="3:5" x14ac:dyDescent="0.25">
      <c r="C9261" t="s">
        <v>17001</v>
      </c>
      <c r="D9261" t="s">
        <v>17002</v>
      </c>
      <c r="E9261" t="str">
        <f>HYPERLINK("https://patents.google.com/patent/CN203874448U/en")</f>
        <v>https://patents.google.com/patent/CN203874448U/en</v>
      </c>
    </row>
    <row r="9262" spans="3:5" x14ac:dyDescent="0.25">
      <c r="C9262" t="s">
        <v>17003</v>
      </c>
      <c r="D9262" t="s">
        <v>17004</v>
      </c>
      <c r="E9262" t="str">
        <f>HYPERLINK("https://patents.google.com/patent/US20180160282A1/en")</f>
        <v>https://patents.google.com/patent/US20180160282A1/en</v>
      </c>
    </row>
    <row r="9263" spans="3:5" x14ac:dyDescent="0.25">
      <c r="C9263" t="s">
        <v>17005</v>
      </c>
      <c r="D9263" t="s">
        <v>17006</v>
      </c>
      <c r="E9263" t="str">
        <f>HYPERLINK("https://patents.google.com/patent/DE102008026800A1/en")</f>
        <v>https://patents.google.com/patent/DE102008026800A1/en</v>
      </c>
    </row>
    <row r="9264" spans="3:5" x14ac:dyDescent="0.25">
      <c r="C9264" t="s">
        <v>17007</v>
      </c>
      <c r="D9264" t="s">
        <v>17008</v>
      </c>
      <c r="E9264" t="str">
        <f>HYPERLINK("https://patents.google.com/patent/CN106515751A/en")</f>
        <v>https://patents.google.com/patent/CN106515751A/en</v>
      </c>
    </row>
    <row r="9265" spans="3:5" x14ac:dyDescent="0.25">
      <c r="C9265" t="s">
        <v>17009</v>
      </c>
      <c r="D9265" t="s">
        <v>17010</v>
      </c>
      <c r="E9265" t="str">
        <f>HYPERLINK("https://patents.google.com/patent/CN104147782A/en")</f>
        <v>https://patents.google.com/patent/CN104147782A/en</v>
      </c>
    </row>
    <row r="9266" spans="3:5" x14ac:dyDescent="0.25">
      <c r="C9266" t="s">
        <v>17011</v>
      </c>
      <c r="D9266" t="s">
        <v>17012</v>
      </c>
      <c r="E9266" t="str">
        <f>HYPERLINK("https://patents.google.com/patent/RU63829U1/en")</f>
        <v>https://patents.google.com/patent/RU63829U1/en</v>
      </c>
    </row>
    <row r="9267" spans="3:5" x14ac:dyDescent="0.25">
      <c r="C9267" t="s">
        <v>17013</v>
      </c>
      <c r="D9267" t="s">
        <v>17014</v>
      </c>
      <c r="E9267" t="str">
        <f>HYPERLINK("https://patents.google.com/patent/US20180173388A1/en")</f>
        <v>https://patents.google.com/patent/US20180173388A1/en</v>
      </c>
    </row>
    <row r="9268" spans="3:5" x14ac:dyDescent="0.25">
      <c r="C9268" t="s">
        <v>17015</v>
      </c>
      <c r="D9268" t="s">
        <v>17016</v>
      </c>
      <c r="E9268" t="str">
        <f>HYPERLINK("https://patents.google.com/patent/CN100444562C/en")</f>
        <v>https://patents.google.com/patent/CN100444562C/en</v>
      </c>
    </row>
    <row r="9269" spans="3:5" x14ac:dyDescent="0.25">
      <c r="C9269" t="s">
        <v>17017</v>
      </c>
      <c r="D9269" t="s">
        <v>17018</v>
      </c>
      <c r="E9269" t="str">
        <f>HYPERLINK("https://patents.google.com/patent/CN204480176U/en")</f>
        <v>https://patents.google.com/patent/CN204480176U/en</v>
      </c>
    </row>
    <row r="9270" spans="3:5" x14ac:dyDescent="0.25">
      <c r="C9270" t="s">
        <v>17019</v>
      </c>
      <c r="D9270" t="s">
        <v>17020</v>
      </c>
      <c r="E9270" t="str">
        <f>HYPERLINK("https://patents.google.com/patent/JP2014016808A/en")</f>
        <v>https://patents.google.com/patent/JP2014016808A/en</v>
      </c>
    </row>
    <row r="9271" spans="3:5" x14ac:dyDescent="0.25">
      <c r="C9271" t="s">
        <v>17021</v>
      </c>
      <c r="D9271" t="s">
        <v>17022</v>
      </c>
      <c r="E9271" t="str">
        <f>HYPERLINK("https://patents.google.com/patent/CN106022992A/en")</f>
        <v>https://patents.google.com/patent/CN106022992A/en</v>
      </c>
    </row>
    <row r="9272" spans="3:5" x14ac:dyDescent="0.25">
      <c r="C9272" t="s">
        <v>17023</v>
      </c>
      <c r="D9272" t="s">
        <v>17024</v>
      </c>
      <c r="E9272" t="str">
        <f>HYPERLINK("https://patents.google.com/patent/CN106127379A/en")</f>
        <v>https://patents.google.com/patent/CN106127379A/en</v>
      </c>
    </row>
    <row r="9273" spans="3:5" x14ac:dyDescent="0.25">
      <c r="C9273" t="s">
        <v>17025</v>
      </c>
      <c r="D9273" t="s">
        <v>17026</v>
      </c>
      <c r="E9273" t="str">
        <f>HYPERLINK("https://patents.google.com/patent/CN106648073A/en")</f>
        <v>https://patents.google.com/patent/CN106648073A/en</v>
      </c>
    </row>
    <row r="9274" spans="3:5" x14ac:dyDescent="0.25">
      <c r="C9274" t="s">
        <v>17025</v>
      </c>
      <c r="D9274" t="s">
        <v>17027</v>
      </c>
      <c r="E9274" t="str">
        <f>HYPERLINK("https://patents.google.com/patent/CN105759947A/en")</f>
        <v>https://patents.google.com/patent/CN105759947A/en</v>
      </c>
    </row>
    <row r="9275" spans="3:5" x14ac:dyDescent="0.25">
      <c r="C9275" t="s">
        <v>17028</v>
      </c>
      <c r="D9275" t="s">
        <v>17029</v>
      </c>
      <c r="E9275" t="str">
        <f>HYPERLINK("https://patents.google.com/patent/CN106304332A/en")</f>
        <v>https://patents.google.com/patent/CN106304332A/en</v>
      </c>
    </row>
    <row r="9276" spans="3:5" x14ac:dyDescent="0.25">
      <c r="C9276" t="s">
        <v>17030</v>
      </c>
      <c r="D9276" t="s">
        <v>17031</v>
      </c>
      <c r="E9276" t="str">
        <f>HYPERLINK("https://patents.google.com/patent/CN106991723A/en")</f>
        <v>https://patents.google.com/patent/CN106991723A/en</v>
      </c>
    </row>
    <row r="9277" spans="3:5" x14ac:dyDescent="0.25">
      <c r="C9277" t="s">
        <v>17032</v>
      </c>
      <c r="D9277" t="s">
        <v>17033</v>
      </c>
      <c r="E9277" t="str">
        <f>HYPERLINK("https://patents.google.com/patent/CN206616928U/en")</f>
        <v>https://patents.google.com/patent/CN206616928U/en</v>
      </c>
    </row>
    <row r="9278" spans="3:5" x14ac:dyDescent="0.25">
      <c r="C9278" t="s">
        <v>17034</v>
      </c>
      <c r="D9278" t="s">
        <v>17035</v>
      </c>
      <c r="E9278" t="str">
        <f>HYPERLINK("https://patents.google.com/patent/CN206528597U/en")</f>
        <v>https://patents.google.com/patent/CN206528597U/en</v>
      </c>
    </row>
    <row r="9279" spans="3:5" x14ac:dyDescent="0.25">
      <c r="C9279" t="s">
        <v>17036</v>
      </c>
      <c r="D9279" t="s">
        <v>17037</v>
      </c>
      <c r="E9279" t="str">
        <f>HYPERLINK("https://patents.google.com/patent/CN107657677A/en")</f>
        <v>https://patents.google.com/patent/CN107657677A/en</v>
      </c>
    </row>
    <row r="9280" spans="3:5" x14ac:dyDescent="0.25">
      <c r="C9280" t="s">
        <v>17038</v>
      </c>
      <c r="D9280" t="s">
        <v>17039</v>
      </c>
      <c r="E9280" t="str">
        <f>HYPERLINK("https://patents.google.com/patent/CN101482959A/en")</f>
        <v>https://patents.google.com/patent/CN101482959A/en</v>
      </c>
    </row>
    <row r="9281" spans="3:5" x14ac:dyDescent="0.25">
      <c r="C9281" t="s">
        <v>17040</v>
      </c>
      <c r="D9281" t="s">
        <v>17041</v>
      </c>
      <c r="E9281" t="str">
        <f>HYPERLINK("https://patents.google.com/patent/US20170221072A1/en")</f>
        <v>https://patents.google.com/patent/US20170221072A1/en</v>
      </c>
    </row>
    <row r="9282" spans="3:5" x14ac:dyDescent="0.25">
      <c r="C9282" t="s">
        <v>16694</v>
      </c>
      <c r="D9282" t="s">
        <v>17042</v>
      </c>
      <c r="E9282" t="str">
        <f>HYPERLINK("https://patents.google.com/patent/US20170366488A1/en")</f>
        <v>https://patents.google.com/patent/US20170366488A1/en</v>
      </c>
    </row>
    <row r="9283" spans="3:5" x14ac:dyDescent="0.25">
      <c r="C9283" t="s">
        <v>17043</v>
      </c>
      <c r="D9283" t="s">
        <v>17044</v>
      </c>
      <c r="E9283" t="str">
        <f>HYPERLINK("https://patents.google.com/patent/US20170034112A1/en")</f>
        <v>https://patents.google.com/patent/US20170034112A1/en</v>
      </c>
    </row>
    <row r="9284" spans="3:5" x14ac:dyDescent="0.25">
      <c r="C9284" t="s">
        <v>16915</v>
      </c>
      <c r="D9284" t="s">
        <v>17045</v>
      </c>
      <c r="E9284" t="str">
        <f>HYPERLINK("https://patents.google.com/patent/CN102801852A/en")</f>
        <v>https://patents.google.com/patent/CN102801852A/en</v>
      </c>
    </row>
    <row r="9285" spans="3:5" x14ac:dyDescent="0.25">
      <c r="C9285" t="s">
        <v>17046</v>
      </c>
      <c r="D9285" t="s">
        <v>17047</v>
      </c>
      <c r="E9285" t="str">
        <f>HYPERLINK("https://patents.google.com/patent/US10030979B2/en")</f>
        <v>https://patents.google.com/patent/US10030979B2/en</v>
      </c>
    </row>
    <row r="9286" spans="3:5" x14ac:dyDescent="0.25">
      <c r="C9286" t="s">
        <v>17048</v>
      </c>
      <c r="D9286" t="s">
        <v>17049</v>
      </c>
      <c r="E9286" t="str">
        <f>HYPERLINK("https://patents.google.com/patent/DE102013016307B3/en")</f>
        <v>https://patents.google.com/patent/DE102013016307B3/en</v>
      </c>
    </row>
    <row r="9287" spans="3:5" x14ac:dyDescent="0.25">
      <c r="C9287" t="s">
        <v>17050</v>
      </c>
      <c r="D9287" t="s">
        <v>17051</v>
      </c>
      <c r="E9287" t="str">
        <f>HYPERLINK("https://patents.google.com/patent/RU2347050C2/en")</f>
        <v>https://patents.google.com/patent/RU2347050C2/en</v>
      </c>
    </row>
    <row r="9288" spans="3:5" x14ac:dyDescent="0.25">
      <c r="C9288" t="s">
        <v>17052</v>
      </c>
      <c r="D9288" t="s">
        <v>17053</v>
      </c>
      <c r="E9288" t="str">
        <f>HYPERLINK("https://patents.google.com/patent/WO2018092016A1/en")</f>
        <v>https://patents.google.com/patent/WO2018092016A1/en</v>
      </c>
    </row>
    <row r="9289" spans="3:5" x14ac:dyDescent="0.25">
      <c r="C9289" t="s">
        <v>17054</v>
      </c>
      <c r="D9289" t="s">
        <v>17055</v>
      </c>
      <c r="E9289" t="str">
        <f>HYPERLINK("https://patents.google.com/patent/JP2015181019A/en")</f>
        <v>https://patents.google.com/patent/JP2015181019A/en</v>
      </c>
    </row>
    <row r="9290" spans="3:5" x14ac:dyDescent="0.25">
      <c r="C9290" t="s">
        <v>17056</v>
      </c>
      <c r="D9290" t="s">
        <v>17057</v>
      </c>
      <c r="E9290" t="str">
        <f>HYPERLINK("https://patents.google.com/patent/JP2017123182A/en")</f>
        <v>https://patents.google.com/patent/JP2017123182A/en</v>
      </c>
    </row>
    <row r="9291" spans="3:5" x14ac:dyDescent="0.25">
      <c r="C9291" t="s">
        <v>17058</v>
      </c>
      <c r="D9291" t="s">
        <v>17059</v>
      </c>
      <c r="E9291" t="str">
        <f>HYPERLINK("https://patents.google.com/patent/CN102664963A/en")</f>
        <v>https://patents.google.com/patent/CN102664963A/en</v>
      </c>
    </row>
    <row r="9292" spans="3:5" x14ac:dyDescent="0.25">
      <c r="C9292" t="s">
        <v>17060</v>
      </c>
      <c r="D9292" t="s">
        <v>17061</v>
      </c>
      <c r="E9292" t="str">
        <f>HYPERLINK("https://patents.google.com/patent/CN106917531A/en")</f>
        <v>https://patents.google.com/patent/CN106917531A/en</v>
      </c>
    </row>
    <row r="9293" spans="3:5" x14ac:dyDescent="0.25">
      <c r="C9293" t="s">
        <v>17062</v>
      </c>
      <c r="D9293" t="s">
        <v>17063</v>
      </c>
      <c r="E9293" t="str">
        <f>HYPERLINK("https://patents.google.com/patent/CN102853838A/en")</f>
        <v>https://patents.google.com/patent/CN102853838A/en</v>
      </c>
    </row>
    <row r="9294" spans="3:5" x14ac:dyDescent="0.25">
      <c r="C9294" t="s">
        <v>17064</v>
      </c>
      <c r="D9294" t="s">
        <v>17065</v>
      </c>
      <c r="E9294" t="str">
        <f>HYPERLINK("https://patents.google.com/patent/CN107438398A/en")</f>
        <v>https://patents.google.com/patent/CN107438398A/en</v>
      </c>
    </row>
    <row r="9295" spans="3:5" x14ac:dyDescent="0.25">
      <c r="C9295" t="s">
        <v>17066</v>
      </c>
      <c r="D9295" t="s">
        <v>17067</v>
      </c>
      <c r="E9295" t="str">
        <f>HYPERLINK("https://patents.google.com/patent/CN108100182A/en")</f>
        <v>https://patents.google.com/patent/CN108100182A/en</v>
      </c>
    </row>
    <row r="9296" spans="3:5" x14ac:dyDescent="0.25">
      <c r="C9296" t="s">
        <v>17068</v>
      </c>
      <c r="D9296" t="s">
        <v>17069</v>
      </c>
      <c r="E9296" t="str">
        <f>HYPERLINK("https://patents.google.com/patent/US20180165616A1/en")</f>
        <v>https://patents.google.com/patent/US20180165616A1/en</v>
      </c>
    </row>
    <row r="9297" spans="3:5" x14ac:dyDescent="0.25">
      <c r="C9297" t="s">
        <v>17070</v>
      </c>
      <c r="D9297" t="s">
        <v>17071</v>
      </c>
      <c r="E9297" t="str">
        <f>HYPERLINK("https://patents.google.com/patent/CN103210158B/en")</f>
        <v>https://patents.google.com/patent/CN103210158B/en</v>
      </c>
    </row>
    <row r="9298" spans="3:5" x14ac:dyDescent="0.25">
      <c r="C9298" t="s">
        <v>17072</v>
      </c>
      <c r="D9298" t="s">
        <v>17073</v>
      </c>
      <c r="E9298" t="str">
        <f>HYPERLINK("https://patents.google.com/patent/CN2378220Y/en")</f>
        <v>https://patents.google.com/patent/CN2378220Y/en</v>
      </c>
    </row>
    <row r="9299" spans="3:5" x14ac:dyDescent="0.25">
      <c r="C9299" t="s">
        <v>17074</v>
      </c>
      <c r="D9299" t="s">
        <v>17075</v>
      </c>
      <c r="E9299" t="str">
        <f>HYPERLINK("https://patents.google.com/patent/CN207296004U/en")</f>
        <v>https://patents.google.com/patent/CN207296004U/en</v>
      </c>
    </row>
    <row r="9300" spans="3:5" x14ac:dyDescent="0.25">
      <c r="C9300" t="s">
        <v>17076</v>
      </c>
      <c r="D9300" t="s">
        <v>17077</v>
      </c>
      <c r="E9300" t="str">
        <f>HYPERLINK("https://patents.google.com/patent/CN105863301A/en")</f>
        <v>https://patents.google.com/patent/CN105863301A/en</v>
      </c>
    </row>
    <row r="9301" spans="3:5" x14ac:dyDescent="0.25">
      <c r="C9301" t="s">
        <v>17078</v>
      </c>
      <c r="D9301" t="s">
        <v>17079</v>
      </c>
      <c r="E9301" t="str">
        <f>HYPERLINK("https://patents.google.com/patent/CN104185348A/en")</f>
        <v>https://patents.google.com/patent/CN104185348A/en</v>
      </c>
    </row>
    <row r="9302" spans="3:5" x14ac:dyDescent="0.25">
      <c r="C9302" t="s">
        <v>17080</v>
      </c>
      <c r="D9302" t="s">
        <v>17081</v>
      </c>
      <c r="E9302" t="str">
        <f>HYPERLINK("https://patents.google.com/patent/CN106639405A/en")</f>
        <v>https://patents.google.com/patent/CN106639405A/en</v>
      </c>
    </row>
    <row r="9303" spans="3:5" x14ac:dyDescent="0.25">
      <c r="C9303" t="s">
        <v>17082</v>
      </c>
      <c r="D9303" t="s">
        <v>17083</v>
      </c>
      <c r="E9303" t="str">
        <f>HYPERLINK("https://patents.google.com/patent/CN106100672A/en")</f>
        <v>https://patents.google.com/patent/CN106100672A/en</v>
      </c>
    </row>
    <row r="9304" spans="3:5" x14ac:dyDescent="0.25">
      <c r="C9304" t="s">
        <v>17084</v>
      </c>
      <c r="D9304" t="s">
        <v>17085</v>
      </c>
      <c r="E9304" t="str">
        <f>HYPERLINK("https://patents.google.com/patent/CN207779446U/en")</f>
        <v>https://patents.google.com/patent/CN207779446U/en</v>
      </c>
    </row>
    <row r="9305" spans="3:5" x14ac:dyDescent="0.25">
      <c r="C9305" t="s">
        <v>17086</v>
      </c>
      <c r="D9305" t="s">
        <v>17087</v>
      </c>
      <c r="E9305" t="str">
        <f>HYPERLINK("https://patents.google.com/patent/CN204908779U/en")</f>
        <v>https://patents.google.com/patent/CN204908779U/en</v>
      </c>
    </row>
    <row r="9306" spans="3:5" x14ac:dyDescent="0.25">
      <c r="C9306" t="s">
        <v>17088</v>
      </c>
      <c r="D9306" t="s">
        <v>17089</v>
      </c>
      <c r="E9306" t="str">
        <f>HYPERLINK("https://patents.google.com/patent/CN86105947A/en")</f>
        <v>https://patents.google.com/patent/CN86105947A/en</v>
      </c>
    </row>
    <row r="9307" spans="3:5" x14ac:dyDescent="0.25">
      <c r="C9307" t="s">
        <v>17090</v>
      </c>
      <c r="D9307" t="s">
        <v>17091</v>
      </c>
      <c r="E9307" t="str">
        <f>HYPERLINK("https://patents.google.com/patent/CN205649620U/en")</f>
        <v>https://patents.google.com/patent/CN205649620U/en</v>
      </c>
    </row>
    <row r="9308" spans="3:5" x14ac:dyDescent="0.25">
      <c r="C9308" t="s">
        <v>17092</v>
      </c>
      <c r="D9308" t="s">
        <v>17093</v>
      </c>
      <c r="E9308" t="str">
        <f>HYPERLINK("https://patents.google.com/patent/EP3357027A1/en")</f>
        <v>https://patents.google.com/patent/EP3357027A1/en</v>
      </c>
    </row>
    <row r="9309" spans="3:5" x14ac:dyDescent="0.25">
      <c r="C9309" t="s">
        <v>17094</v>
      </c>
      <c r="D9309" t="s">
        <v>17095</v>
      </c>
      <c r="E9309" t="str">
        <f>HYPERLINK("https://patents.google.com/patent/CN202836576U/en")</f>
        <v>https://patents.google.com/patent/CN202836576U/en</v>
      </c>
    </row>
    <row r="9310" spans="3:5" x14ac:dyDescent="0.25">
      <c r="C9310" t="s">
        <v>17096</v>
      </c>
      <c r="D9310" t="s">
        <v>17097</v>
      </c>
      <c r="E9310" t="str">
        <f>HYPERLINK("https://patents.google.com/patent/WO2016123129A1/en")</f>
        <v>https://patents.google.com/patent/WO2016123129A1/en</v>
      </c>
    </row>
    <row r="9311" spans="3:5" x14ac:dyDescent="0.25">
      <c r="C9311" t="s">
        <v>17098</v>
      </c>
      <c r="D9311" t="s">
        <v>17099</v>
      </c>
      <c r="E9311" t="str">
        <f>HYPERLINK("https://patents.google.com/patent/JP2002300660A/en")</f>
        <v>https://patents.google.com/patent/JP2002300660A/en</v>
      </c>
    </row>
    <row r="9312" spans="3:5" x14ac:dyDescent="0.25">
      <c r="C9312" t="s">
        <v>17100</v>
      </c>
      <c r="D9312" t="s">
        <v>17101</v>
      </c>
      <c r="E9312" t="str">
        <f>HYPERLINK("https://patents.google.com/patent/CN207296003U/en")</f>
        <v>https://patents.google.com/patent/CN207296003U/en</v>
      </c>
    </row>
    <row r="9313" spans="1:5" x14ac:dyDescent="0.25">
      <c r="C9313" t="s">
        <v>17102</v>
      </c>
      <c r="D9313" t="s">
        <v>17103</v>
      </c>
      <c r="E9313" t="str">
        <f>HYPERLINK("https://patents.google.com/patent/US20180005329A1/en")</f>
        <v>https://patents.google.com/patent/US20180005329A1/en</v>
      </c>
    </row>
    <row r="9314" spans="1:5" x14ac:dyDescent="0.25">
      <c r="C9314" t="s">
        <v>17104</v>
      </c>
      <c r="D9314" t="s">
        <v>17105</v>
      </c>
      <c r="E9314" t="str">
        <f>HYPERLINK("https://patents.google.com/patent/CN106066873A/en")</f>
        <v>https://patents.google.com/patent/CN106066873A/en</v>
      </c>
    </row>
    <row r="9315" spans="1:5" x14ac:dyDescent="0.25">
      <c r="C9315" t="s">
        <v>17106</v>
      </c>
      <c r="D9315" t="s">
        <v>17107</v>
      </c>
      <c r="E9315" t="str">
        <f>HYPERLINK("https://patents.google.com/patent/CN206433119U/en")</f>
        <v>https://patents.google.com/patent/CN206433119U/en</v>
      </c>
    </row>
    <row r="9316" spans="1:5" x14ac:dyDescent="0.25">
      <c r="C9316" t="s">
        <v>16899</v>
      </c>
      <c r="D9316" t="s">
        <v>17108</v>
      </c>
      <c r="E9316" t="str">
        <f>HYPERLINK("https://patents.google.com/patent/GB2538373A/en")</f>
        <v>https://patents.google.com/patent/GB2538373A/en</v>
      </c>
    </row>
    <row r="9317" spans="1:5" x14ac:dyDescent="0.25">
      <c r="C9317" t="s">
        <v>17109</v>
      </c>
      <c r="D9317" t="s">
        <v>17110</v>
      </c>
      <c r="E9317" t="str">
        <f>HYPERLINK("https://patents.google.com/patent/JP2010528688A/en")</f>
        <v>https://patents.google.com/patent/JP2010528688A/en</v>
      </c>
    </row>
    <row r="9318" spans="1:5" x14ac:dyDescent="0.25">
      <c r="C9318" t="s">
        <v>17111</v>
      </c>
      <c r="D9318" t="s">
        <v>17112</v>
      </c>
      <c r="E9318" t="str">
        <f>HYPERLINK("https://patents.google.com/patent/CN207791082U/en")</f>
        <v>https://patents.google.com/patent/CN207791082U/en</v>
      </c>
    </row>
    <row r="9319" spans="1:5" x14ac:dyDescent="0.25">
      <c r="C9319" t="s">
        <v>17113</v>
      </c>
      <c r="D9319" t="s">
        <v>17114</v>
      </c>
      <c r="E9319" t="str">
        <f>HYPERLINK("https://patents.google.com/patent/WO2014087417A1/en")</f>
        <v>https://patents.google.com/patent/WO2014087417A1/en</v>
      </c>
    </row>
    <row r="9320" spans="1:5" x14ac:dyDescent="0.25">
      <c r="C9320" t="s">
        <v>17115</v>
      </c>
      <c r="D9320" t="s">
        <v>17116</v>
      </c>
      <c r="E9320" t="str">
        <f>HYPERLINK("https://patents.google.com/patent/US20180033079A1/en")</f>
        <v>https://patents.google.com/patent/US20180033079A1/en</v>
      </c>
    </row>
    <row r="9321" spans="1:5" x14ac:dyDescent="0.25">
      <c r="C9321" t="s">
        <v>17117</v>
      </c>
      <c r="D9321" t="s">
        <v>17118</v>
      </c>
      <c r="E9321" t="str">
        <f>HYPERLINK("https://patents.google.com/patent/US20180216946A1/en")</f>
        <v>https://patents.google.com/patent/US20180216946A1/en</v>
      </c>
    </row>
    <row r="9322" spans="1:5" x14ac:dyDescent="0.25">
      <c r="C9322" t="s">
        <v>17119</v>
      </c>
      <c r="D9322" t="s">
        <v>17120</v>
      </c>
      <c r="E9322" t="str">
        <f>HYPERLINK("https://patents.google.com/patent/CN206233646U/en")</f>
        <v>https://patents.google.com/patent/CN206233646U/en</v>
      </c>
    </row>
    <row r="9323" spans="1:5" x14ac:dyDescent="0.25">
      <c r="A9323" t="s">
        <v>1371</v>
      </c>
      <c r="B9323">
        <v>577</v>
      </c>
    </row>
    <row r="9324" spans="1:5" x14ac:dyDescent="0.25">
      <c r="C9324" t="s">
        <v>17121</v>
      </c>
      <c r="D9324" t="s">
        <v>17122</v>
      </c>
      <c r="E9324" t="str">
        <f>HYPERLINK("https://patents.google.com/patent/CN105992149A/en")</f>
        <v>https://patents.google.com/patent/CN105992149A/en</v>
      </c>
    </row>
    <row r="9325" spans="1:5" x14ac:dyDescent="0.25">
      <c r="C9325" t="s">
        <v>17123</v>
      </c>
      <c r="D9325" t="s">
        <v>17124</v>
      </c>
      <c r="E9325" t="str">
        <f>HYPERLINK("https://patents.google.com/patent/EP2600347A1/en")</f>
        <v>https://patents.google.com/patent/EP2600347A1/en</v>
      </c>
    </row>
    <row r="9326" spans="1:5" x14ac:dyDescent="0.25">
      <c r="C9326" t="s">
        <v>17125</v>
      </c>
      <c r="D9326" t="s">
        <v>17126</v>
      </c>
      <c r="E9326" t="str">
        <f>HYPERLINK("https://patents.google.com/patent/CN105161036A/en")</f>
        <v>https://patents.google.com/patent/CN105161036A/en</v>
      </c>
    </row>
    <row r="9327" spans="1:5" x14ac:dyDescent="0.25">
      <c r="C9327" t="s">
        <v>17127</v>
      </c>
      <c r="D9327" t="s">
        <v>17128</v>
      </c>
      <c r="E9327" t="str">
        <f>HYPERLINK("https://patents.google.com/patent/CN205069070U/en")</f>
        <v>https://patents.google.com/patent/CN205069070U/en</v>
      </c>
    </row>
    <row r="9328" spans="1:5" x14ac:dyDescent="0.25">
      <c r="C9328" t="s">
        <v>17129</v>
      </c>
      <c r="D9328" t="s">
        <v>17130</v>
      </c>
      <c r="E9328" t="str">
        <f>HYPERLINK("https://patents.google.com/patent/CN106052696A/en")</f>
        <v>https://patents.google.com/patent/CN106052696A/en</v>
      </c>
    </row>
    <row r="9329" spans="3:5" x14ac:dyDescent="0.25">
      <c r="C9329" t="s">
        <v>17131</v>
      </c>
      <c r="D9329" t="s">
        <v>17132</v>
      </c>
      <c r="E9329" t="str">
        <f>HYPERLINK("https://patents.google.com/patent/CN102565829A/en")</f>
        <v>https://patents.google.com/patent/CN102565829A/en</v>
      </c>
    </row>
    <row r="9330" spans="3:5" x14ac:dyDescent="0.25">
      <c r="C9330" t="s">
        <v>17133</v>
      </c>
      <c r="D9330" t="s">
        <v>17134</v>
      </c>
      <c r="E9330" t="str">
        <f>HYPERLINK("https://patents.google.com/patent/CN203086736U/en")</f>
        <v>https://patents.google.com/patent/CN203086736U/en</v>
      </c>
    </row>
    <row r="9331" spans="3:5" x14ac:dyDescent="0.25">
      <c r="C9331" t="s">
        <v>17135</v>
      </c>
      <c r="D9331" t="s">
        <v>17136</v>
      </c>
      <c r="E9331" t="str">
        <f>HYPERLINK("https://patents.google.com/patent/CN101694524A/en")</f>
        <v>https://patents.google.com/patent/CN101694524A/en</v>
      </c>
    </row>
    <row r="9332" spans="3:5" x14ac:dyDescent="0.25">
      <c r="C9332" t="s">
        <v>17137</v>
      </c>
      <c r="D9332" t="s">
        <v>17138</v>
      </c>
      <c r="E9332" t="str">
        <f>HYPERLINK("https://patents.google.com/patent/US20180035261A1/en")</f>
        <v>https://patents.google.com/patent/US20180035261A1/en</v>
      </c>
    </row>
    <row r="9333" spans="3:5" x14ac:dyDescent="0.25">
      <c r="C9333" t="s">
        <v>17139</v>
      </c>
      <c r="D9333" t="s">
        <v>17140</v>
      </c>
      <c r="E9333" t="str">
        <f>HYPERLINK("https://patents.google.com/patent/US20120283855A1/en")</f>
        <v>https://patents.google.com/patent/US20120283855A1/en</v>
      </c>
    </row>
    <row r="9334" spans="3:5" x14ac:dyDescent="0.25">
      <c r="C9334" t="s">
        <v>17139</v>
      </c>
      <c r="D9334" t="s">
        <v>17141</v>
      </c>
      <c r="E9334" t="str">
        <f>HYPERLINK("https://patents.google.com/patent/US20120116550A1/en")</f>
        <v>https://patents.google.com/patent/US20120116550A1/en</v>
      </c>
    </row>
    <row r="9335" spans="3:5" x14ac:dyDescent="0.25">
      <c r="C9335" t="s">
        <v>17142</v>
      </c>
      <c r="D9335" t="s">
        <v>17143</v>
      </c>
      <c r="E9335" t="str">
        <f>HYPERLINK("https://patents.google.com/patent/US20120295632A1/en")</f>
        <v>https://patents.google.com/patent/US20120295632A1/en</v>
      </c>
    </row>
    <row r="9336" spans="3:5" x14ac:dyDescent="0.25">
      <c r="C9336" t="s">
        <v>17144</v>
      </c>
      <c r="D9336" t="s">
        <v>17145</v>
      </c>
      <c r="E9336" t="str">
        <f>HYPERLINK("https://patents.google.com/patent/CN102740222A/en")</f>
        <v>https://patents.google.com/patent/CN102740222A/en</v>
      </c>
    </row>
    <row r="9337" spans="3:5" x14ac:dyDescent="0.25">
      <c r="C9337" t="s">
        <v>17146</v>
      </c>
      <c r="D9337" t="s">
        <v>17147</v>
      </c>
      <c r="E9337" t="str">
        <f>HYPERLINK("https://patents.google.com/patent/US8597093B2/en")</f>
        <v>https://patents.google.com/patent/US8597093B2/en</v>
      </c>
    </row>
    <row r="9338" spans="3:5" x14ac:dyDescent="0.25">
      <c r="C9338" t="s">
        <v>17148</v>
      </c>
      <c r="D9338" t="s">
        <v>17149</v>
      </c>
      <c r="E9338" t="str">
        <f>HYPERLINK("https://patents.google.com/patent/US6975959B2/en")</f>
        <v>https://patents.google.com/patent/US6975959B2/en</v>
      </c>
    </row>
    <row r="9339" spans="3:5" x14ac:dyDescent="0.25">
      <c r="C9339" t="s">
        <v>17150</v>
      </c>
      <c r="D9339" t="s">
        <v>17151</v>
      </c>
      <c r="E9339" t="str">
        <f>HYPERLINK("https://patents.google.com/patent/US6453168B1/en")</f>
        <v>https://patents.google.com/patent/US6453168B1/en</v>
      </c>
    </row>
    <row r="9340" spans="3:5" x14ac:dyDescent="0.25">
      <c r="C9340" t="s">
        <v>9683</v>
      </c>
      <c r="D9340" t="s">
        <v>17152</v>
      </c>
      <c r="E9340" t="str">
        <f>HYPERLINK("https://patents.google.com/patent/US8090359B2/en")</f>
        <v>https://patents.google.com/patent/US8090359B2/en</v>
      </c>
    </row>
    <row r="9341" spans="3:5" x14ac:dyDescent="0.25">
      <c r="C9341" t="s">
        <v>17153</v>
      </c>
      <c r="D9341" t="s">
        <v>17154</v>
      </c>
      <c r="E9341" t="str">
        <f>HYPERLINK("https://patents.google.com/patent/US8566236B2/en")</f>
        <v>https://patents.google.com/patent/US8566236B2/en</v>
      </c>
    </row>
    <row r="9342" spans="3:5" x14ac:dyDescent="0.25">
      <c r="C9342" t="s">
        <v>17155</v>
      </c>
      <c r="D9342" t="s">
        <v>17156</v>
      </c>
      <c r="E9342" t="str">
        <f>HYPERLINK("https://patents.google.com/patent/US6731238B2/en")</f>
        <v>https://patents.google.com/patent/US6731238B2/en</v>
      </c>
    </row>
    <row r="9343" spans="3:5" x14ac:dyDescent="0.25">
      <c r="C9343" t="s">
        <v>17157</v>
      </c>
      <c r="D9343" t="s">
        <v>17158</v>
      </c>
      <c r="E9343" t="str">
        <f>HYPERLINK("https://patents.google.com/patent/US6449558B1/en")</f>
        <v>https://patents.google.com/patent/US6449558B1/en</v>
      </c>
    </row>
    <row r="9344" spans="3:5" x14ac:dyDescent="0.25">
      <c r="C9344" t="s">
        <v>17159</v>
      </c>
      <c r="D9344" t="s">
        <v>17160</v>
      </c>
      <c r="E9344" t="str">
        <f>HYPERLINK("https://patents.google.com/patent/US8027691B2/en")</f>
        <v>https://patents.google.com/patent/US8027691B2/en</v>
      </c>
    </row>
    <row r="9345" spans="3:5" x14ac:dyDescent="0.25">
      <c r="C9345" t="s">
        <v>17161</v>
      </c>
      <c r="D9345" t="s">
        <v>17162</v>
      </c>
      <c r="E9345" t="str">
        <f>HYPERLINK("https://patents.google.com/patent/US7693720B2/en")</f>
        <v>https://patents.google.com/patent/US7693720B2/en</v>
      </c>
    </row>
    <row r="9346" spans="3:5" x14ac:dyDescent="0.25">
      <c r="C9346" t="s">
        <v>8350</v>
      </c>
      <c r="D9346" t="s">
        <v>17163</v>
      </c>
      <c r="E9346" t="str">
        <f>HYPERLINK("https://patents.google.com/patent/US8447607B2/en")</f>
        <v>https://patents.google.com/patent/US8447607B2/en</v>
      </c>
    </row>
    <row r="9347" spans="3:5" x14ac:dyDescent="0.25">
      <c r="C9347" t="s">
        <v>17164</v>
      </c>
      <c r="D9347" t="s">
        <v>17165</v>
      </c>
      <c r="E9347" t="str">
        <f>HYPERLINK("https://patents.google.com/patent/US6985240B2/en")</f>
        <v>https://patents.google.com/patent/US6985240B2/en</v>
      </c>
    </row>
    <row r="9348" spans="3:5" x14ac:dyDescent="0.25">
      <c r="C9348" t="s">
        <v>17166</v>
      </c>
      <c r="D9348" t="s">
        <v>17167</v>
      </c>
      <c r="E9348" t="str">
        <f>HYPERLINK("https://patents.google.com/patent/US7751829B2/en")</f>
        <v>https://patents.google.com/patent/US7751829B2/en</v>
      </c>
    </row>
    <row r="9349" spans="3:5" x14ac:dyDescent="0.25">
      <c r="C9349" t="s">
        <v>17168</v>
      </c>
      <c r="D9349" t="s">
        <v>17169</v>
      </c>
      <c r="E9349" t="str">
        <f>HYPERLINK("https://patents.google.com/patent/KR101788143B1/en")</f>
        <v>https://patents.google.com/patent/KR101788143B1/en</v>
      </c>
    </row>
    <row r="9350" spans="3:5" x14ac:dyDescent="0.25">
      <c r="C9350" t="s">
        <v>17170</v>
      </c>
      <c r="D9350" t="s">
        <v>17171</v>
      </c>
      <c r="E9350" t="str">
        <f>HYPERLINK("https://patents.google.com/patent/US9204257B1/en")</f>
        <v>https://patents.google.com/patent/US9204257B1/en</v>
      </c>
    </row>
    <row r="9351" spans="3:5" x14ac:dyDescent="0.25">
      <c r="C9351" t="s">
        <v>17172</v>
      </c>
      <c r="D9351" t="s">
        <v>17173</v>
      </c>
      <c r="E9351" t="str">
        <f>HYPERLINK("https://patents.google.com/patent/US8174378B2/en")</f>
        <v>https://patents.google.com/patent/US8174378B2/en</v>
      </c>
    </row>
    <row r="9352" spans="3:5" x14ac:dyDescent="0.25">
      <c r="C9352" t="s">
        <v>17174</v>
      </c>
      <c r="D9352" t="s">
        <v>17175</v>
      </c>
      <c r="E9352" t="str">
        <f>HYPERLINK("https://patents.google.com/patent/US7340260B2/en")</f>
        <v>https://patents.google.com/patent/US7340260B2/en</v>
      </c>
    </row>
    <row r="9353" spans="3:5" x14ac:dyDescent="0.25">
      <c r="C9353" t="s">
        <v>17139</v>
      </c>
      <c r="D9353" t="s">
        <v>17176</v>
      </c>
      <c r="E9353" t="str">
        <f>HYPERLINK("https://patents.google.com/patent/US20140371887A1/en")</f>
        <v>https://patents.google.com/patent/US20140371887A1/en</v>
      </c>
    </row>
    <row r="9354" spans="3:5" x14ac:dyDescent="0.25">
      <c r="C9354" t="s">
        <v>17177</v>
      </c>
      <c r="D9354" t="s">
        <v>17178</v>
      </c>
      <c r="E9354" t="str">
        <f>HYPERLINK("https://patents.google.com/patent/KR101229078B1/en")</f>
        <v>https://patents.google.com/patent/KR101229078B1/en</v>
      </c>
    </row>
    <row r="9355" spans="3:5" x14ac:dyDescent="0.25">
      <c r="C9355" t="s">
        <v>17179</v>
      </c>
      <c r="D9355" t="s">
        <v>17180</v>
      </c>
      <c r="E9355" t="str">
        <f>HYPERLINK("https://patents.google.com/patent/US20030024975A1/en")</f>
        <v>https://patents.google.com/patent/US20030024975A1/en</v>
      </c>
    </row>
    <row r="9356" spans="3:5" x14ac:dyDescent="0.25">
      <c r="C9356" t="s">
        <v>17181</v>
      </c>
      <c r="D9356" t="s">
        <v>17182</v>
      </c>
      <c r="E9356" t="str">
        <f>HYPERLINK("https://patents.google.com/patent/US5113793A/en")</f>
        <v>https://patents.google.com/patent/US5113793A/en</v>
      </c>
    </row>
    <row r="9357" spans="3:5" x14ac:dyDescent="0.25">
      <c r="C9357" t="s">
        <v>17183</v>
      </c>
      <c r="D9357" t="s">
        <v>17184</v>
      </c>
      <c r="E9357" t="str">
        <f>HYPERLINK("https://patents.google.com/patent/CN104299284A/en")</f>
        <v>https://patents.google.com/patent/CN104299284A/en</v>
      </c>
    </row>
    <row r="9358" spans="3:5" x14ac:dyDescent="0.25">
      <c r="C9358" t="s">
        <v>17185</v>
      </c>
      <c r="D9358" t="s">
        <v>17186</v>
      </c>
      <c r="E9358" t="str">
        <f>HYPERLINK("https://patents.google.com/patent/WO2005018986A1/en")</f>
        <v>https://patents.google.com/patent/WO2005018986A1/en</v>
      </c>
    </row>
    <row r="9359" spans="3:5" x14ac:dyDescent="0.25">
      <c r="C9359" t="s">
        <v>17187</v>
      </c>
      <c r="D9359" t="s">
        <v>17188</v>
      </c>
      <c r="E9359" t="str">
        <f>HYPERLINK("https://patents.google.com/patent/CN105222783A/en")</f>
        <v>https://patents.google.com/patent/CN105222783A/en</v>
      </c>
    </row>
    <row r="9360" spans="3:5" x14ac:dyDescent="0.25">
      <c r="C9360" t="s">
        <v>17189</v>
      </c>
      <c r="D9360" t="s">
        <v>17190</v>
      </c>
      <c r="E9360" t="str">
        <f>HYPERLINK("https://patents.google.com/patent/US20150324751A1/en")</f>
        <v>https://patents.google.com/patent/US20150324751A1/en</v>
      </c>
    </row>
    <row r="9361" spans="3:5" x14ac:dyDescent="0.25">
      <c r="C9361" t="s">
        <v>17189</v>
      </c>
      <c r="D9361" t="s">
        <v>17191</v>
      </c>
      <c r="E9361" t="str">
        <f>HYPERLINK("https://patents.google.com/patent/US20140288680A1/en")</f>
        <v>https://patents.google.com/patent/US20140288680A1/en</v>
      </c>
    </row>
    <row r="9362" spans="3:5" x14ac:dyDescent="0.25">
      <c r="C9362" t="s">
        <v>17192</v>
      </c>
      <c r="D9362" t="s">
        <v>17193</v>
      </c>
      <c r="E9362" t="str">
        <f>HYPERLINK("https://patents.google.com/patent/CN205847276U/en")</f>
        <v>https://patents.google.com/patent/CN205847276U/en</v>
      </c>
    </row>
    <row r="9363" spans="3:5" x14ac:dyDescent="0.25">
      <c r="C9363" t="s">
        <v>17194</v>
      </c>
      <c r="D9363" t="s">
        <v>17195</v>
      </c>
      <c r="E9363" t="str">
        <f>HYPERLINK("https://patents.google.com/patent/CN102455186A/en")</f>
        <v>https://patents.google.com/patent/CN102455186A/en</v>
      </c>
    </row>
    <row r="9364" spans="3:5" x14ac:dyDescent="0.25">
      <c r="C9364" t="s">
        <v>17196</v>
      </c>
      <c r="D9364" t="s">
        <v>17197</v>
      </c>
      <c r="E9364" t="str">
        <f>HYPERLINK("https://patents.google.com/patent/WO2011065784A2/en")</f>
        <v>https://patents.google.com/patent/WO2011065784A2/en</v>
      </c>
    </row>
    <row r="9365" spans="3:5" x14ac:dyDescent="0.25">
      <c r="C9365" t="s">
        <v>17198</v>
      </c>
      <c r="D9365" t="s">
        <v>17199</v>
      </c>
      <c r="E9365" t="str">
        <f>HYPERLINK("https://patents.google.com/patent/US20030064712A1/en")</f>
        <v>https://patents.google.com/patent/US20030064712A1/en</v>
      </c>
    </row>
    <row r="9366" spans="3:5" x14ac:dyDescent="0.25">
      <c r="C9366" t="s">
        <v>17200</v>
      </c>
      <c r="D9366" t="s">
        <v>17201</v>
      </c>
      <c r="E9366" t="str">
        <f>HYPERLINK("https://patents.google.com/patent/CN2561010Y/en")</f>
        <v>https://patents.google.com/patent/CN2561010Y/en</v>
      </c>
    </row>
    <row r="9367" spans="3:5" x14ac:dyDescent="0.25">
      <c r="C9367" t="s">
        <v>17202</v>
      </c>
      <c r="D9367" t="s">
        <v>17203</v>
      </c>
      <c r="E9367" t="str">
        <f>HYPERLINK("https://patents.google.com/patent/US8688517B2/en")</f>
        <v>https://patents.google.com/patent/US8688517B2/en</v>
      </c>
    </row>
    <row r="9368" spans="3:5" x14ac:dyDescent="0.25">
      <c r="C9368" t="s">
        <v>17204</v>
      </c>
      <c r="D9368" t="s">
        <v>17205</v>
      </c>
      <c r="E9368" t="str">
        <f>HYPERLINK("https://patents.google.com/patent/CN204314890U/en")</f>
        <v>https://patents.google.com/patent/CN204314890U/en</v>
      </c>
    </row>
    <row r="9369" spans="3:5" x14ac:dyDescent="0.25">
      <c r="C9369" t="s">
        <v>17206</v>
      </c>
      <c r="D9369" t="s">
        <v>17207</v>
      </c>
      <c r="E9369" t="str">
        <f>HYPERLINK("https://patents.google.com/patent/US8838477B2/en")</f>
        <v>https://patents.google.com/patent/US8838477B2/en</v>
      </c>
    </row>
    <row r="9370" spans="3:5" x14ac:dyDescent="0.25">
      <c r="C9370" t="s">
        <v>17208</v>
      </c>
      <c r="D9370" t="s">
        <v>17209</v>
      </c>
      <c r="E9370" t="str">
        <f>HYPERLINK("https://patents.google.com/patent/US7453961B1/en")</f>
        <v>https://patents.google.com/patent/US7453961B1/en</v>
      </c>
    </row>
    <row r="9371" spans="3:5" x14ac:dyDescent="0.25">
      <c r="C9371" t="s">
        <v>17210</v>
      </c>
      <c r="D9371" t="s">
        <v>17211</v>
      </c>
      <c r="E9371" t="str">
        <f>HYPERLINK("https://patents.google.com/patent/US7652594B2/en")</f>
        <v>https://patents.google.com/patent/US7652594B2/en</v>
      </c>
    </row>
    <row r="9372" spans="3:5" x14ac:dyDescent="0.25">
      <c r="C9372" t="s">
        <v>17212</v>
      </c>
      <c r="D9372" t="s">
        <v>17213</v>
      </c>
      <c r="E9372" t="str">
        <f>HYPERLINK("https://patents.google.com/patent/JP2001339754A/en")</f>
        <v>https://patents.google.com/patent/JP2001339754A/en</v>
      </c>
    </row>
    <row r="9373" spans="3:5" x14ac:dyDescent="0.25">
      <c r="C9373" t="s">
        <v>17214</v>
      </c>
      <c r="D9373" t="s">
        <v>17215</v>
      </c>
      <c r="E9373" t="str">
        <f>HYPERLINK("https://patents.google.com/patent/US20100135178A1/en")</f>
        <v>https://patents.google.com/patent/US20100135178A1/en</v>
      </c>
    </row>
    <row r="9374" spans="3:5" x14ac:dyDescent="0.25">
      <c r="C9374" t="s">
        <v>17202</v>
      </c>
      <c r="D9374" t="s">
        <v>17216</v>
      </c>
      <c r="E9374" t="str">
        <f>HYPERLINK("https://patents.google.com/patent/US20080139306A1/en")</f>
        <v>https://patents.google.com/patent/US20080139306A1/en</v>
      </c>
    </row>
    <row r="9375" spans="3:5" x14ac:dyDescent="0.25">
      <c r="C9375" t="s">
        <v>17217</v>
      </c>
      <c r="D9375" t="s">
        <v>17218</v>
      </c>
      <c r="E9375" t="str">
        <f>HYPERLINK("https://patents.google.com/patent/CN103634377A/en")</f>
        <v>https://patents.google.com/patent/CN103634377A/en</v>
      </c>
    </row>
    <row r="9376" spans="3:5" x14ac:dyDescent="0.25">
      <c r="C9376" t="s">
        <v>17219</v>
      </c>
      <c r="D9376" t="s">
        <v>17220</v>
      </c>
      <c r="E9376" t="str">
        <f>HYPERLINK("https://patents.google.com/patent/KR101546028B1/en")</f>
        <v>https://patents.google.com/patent/KR101546028B1/en</v>
      </c>
    </row>
    <row r="9377" spans="3:5" x14ac:dyDescent="0.25">
      <c r="C9377" t="s">
        <v>17221</v>
      </c>
      <c r="D9377" t="s">
        <v>17222</v>
      </c>
      <c r="E9377" t="str">
        <f>HYPERLINK("https://patents.google.com/patent/US4771305A/en")</f>
        <v>https://patents.google.com/patent/US4771305A/en</v>
      </c>
    </row>
    <row r="9378" spans="3:5" x14ac:dyDescent="0.25">
      <c r="C9378" t="s">
        <v>17223</v>
      </c>
      <c r="D9378" t="s">
        <v>17224</v>
      </c>
      <c r="E9378" t="str">
        <f>HYPERLINK("https://patents.google.com/patent/US20120140651A1/en")</f>
        <v>https://patents.google.com/patent/US20120140651A1/en</v>
      </c>
    </row>
    <row r="9379" spans="3:5" x14ac:dyDescent="0.25">
      <c r="C9379" t="s">
        <v>17225</v>
      </c>
      <c r="D9379" t="s">
        <v>17226</v>
      </c>
      <c r="E9379" t="str">
        <f>HYPERLINK("https://patents.google.com/patent/US7463188B1/en")</f>
        <v>https://patents.google.com/patent/US7463188B1/en</v>
      </c>
    </row>
    <row r="9380" spans="3:5" x14ac:dyDescent="0.25">
      <c r="C9380" t="s">
        <v>17227</v>
      </c>
      <c r="D9380" t="s">
        <v>17228</v>
      </c>
      <c r="E9380" t="str">
        <f>HYPERLINK("https://patents.google.com/patent/US7843334B2/en")</f>
        <v>https://patents.google.com/patent/US7843334B2/en</v>
      </c>
    </row>
    <row r="9381" spans="3:5" x14ac:dyDescent="0.25">
      <c r="C9381" t="s">
        <v>17229</v>
      </c>
      <c r="D9381" t="s">
        <v>17230</v>
      </c>
      <c r="E9381" t="str">
        <f>HYPERLINK("https://patents.google.com/patent/US8866673B2/en")</f>
        <v>https://patents.google.com/patent/US8866673B2/en</v>
      </c>
    </row>
    <row r="9382" spans="3:5" x14ac:dyDescent="0.25">
      <c r="C9382" t="s">
        <v>17231</v>
      </c>
      <c r="D9382" t="s">
        <v>17232</v>
      </c>
      <c r="E9382" t="str">
        <f>HYPERLINK("https://patents.google.com/patent/US20080077597A1/en")</f>
        <v>https://patents.google.com/patent/US20080077597A1/en</v>
      </c>
    </row>
    <row r="9383" spans="3:5" x14ac:dyDescent="0.25">
      <c r="C9383" t="s">
        <v>17233</v>
      </c>
      <c r="D9383" t="s">
        <v>17234</v>
      </c>
      <c r="E9383" t="str">
        <f>HYPERLINK("https://patents.google.com/patent/US20100317371A1/en")</f>
        <v>https://patents.google.com/patent/US20100317371A1/en</v>
      </c>
    </row>
    <row r="9384" spans="3:5" x14ac:dyDescent="0.25">
      <c r="C9384" t="s">
        <v>17235</v>
      </c>
      <c r="D9384" t="s">
        <v>17236</v>
      </c>
      <c r="E9384" t="str">
        <f>HYPERLINK("https://patents.google.com/patent/US20090068984A1/en")</f>
        <v>https://patents.google.com/patent/US20090068984A1/en</v>
      </c>
    </row>
    <row r="9385" spans="3:5" x14ac:dyDescent="0.25">
      <c r="C9385" t="s">
        <v>17237</v>
      </c>
      <c r="D9385" t="s">
        <v>17238</v>
      </c>
      <c r="E9385" t="str">
        <f>HYPERLINK("https://patents.google.com/patent/US20020035609A1/en")</f>
        <v>https://patents.google.com/patent/US20020035609A1/en</v>
      </c>
    </row>
    <row r="9386" spans="3:5" x14ac:dyDescent="0.25">
      <c r="C9386" t="s">
        <v>17239</v>
      </c>
      <c r="D9386" t="s">
        <v>17240</v>
      </c>
      <c r="E9386" t="str">
        <f>HYPERLINK("https://patents.google.com/patent/US20020184653A1/en")</f>
        <v>https://patents.google.com/patent/US20020184653A1/en</v>
      </c>
    </row>
    <row r="9387" spans="3:5" x14ac:dyDescent="0.25">
      <c r="C9387" t="s">
        <v>17241</v>
      </c>
      <c r="D9387" t="s">
        <v>17242</v>
      </c>
      <c r="E9387" t="str">
        <f>HYPERLINK("https://patents.google.com/patent/US20080167106A1/en")</f>
        <v>https://patents.google.com/patent/US20080167106A1/en</v>
      </c>
    </row>
    <row r="9388" spans="3:5" x14ac:dyDescent="0.25">
      <c r="C9388" t="s">
        <v>17243</v>
      </c>
      <c r="D9388" t="s">
        <v>17244</v>
      </c>
      <c r="E9388" t="str">
        <f>HYPERLINK("https://patents.google.com/patent/US20100271263A1/en")</f>
        <v>https://patents.google.com/patent/US20100271263A1/en</v>
      </c>
    </row>
    <row r="9389" spans="3:5" x14ac:dyDescent="0.25">
      <c r="C9389" t="s">
        <v>17245</v>
      </c>
      <c r="D9389" t="s">
        <v>17246</v>
      </c>
      <c r="E9389" t="str">
        <f>HYPERLINK("https://patents.google.com/patent/US20100203833A1/en")</f>
        <v>https://patents.google.com/patent/US20100203833A1/en</v>
      </c>
    </row>
    <row r="9390" spans="3:5" x14ac:dyDescent="0.25">
      <c r="C9390" t="s">
        <v>17247</v>
      </c>
      <c r="D9390" t="s">
        <v>17248</v>
      </c>
      <c r="E9390" t="str">
        <f>HYPERLINK("https://patents.google.com/patent/US20160054440A1/en")</f>
        <v>https://patents.google.com/patent/US20160054440A1/en</v>
      </c>
    </row>
    <row r="9391" spans="3:5" x14ac:dyDescent="0.25">
      <c r="C9391" t="s">
        <v>17249</v>
      </c>
      <c r="D9391" t="s">
        <v>17250</v>
      </c>
      <c r="E9391" t="str">
        <f>HYPERLINK("https://patents.google.com/patent/US20130029685A1/en")</f>
        <v>https://patents.google.com/patent/US20130029685A1/en</v>
      </c>
    </row>
    <row r="9392" spans="3:5" x14ac:dyDescent="0.25">
      <c r="C9392" t="s">
        <v>17251</v>
      </c>
      <c r="D9392" t="s">
        <v>17252</v>
      </c>
      <c r="E9392" t="str">
        <f>HYPERLINK("https://patents.google.com/patent/US20080186234A1/en")</f>
        <v>https://patents.google.com/patent/US20080186234A1/en</v>
      </c>
    </row>
    <row r="9393" spans="3:5" x14ac:dyDescent="0.25">
      <c r="C9393" t="s">
        <v>17253</v>
      </c>
      <c r="D9393" t="s">
        <v>17254</v>
      </c>
      <c r="E9393" t="str">
        <f>HYPERLINK("https://patents.google.com/patent/US20110143779A1/en")</f>
        <v>https://patents.google.com/patent/US20110143779A1/en</v>
      </c>
    </row>
    <row r="9394" spans="3:5" x14ac:dyDescent="0.25">
      <c r="C9394" t="s">
        <v>17255</v>
      </c>
      <c r="D9394" t="s">
        <v>17256</v>
      </c>
      <c r="E9394" t="str">
        <f>HYPERLINK("https://patents.google.com/patent/CN101106793A/en")</f>
        <v>https://patents.google.com/patent/CN101106793A/en</v>
      </c>
    </row>
    <row r="9395" spans="3:5" x14ac:dyDescent="0.25">
      <c r="C9395" t="s">
        <v>17257</v>
      </c>
      <c r="D9395" t="s">
        <v>17258</v>
      </c>
      <c r="E9395" t="str">
        <f>HYPERLINK("https://patents.google.com/patent/US20120072110A1/en")</f>
        <v>https://patents.google.com/patent/US20120072110A1/en</v>
      </c>
    </row>
    <row r="9396" spans="3:5" x14ac:dyDescent="0.25">
      <c r="C9396" t="s">
        <v>17259</v>
      </c>
      <c r="D9396" t="s">
        <v>17260</v>
      </c>
      <c r="E9396" t="str">
        <f>HYPERLINK("https://patents.google.com/patent/US20120130796A1/en")</f>
        <v>https://patents.google.com/patent/US20120130796A1/en</v>
      </c>
    </row>
    <row r="9397" spans="3:5" x14ac:dyDescent="0.25">
      <c r="C9397" t="s">
        <v>17261</v>
      </c>
      <c r="D9397" t="s">
        <v>17262</v>
      </c>
      <c r="E9397" t="str">
        <f>HYPERLINK("https://patents.google.com/patent/US20110314049A1/en")</f>
        <v>https://patents.google.com/patent/US20110314049A1/en</v>
      </c>
    </row>
    <row r="9398" spans="3:5" x14ac:dyDescent="0.25">
      <c r="C9398" t="s">
        <v>17263</v>
      </c>
      <c r="D9398" t="s">
        <v>17264</v>
      </c>
      <c r="E9398" t="str">
        <f>HYPERLINK("https://patents.google.com/patent/CN1464391A/en")</f>
        <v>https://patents.google.com/patent/CN1464391A/en</v>
      </c>
    </row>
    <row r="9399" spans="3:5" x14ac:dyDescent="0.25">
      <c r="C9399" t="s">
        <v>17265</v>
      </c>
      <c r="D9399" t="s">
        <v>17266</v>
      </c>
      <c r="E9399" t="str">
        <f>HYPERLINK("https://patents.google.com/patent/US20070049295A1/en")</f>
        <v>https://patents.google.com/patent/US20070049295A1/en</v>
      </c>
    </row>
    <row r="9400" spans="3:5" x14ac:dyDescent="0.25">
      <c r="C9400" t="s">
        <v>17267</v>
      </c>
      <c r="D9400" t="s">
        <v>17268</v>
      </c>
      <c r="E9400" t="str">
        <f>HYPERLINK("https://patents.google.com/patent/US20070049286A1/en")</f>
        <v>https://patents.google.com/patent/US20070049286A1/en</v>
      </c>
    </row>
    <row r="9401" spans="3:5" x14ac:dyDescent="0.25">
      <c r="C9401" t="s">
        <v>17269</v>
      </c>
      <c r="D9401" t="s">
        <v>17270</v>
      </c>
      <c r="E9401" t="str">
        <f>HYPERLINK("https://patents.google.com/patent/US20100069148A1/en")</f>
        <v>https://patents.google.com/patent/US20100069148A1/en</v>
      </c>
    </row>
    <row r="9402" spans="3:5" x14ac:dyDescent="0.25">
      <c r="C9402" t="s">
        <v>17271</v>
      </c>
      <c r="D9402" t="s">
        <v>17272</v>
      </c>
      <c r="E9402" t="str">
        <f>HYPERLINK("https://patents.google.com/patent/US20110172906A1/en")</f>
        <v>https://patents.google.com/patent/US20110172906A1/en</v>
      </c>
    </row>
    <row r="9403" spans="3:5" x14ac:dyDescent="0.25">
      <c r="C9403" t="s">
        <v>17273</v>
      </c>
      <c r="D9403" t="s">
        <v>17274</v>
      </c>
      <c r="E9403" t="str">
        <f>HYPERLINK("https://patents.google.com/patent/US20030069763A1/en")</f>
        <v>https://patents.google.com/patent/US20030069763A1/en</v>
      </c>
    </row>
    <row r="9404" spans="3:5" x14ac:dyDescent="0.25">
      <c r="C9404" t="s">
        <v>17275</v>
      </c>
      <c r="D9404" t="s">
        <v>17276</v>
      </c>
      <c r="E9404" t="str">
        <f>HYPERLINK("https://patents.google.com/patent/US20100245582A1/en")</f>
        <v>https://patents.google.com/patent/US20100245582A1/en</v>
      </c>
    </row>
    <row r="9405" spans="3:5" x14ac:dyDescent="0.25">
      <c r="C9405" t="s">
        <v>17277</v>
      </c>
      <c r="D9405" t="s">
        <v>17278</v>
      </c>
      <c r="E9405" t="str">
        <f>HYPERLINK("https://patents.google.com/patent/US20100122208A1/en")</f>
        <v>https://patents.google.com/patent/US20100122208A1/en</v>
      </c>
    </row>
    <row r="9406" spans="3:5" x14ac:dyDescent="0.25">
      <c r="C9406" t="s">
        <v>17279</v>
      </c>
      <c r="D9406" t="s">
        <v>17280</v>
      </c>
      <c r="E9406" t="str">
        <f>HYPERLINK("https://patents.google.com/patent/US20030031334A1/en")</f>
        <v>https://patents.google.com/patent/US20030031334A1/en</v>
      </c>
    </row>
    <row r="9407" spans="3:5" x14ac:dyDescent="0.25">
      <c r="C9407" t="s">
        <v>17281</v>
      </c>
      <c r="D9407" t="s">
        <v>17282</v>
      </c>
      <c r="E9407" t="str">
        <f>HYPERLINK("https://patents.google.com/patent/US20080246587A1/en")</f>
        <v>https://patents.google.com/patent/US20080246587A1/en</v>
      </c>
    </row>
    <row r="9408" spans="3:5" x14ac:dyDescent="0.25">
      <c r="C9408" t="s">
        <v>17283</v>
      </c>
      <c r="D9408" t="s">
        <v>17284</v>
      </c>
      <c r="E9408" t="str">
        <f>HYPERLINK("https://patents.google.com/patent/US20110269478A1/en")</f>
        <v>https://patents.google.com/patent/US20110269478A1/en</v>
      </c>
    </row>
    <row r="9409" spans="3:5" x14ac:dyDescent="0.25">
      <c r="C9409" t="s">
        <v>17285</v>
      </c>
      <c r="D9409" t="s">
        <v>17286</v>
      </c>
      <c r="E9409" t="str">
        <f>HYPERLINK("https://patents.google.com/patent/US20110250904A1/en")</f>
        <v>https://patents.google.com/patent/US20110250904A1/en</v>
      </c>
    </row>
    <row r="9410" spans="3:5" x14ac:dyDescent="0.25">
      <c r="C9410" t="s">
        <v>17287</v>
      </c>
      <c r="D9410" t="s">
        <v>17288</v>
      </c>
      <c r="E9410" t="str">
        <f>HYPERLINK("https://patents.google.com/patent/EP1448008A1/en")</f>
        <v>https://patents.google.com/patent/EP1448008A1/en</v>
      </c>
    </row>
    <row r="9411" spans="3:5" x14ac:dyDescent="0.25">
      <c r="C9411" t="s">
        <v>17289</v>
      </c>
      <c r="D9411" t="s">
        <v>17290</v>
      </c>
      <c r="E9411" t="str">
        <f>HYPERLINK("https://patents.google.com/patent/US20110052083A1/en")</f>
        <v>https://patents.google.com/patent/US20110052083A1/en</v>
      </c>
    </row>
    <row r="9412" spans="3:5" x14ac:dyDescent="0.25">
      <c r="C9412" t="s">
        <v>17291</v>
      </c>
      <c r="D9412" t="s">
        <v>17292</v>
      </c>
      <c r="E9412" t="str">
        <f>HYPERLINK("https://patents.google.com/patent/CN104703137A/en")</f>
        <v>https://patents.google.com/patent/CN104703137A/en</v>
      </c>
    </row>
    <row r="9413" spans="3:5" x14ac:dyDescent="0.25">
      <c r="C9413" t="s">
        <v>17293</v>
      </c>
      <c r="D9413" t="s">
        <v>17294</v>
      </c>
      <c r="E9413" t="str">
        <f>HYPERLINK("https://patents.google.com/patent/CN206004905U/en")</f>
        <v>https://patents.google.com/patent/CN206004905U/en</v>
      </c>
    </row>
    <row r="9414" spans="3:5" x14ac:dyDescent="0.25">
      <c r="C9414" t="s">
        <v>17295</v>
      </c>
      <c r="D9414" t="s">
        <v>17296</v>
      </c>
      <c r="E9414" t="str">
        <f>HYPERLINK("https://patents.google.com/patent/US20130293584A1/en")</f>
        <v>https://patents.google.com/patent/US20130293584A1/en</v>
      </c>
    </row>
    <row r="9415" spans="3:5" x14ac:dyDescent="0.25">
      <c r="C9415" t="s">
        <v>17297</v>
      </c>
      <c r="D9415" t="s">
        <v>17298</v>
      </c>
      <c r="E9415" t="str">
        <f>HYPERLINK("https://patents.google.com/patent/US20110123120A1/en")</f>
        <v>https://patents.google.com/patent/US20110123120A1/en</v>
      </c>
    </row>
    <row r="9416" spans="3:5" x14ac:dyDescent="0.25">
      <c r="C9416" t="s">
        <v>17299</v>
      </c>
      <c r="D9416" t="s">
        <v>17300</v>
      </c>
      <c r="E9416" t="str">
        <f>HYPERLINK("https://patents.google.com/patent/CN105527605A/en")</f>
        <v>https://patents.google.com/patent/CN105527605A/en</v>
      </c>
    </row>
    <row r="9417" spans="3:5" x14ac:dyDescent="0.25">
      <c r="C9417" t="s">
        <v>17301</v>
      </c>
      <c r="D9417" t="s">
        <v>17302</v>
      </c>
      <c r="E9417" t="str">
        <f>HYPERLINK("https://patents.google.com/patent/JP2014504384A/en")</f>
        <v>https://patents.google.com/patent/JP2014504384A/en</v>
      </c>
    </row>
    <row r="9418" spans="3:5" x14ac:dyDescent="0.25">
      <c r="C9418" t="s">
        <v>17259</v>
      </c>
      <c r="D9418" t="s">
        <v>17303</v>
      </c>
      <c r="E9418" t="str">
        <f>HYPERLINK("https://patents.google.com/patent/US20120290383A1/en")</f>
        <v>https://patents.google.com/patent/US20120290383A1/en</v>
      </c>
    </row>
    <row r="9419" spans="3:5" x14ac:dyDescent="0.25">
      <c r="C9419" t="s">
        <v>17304</v>
      </c>
      <c r="D9419" t="s">
        <v>17305</v>
      </c>
      <c r="E9419" t="str">
        <f>HYPERLINK("https://patents.google.com/patent/JP2014178170A/en")</f>
        <v>https://patents.google.com/patent/JP2014178170A/en</v>
      </c>
    </row>
    <row r="9420" spans="3:5" x14ac:dyDescent="0.25">
      <c r="C9420" t="s">
        <v>17306</v>
      </c>
      <c r="D9420" t="s">
        <v>17307</v>
      </c>
      <c r="E9420" t="str">
        <f>HYPERLINK("https://patents.google.com/patent/CN104951722A/en")</f>
        <v>https://patents.google.com/patent/CN104951722A/en</v>
      </c>
    </row>
    <row r="9421" spans="3:5" x14ac:dyDescent="0.25">
      <c r="C9421" t="s">
        <v>17308</v>
      </c>
      <c r="D9421" t="s">
        <v>17309</v>
      </c>
      <c r="E9421" t="str">
        <f>HYPERLINK("https://patents.google.com/patent/US20150038171A1/en")</f>
        <v>https://patents.google.com/patent/US20150038171A1/en</v>
      </c>
    </row>
    <row r="9422" spans="3:5" x14ac:dyDescent="0.25">
      <c r="C9422" t="s">
        <v>17310</v>
      </c>
      <c r="D9422" t="s">
        <v>17311</v>
      </c>
      <c r="E9422" t="str">
        <f>HYPERLINK("https://patents.google.com/patent/CN107728781A/en")</f>
        <v>https://patents.google.com/patent/CN107728781A/en</v>
      </c>
    </row>
    <row r="9423" spans="3:5" x14ac:dyDescent="0.25">
      <c r="C9423" t="s">
        <v>17312</v>
      </c>
      <c r="D9423" t="s">
        <v>17313</v>
      </c>
      <c r="E9423" t="str">
        <f>HYPERLINK("https://patents.google.com/patent/US20040189517A1/en")</f>
        <v>https://patents.google.com/patent/US20040189517A1/en</v>
      </c>
    </row>
    <row r="9424" spans="3:5" x14ac:dyDescent="0.25">
      <c r="C9424" t="s">
        <v>17314</v>
      </c>
      <c r="D9424" t="s">
        <v>17315</v>
      </c>
      <c r="E9424" t="str">
        <f>HYPERLINK("https://patents.google.com/patent/US20100062792A1/en")</f>
        <v>https://patents.google.com/patent/US20100062792A1/en</v>
      </c>
    </row>
    <row r="9425" spans="3:5" x14ac:dyDescent="0.25">
      <c r="C9425" t="s">
        <v>17316</v>
      </c>
      <c r="D9425" t="s">
        <v>17317</v>
      </c>
      <c r="E9425" t="str">
        <f>HYPERLINK("https://patents.google.com/patent/US20070279281A1/en")</f>
        <v>https://patents.google.com/patent/US20070279281A1/en</v>
      </c>
    </row>
    <row r="9426" spans="3:5" x14ac:dyDescent="0.25">
      <c r="C9426" t="s">
        <v>17318</v>
      </c>
      <c r="D9426" t="s">
        <v>17319</v>
      </c>
      <c r="E9426" t="str">
        <f>HYPERLINK("https://patents.google.com/patent/CN102711240B/en")</f>
        <v>https://patents.google.com/patent/CN102711240B/en</v>
      </c>
    </row>
    <row r="9427" spans="3:5" x14ac:dyDescent="0.25">
      <c r="C9427" t="s">
        <v>17320</v>
      </c>
      <c r="D9427" t="s">
        <v>17321</v>
      </c>
      <c r="E9427" t="str">
        <f>HYPERLINK("https://patents.google.com/patent/US20180089869A1/en")</f>
        <v>https://patents.google.com/patent/US20180089869A1/en</v>
      </c>
    </row>
    <row r="9428" spans="3:5" x14ac:dyDescent="0.25">
      <c r="C9428" t="s">
        <v>17322</v>
      </c>
      <c r="D9428" t="s">
        <v>17323</v>
      </c>
      <c r="E9428" t="str">
        <f>HYPERLINK("https://patents.google.com/patent/CN207181676U/en")</f>
        <v>https://patents.google.com/patent/CN207181676U/en</v>
      </c>
    </row>
    <row r="9429" spans="3:5" x14ac:dyDescent="0.25">
      <c r="C9429" t="s">
        <v>17324</v>
      </c>
      <c r="D9429" t="s">
        <v>17325</v>
      </c>
      <c r="E9429" t="str">
        <f>HYPERLINK("https://patents.google.com/patent/CN106022643A/en")</f>
        <v>https://patents.google.com/patent/CN106022643A/en</v>
      </c>
    </row>
    <row r="9430" spans="3:5" x14ac:dyDescent="0.25">
      <c r="C9430" t="s">
        <v>17326</v>
      </c>
      <c r="D9430" t="s">
        <v>17327</v>
      </c>
      <c r="E9430" t="str">
        <f>HYPERLINK("https://patents.google.com/patent/US20140266585A1/en")</f>
        <v>https://patents.google.com/patent/US20140266585A1/en</v>
      </c>
    </row>
    <row r="9431" spans="3:5" x14ac:dyDescent="0.25">
      <c r="C9431" t="s">
        <v>17328</v>
      </c>
      <c r="D9431" t="s">
        <v>17329</v>
      </c>
      <c r="E9431" t="str">
        <f>HYPERLINK("https://patents.google.com/patent/US20110277809A1/en")</f>
        <v>https://patents.google.com/patent/US20110277809A1/en</v>
      </c>
    </row>
    <row r="9432" spans="3:5" x14ac:dyDescent="0.25">
      <c r="C9432" t="s">
        <v>17330</v>
      </c>
      <c r="D9432" t="s">
        <v>17331</v>
      </c>
      <c r="E9432" t="str">
        <f>HYPERLINK("https://patents.google.com/patent/WO2017184094A1/en")</f>
        <v>https://patents.google.com/patent/WO2017184094A1/en</v>
      </c>
    </row>
    <row r="9433" spans="3:5" x14ac:dyDescent="0.25">
      <c r="C9433" t="s">
        <v>17332</v>
      </c>
      <c r="D9433" t="s">
        <v>17333</v>
      </c>
      <c r="E9433" t="str">
        <f>HYPERLINK("https://patents.google.com/patent/CN101079923A/en")</f>
        <v>https://patents.google.com/patent/CN101079923A/en</v>
      </c>
    </row>
    <row r="9434" spans="3:5" x14ac:dyDescent="0.25">
      <c r="C9434" t="s">
        <v>17334</v>
      </c>
      <c r="D9434" t="s">
        <v>17335</v>
      </c>
      <c r="E9434" t="str">
        <f>HYPERLINK("https://patents.google.com/patent/CN106997223A/en")</f>
        <v>https://patents.google.com/patent/CN106997223A/en</v>
      </c>
    </row>
    <row r="9435" spans="3:5" x14ac:dyDescent="0.25">
      <c r="C9435" t="s">
        <v>17336</v>
      </c>
      <c r="D9435" t="s">
        <v>17337</v>
      </c>
      <c r="E9435" t="str">
        <f>HYPERLINK("https://patents.google.com/patent/ES2536586B1/en")</f>
        <v>https://patents.google.com/patent/ES2536586B1/en</v>
      </c>
    </row>
    <row r="9436" spans="3:5" x14ac:dyDescent="0.25">
      <c r="C9436" t="s">
        <v>17338</v>
      </c>
      <c r="D9436" t="s">
        <v>17339</v>
      </c>
      <c r="E9436" t="str">
        <f>HYPERLINK("https://patents.google.com/patent/KR20160087276A/en")</f>
        <v>https://patents.google.com/patent/KR20160087276A/en</v>
      </c>
    </row>
    <row r="9437" spans="3:5" x14ac:dyDescent="0.25">
      <c r="C9437" t="s">
        <v>17340</v>
      </c>
      <c r="D9437" t="s">
        <v>17341</v>
      </c>
      <c r="E9437" t="str">
        <f>HYPERLINK("https://patents.google.com/patent/US20130113827A1/en")</f>
        <v>https://patents.google.com/patent/US20130113827A1/en</v>
      </c>
    </row>
    <row r="9438" spans="3:5" x14ac:dyDescent="0.25">
      <c r="C9438" t="s">
        <v>17342</v>
      </c>
      <c r="D9438" t="s">
        <v>17343</v>
      </c>
      <c r="E9438" t="str">
        <f>HYPERLINK("https://patents.google.com/patent/US8369871B1/en")</f>
        <v>https://patents.google.com/patent/US8369871B1/en</v>
      </c>
    </row>
    <row r="9439" spans="3:5" x14ac:dyDescent="0.25">
      <c r="C9439" t="s">
        <v>17344</v>
      </c>
      <c r="D9439" t="s">
        <v>17345</v>
      </c>
      <c r="E9439" t="str">
        <f>HYPERLINK("https://patents.google.com/patent/JP2002099824A/en")</f>
        <v>https://patents.google.com/patent/JP2002099824A/en</v>
      </c>
    </row>
    <row r="9440" spans="3:5" x14ac:dyDescent="0.25">
      <c r="C9440" t="s">
        <v>17346</v>
      </c>
      <c r="D9440" t="s">
        <v>17347</v>
      </c>
      <c r="E9440" t="str">
        <f>HYPERLINK("https://patents.google.com/patent/CN103941231A/en")</f>
        <v>https://patents.google.com/patent/CN103941231A/en</v>
      </c>
    </row>
    <row r="9441" spans="3:5" x14ac:dyDescent="0.25">
      <c r="C9441" t="s">
        <v>17348</v>
      </c>
      <c r="D9441" t="s">
        <v>17349</v>
      </c>
      <c r="E9441" t="str">
        <f>HYPERLINK("https://patents.google.com/patent/CN101099306A/en")</f>
        <v>https://patents.google.com/patent/CN101099306A/en</v>
      </c>
    </row>
    <row r="9442" spans="3:5" x14ac:dyDescent="0.25">
      <c r="C9442" t="s">
        <v>17350</v>
      </c>
      <c r="D9442" t="s">
        <v>17351</v>
      </c>
      <c r="E9442" t="str">
        <f>HYPERLINK("https://patents.google.com/patent/US20120236977A1/en")</f>
        <v>https://patents.google.com/patent/US20120236977A1/en</v>
      </c>
    </row>
    <row r="9443" spans="3:5" x14ac:dyDescent="0.25">
      <c r="C9443" t="s">
        <v>17352</v>
      </c>
      <c r="D9443" t="s">
        <v>17353</v>
      </c>
      <c r="E9443" t="str">
        <f>HYPERLINK("https://patents.google.com/patent/US7369681B2/en")</f>
        <v>https://patents.google.com/patent/US7369681B2/en</v>
      </c>
    </row>
    <row r="9444" spans="3:5" x14ac:dyDescent="0.25">
      <c r="C9444" t="s">
        <v>17354</v>
      </c>
      <c r="D9444" t="s">
        <v>17355</v>
      </c>
      <c r="E9444" t="str">
        <f>HYPERLINK("https://patents.google.com/patent/US20130257657A1/en")</f>
        <v>https://patents.google.com/patent/US20130257657A1/en</v>
      </c>
    </row>
    <row r="9445" spans="3:5" x14ac:dyDescent="0.25">
      <c r="C9445" t="s">
        <v>17356</v>
      </c>
      <c r="D9445" t="s">
        <v>17357</v>
      </c>
      <c r="E9445" t="str">
        <f>HYPERLINK("https://patents.google.com/patent/US20030134598A1/en")</f>
        <v>https://patents.google.com/patent/US20030134598A1/en</v>
      </c>
    </row>
    <row r="9446" spans="3:5" x14ac:dyDescent="0.25">
      <c r="C9446" t="s">
        <v>17358</v>
      </c>
      <c r="D9446" t="s">
        <v>17359</v>
      </c>
      <c r="E9446" t="str">
        <f>HYPERLINK("https://patents.google.com/patent/US20110086712A1/en")</f>
        <v>https://patents.google.com/patent/US20110086712A1/en</v>
      </c>
    </row>
    <row r="9447" spans="3:5" x14ac:dyDescent="0.25">
      <c r="C9447" t="s">
        <v>17360</v>
      </c>
      <c r="D9447" t="s">
        <v>17361</v>
      </c>
      <c r="E9447" t="str">
        <f>HYPERLINK("https://patents.google.com/patent/US20100245583A1/en")</f>
        <v>https://patents.google.com/patent/US20100245583A1/en</v>
      </c>
    </row>
    <row r="9448" spans="3:5" x14ac:dyDescent="0.25">
      <c r="C9448" t="s">
        <v>17362</v>
      </c>
      <c r="D9448" t="s">
        <v>17363</v>
      </c>
      <c r="E9448" t="str">
        <f>HYPERLINK("https://patents.google.com/patent/WO2010052849A1/en")</f>
        <v>https://patents.google.com/patent/WO2010052849A1/en</v>
      </c>
    </row>
    <row r="9449" spans="3:5" x14ac:dyDescent="0.25">
      <c r="C9449" t="s">
        <v>17364</v>
      </c>
      <c r="D9449" t="s">
        <v>17365</v>
      </c>
      <c r="E9449" t="str">
        <f>HYPERLINK("https://patents.google.com/patent/US20110293259A1/en")</f>
        <v>https://patents.google.com/patent/US20110293259A1/en</v>
      </c>
    </row>
    <row r="9450" spans="3:5" x14ac:dyDescent="0.25">
      <c r="C9450" t="s">
        <v>17366</v>
      </c>
      <c r="D9450" t="s">
        <v>17367</v>
      </c>
      <c r="E9450" t="str">
        <f>HYPERLINK("https://patents.google.com/patent/US20120251011A1/en")</f>
        <v>https://patents.google.com/patent/US20120251011A1/en</v>
      </c>
    </row>
    <row r="9451" spans="3:5" x14ac:dyDescent="0.25">
      <c r="C9451" t="s">
        <v>17368</v>
      </c>
      <c r="D9451" t="s">
        <v>17369</v>
      </c>
      <c r="E9451" t="str">
        <f>HYPERLINK("https://patents.google.com/patent/JP2006166421A/en")</f>
        <v>https://patents.google.com/patent/JP2006166421A/en</v>
      </c>
    </row>
    <row r="9452" spans="3:5" x14ac:dyDescent="0.25">
      <c r="C9452" t="s">
        <v>17370</v>
      </c>
      <c r="D9452" t="s">
        <v>17371</v>
      </c>
      <c r="E9452" t="str">
        <f>HYPERLINK("https://patents.google.com/patent/US20150052460A1/en")</f>
        <v>https://patents.google.com/patent/US20150052460A1/en</v>
      </c>
    </row>
    <row r="9453" spans="3:5" x14ac:dyDescent="0.25">
      <c r="C9453" t="s">
        <v>17372</v>
      </c>
      <c r="D9453" t="s">
        <v>17373</v>
      </c>
      <c r="E9453" t="str">
        <f>HYPERLINK("https://patents.google.com/patent/JP2003233752A/en")</f>
        <v>https://patents.google.com/patent/JP2003233752A/en</v>
      </c>
    </row>
    <row r="9454" spans="3:5" x14ac:dyDescent="0.25">
      <c r="C9454" t="s">
        <v>17374</v>
      </c>
      <c r="D9454" t="s">
        <v>17375</v>
      </c>
      <c r="E9454" t="str">
        <f>HYPERLINK("https://patents.google.com/patent/US20120046045A1/en")</f>
        <v>https://patents.google.com/patent/US20120046045A1/en</v>
      </c>
    </row>
    <row r="9455" spans="3:5" x14ac:dyDescent="0.25">
      <c r="C9455" t="s">
        <v>17376</v>
      </c>
      <c r="D9455" t="s">
        <v>17377</v>
      </c>
      <c r="E9455" t="str">
        <f>HYPERLINK("https://patents.google.com/patent/WO2002063327A2/en")</f>
        <v>https://patents.google.com/patent/WO2002063327A2/en</v>
      </c>
    </row>
    <row r="9456" spans="3:5" x14ac:dyDescent="0.25">
      <c r="C9456" t="s">
        <v>15746</v>
      </c>
      <c r="D9456" t="s">
        <v>17378</v>
      </c>
      <c r="E9456" t="str">
        <f>HYPERLINK("https://patents.google.com/patent/CN103716877A/en")</f>
        <v>https://patents.google.com/patent/CN103716877A/en</v>
      </c>
    </row>
    <row r="9457" spans="3:5" x14ac:dyDescent="0.25">
      <c r="C9457" t="s">
        <v>17379</v>
      </c>
      <c r="D9457" t="s">
        <v>17380</v>
      </c>
      <c r="E9457" t="str">
        <f>HYPERLINK("https://patents.google.com/patent/JP2004208274A/en")</f>
        <v>https://patents.google.com/patent/JP2004208274A/en</v>
      </c>
    </row>
    <row r="9458" spans="3:5" x14ac:dyDescent="0.25">
      <c r="C9458" t="s">
        <v>17381</v>
      </c>
      <c r="D9458" t="s">
        <v>17382</v>
      </c>
      <c r="E9458" t="str">
        <f>HYPERLINK("https://patents.google.com/patent/US20110133908A1/en")</f>
        <v>https://patents.google.com/patent/US20110133908A1/en</v>
      </c>
    </row>
    <row r="9459" spans="3:5" x14ac:dyDescent="0.25">
      <c r="C9459" t="s">
        <v>17383</v>
      </c>
      <c r="D9459" t="s">
        <v>17384</v>
      </c>
      <c r="E9459" t="str">
        <f>HYPERLINK("https://patents.google.com/patent/JP6255085B2/en")</f>
        <v>https://patents.google.com/patent/JP6255085B2/en</v>
      </c>
    </row>
    <row r="9460" spans="3:5" x14ac:dyDescent="0.25">
      <c r="C9460" t="s">
        <v>17385</v>
      </c>
      <c r="D9460" t="s">
        <v>17386</v>
      </c>
      <c r="E9460" t="str">
        <f>HYPERLINK("https://patents.google.com/patent/US20070083539A1/en")</f>
        <v>https://patents.google.com/patent/US20070083539A1/en</v>
      </c>
    </row>
    <row r="9461" spans="3:5" x14ac:dyDescent="0.25">
      <c r="C9461" t="s">
        <v>17387</v>
      </c>
      <c r="D9461" t="s">
        <v>17388</v>
      </c>
      <c r="E9461" t="str">
        <f>HYPERLINK("https://patents.google.com/patent/US20100019482A1/en")</f>
        <v>https://patents.google.com/patent/US20100019482A1/en</v>
      </c>
    </row>
    <row r="9462" spans="3:5" x14ac:dyDescent="0.25">
      <c r="C9462" t="s">
        <v>17389</v>
      </c>
      <c r="D9462" t="s">
        <v>17390</v>
      </c>
      <c r="E9462" t="str">
        <f>HYPERLINK("https://patents.google.com/patent/CN1787014A/en")</f>
        <v>https://patents.google.com/patent/CN1787014A/en</v>
      </c>
    </row>
    <row r="9463" spans="3:5" x14ac:dyDescent="0.25">
      <c r="C9463" t="s">
        <v>17391</v>
      </c>
      <c r="D9463" t="s">
        <v>17392</v>
      </c>
      <c r="E9463" t="str">
        <f>HYPERLINK("https://patents.google.com/patent/JP2009017416A/en")</f>
        <v>https://patents.google.com/patent/JP2009017416A/en</v>
      </c>
    </row>
    <row r="9464" spans="3:5" x14ac:dyDescent="0.25">
      <c r="C9464" t="s">
        <v>17393</v>
      </c>
      <c r="D9464" t="s">
        <v>17394</v>
      </c>
      <c r="E9464" t="str">
        <f>HYPERLINK("https://patents.google.com/patent/US20140280138A1/en")</f>
        <v>https://patents.google.com/patent/US20140280138A1/en</v>
      </c>
    </row>
    <row r="9465" spans="3:5" x14ac:dyDescent="0.25">
      <c r="C9465" t="s">
        <v>17395</v>
      </c>
      <c r="D9465" t="s">
        <v>17396</v>
      </c>
      <c r="E9465" t="str">
        <f>HYPERLINK("https://patents.google.com/patent/JP2006293535A/en")</f>
        <v>https://patents.google.com/patent/JP2006293535A/en</v>
      </c>
    </row>
    <row r="9466" spans="3:5" x14ac:dyDescent="0.25">
      <c r="C9466" t="s">
        <v>17397</v>
      </c>
      <c r="D9466" t="s">
        <v>17398</v>
      </c>
      <c r="E9466" t="str">
        <f>HYPERLINK("https://patents.google.com/patent/US20120065884A1/en")</f>
        <v>https://patents.google.com/patent/US20120065884A1/en</v>
      </c>
    </row>
    <row r="9467" spans="3:5" x14ac:dyDescent="0.25">
      <c r="C9467" t="s">
        <v>17399</v>
      </c>
      <c r="D9467" t="s">
        <v>17400</v>
      </c>
      <c r="E9467" t="str">
        <f>HYPERLINK("https://patents.google.com/patent/CN103476169A/en")</f>
        <v>https://patents.google.com/patent/CN103476169A/en</v>
      </c>
    </row>
    <row r="9468" spans="3:5" x14ac:dyDescent="0.25">
      <c r="C9468" t="s">
        <v>17401</v>
      </c>
      <c r="D9468" t="s">
        <v>17402</v>
      </c>
      <c r="E9468" t="str">
        <f>HYPERLINK("https://patents.google.com/patent/US8412239B1/en")</f>
        <v>https://patents.google.com/patent/US8412239B1/en</v>
      </c>
    </row>
    <row r="9469" spans="3:5" x14ac:dyDescent="0.25">
      <c r="C9469" t="s">
        <v>17403</v>
      </c>
      <c r="D9469" t="s">
        <v>17404</v>
      </c>
      <c r="E9469" t="str">
        <f>HYPERLINK("https://patents.google.com/patent/US20140004877A1/en")</f>
        <v>https://patents.google.com/patent/US20140004877A1/en</v>
      </c>
    </row>
    <row r="9470" spans="3:5" x14ac:dyDescent="0.25">
      <c r="C9470" t="s">
        <v>17405</v>
      </c>
      <c r="D9470" t="s">
        <v>17406</v>
      </c>
      <c r="E9470" t="str">
        <f>HYPERLINK("https://patents.google.com/patent/US20140280529A1/en")</f>
        <v>https://patents.google.com/patent/US20140280529A1/en</v>
      </c>
    </row>
    <row r="9471" spans="3:5" x14ac:dyDescent="0.25">
      <c r="C9471" t="s">
        <v>17407</v>
      </c>
      <c r="D9471" t="s">
        <v>17408</v>
      </c>
      <c r="E9471" t="str">
        <f>HYPERLINK("https://patents.google.com/patent/WO2008046443A1/en")</f>
        <v>https://patents.google.com/patent/WO2008046443A1/en</v>
      </c>
    </row>
    <row r="9472" spans="3:5" x14ac:dyDescent="0.25">
      <c r="C9472" t="s">
        <v>17409</v>
      </c>
      <c r="D9472" t="s">
        <v>17410</v>
      </c>
      <c r="E9472" t="str">
        <f>HYPERLINK("https://patents.google.com/patent/CN102967307A/en")</f>
        <v>https://patents.google.com/patent/CN102967307A/en</v>
      </c>
    </row>
    <row r="9473" spans="3:5" x14ac:dyDescent="0.25">
      <c r="C9473" t="s">
        <v>17411</v>
      </c>
      <c r="D9473" t="s">
        <v>17412</v>
      </c>
      <c r="E9473" t="str">
        <f>HYPERLINK("https://patents.google.com/patent/US20130181867A1/en")</f>
        <v>https://patents.google.com/patent/US20130181867A1/en</v>
      </c>
    </row>
    <row r="9474" spans="3:5" x14ac:dyDescent="0.25">
      <c r="C9474" t="s">
        <v>17413</v>
      </c>
      <c r="D9474" t="s">
        <v>17414</v>
      </c>
      <c r="E9474" t="str">
        <f>HYPERLINK("https://patents.google.com/patent/CN102215068A/en")</f>
        <v>https://patents.google.com/patent/CN102215068A/en</v>
      </c>
    </row>
    <row r="9475" spans="3:5" x14ac:dyDescent="0.25">
      <c r="C9475" t="s">
        <v>17415</v>
      </c>
      <c r="D9475" t="s">
        <v>17416</v>
      </c>
      <c r="E9475" t="str">
        <f>HYPERLINK("https://patents.google.com/patent/WO2001008369A1/en")</f>
        <v>https://patents.google.com/patent/WO2001008369A1/en</v>
      </c>
    </row>
    <row r="9476" spans="3:5" x14ac:dyDescent="0.25">
      <c r="C9476" t="s">
        <v>17417</v>
      </c>
      <c r="D9476" t="s">
        <v>17418</v>
      </c>
      <c r="E9476" t="str">
        <f>HYPERLINK("https://patents.google.com/patent/JP2008276353A/en")</f>
        <v>https://patents.google.com/patent/JP2008276353A/en</v>
      </c>
    </row>
    <row r="9477" spans="3:5" x14ac:dyDescent="0.25">
      <c r="C9477" t="s">
        <v>17419</v>
      </c>
      <c r="D9477" t="s">
        <v>17420</v>
      </c>
      <c r="E9477" t="str">
        <f>HYPERLINK("https://patents.google.com/patent/US20100246669A1/en")</f>
        <v>https://patents.google.com/patent/US20100246669A1/en</v>
      </c>
    </row>
    <row r="9478" spans="3:5" x14ac:dyDescent="0.25">
      <c r="C9478" t="s">
        <v>17421</v>
      </c>
      <c r="D9478" t="s">
        <v>17422</v>
      </c>
      <c r="E9478" t="str">
        <f>HYPERLINK("https://patents.google.com/patent/JP2004070598A/en")</f>
        <v>https://patents.google.com/patent/JP2004070598A/en</v>
      </c>
    </row>
    <row r="9479" spans="3:5" x14ac:dyDescent="0.25">
      <c r="C9479" t="s">
        <v>17423</v>
      </c>
      <c r="D9479" t="s">
        <v>17424</v>
      </c>
      <c r="E9479" t="str">
        <f>HYPERLINK("https://patents.google.com/patent/JPH11259672A/en")</f>
        <v>https://patents.google.com/patent/JPH11259672A/en</v>
      </c>
    </row>
    <row r="9480" spans="3:5" x14ac:dyDescent="0.25">
      <c r="C9480" t="s">
        <v>17425</v>
      </c>
      <c r="D9480" t="s">
        <v>17426</v>
      </c>
      <c r="E9480" t="str">
        <f>HYPERLINK("https://patents.google.com/patent/US20090322874A1/en")</f>
        <v>https://patents.google.com/patent/US20090322874A1/en</v>
      </c>
    </row>
    <row r="9481" spans="3:5" x14ac:dyDescent="0.25">
      <c r="C9481" t="s">
        <v>17427</v>
      </c>
      <c r="D9481" t="s">
        <v>17428</v>
      </c>
      <c r="E9481" t="str">
        <f>HYPERLINK("https://patents.google.com/patent/CN101637048A/en")</f>
        <v>https://patents.google.com/patent/CN101637048A/en</v>
      </c>
    </row>
    <row r="9482" spans="3:5" x14ac:dyDescent="0.25">
      <c r="C9482" t="s">
        <v>17429</v>
      </c>
      <c r="D9482" t="s">
        <v>17430</v>
      </c>
      <c r="E9482" t="str">
        <f>HYPERLINK("https://patents.google.com/patent/JP2006300918A/en")</f>
        <v>https://patents.google.com/patent/JP2006300918A/en</v>
      </c>
    </row>
    <row r="9483" spans="3:5" x14ac:dyDescent="0.25">
      <c r="C9483" t="s">
        <v>17431</v>
      </c>
      <c r="D9483" t="s">
        <v>17432</v>
      </c>
      <c r="E9483" t="str">
        <f>HYPERLINK("https://patents.google.com/patent/EP2372627A2/en")</f>
        <v>https://patents.google.com/patent/EP2372627A2/en</v>
      </c>
    </row>
    <row r="9484" spans="3:5" x14ac:dyDescent="0.25">
      <c r="C9484" t="s">
        <v>17433</v>
      </c>
      <c r="D9484" t="s">
        <v>17434</v>
      </c>
      <c r="E9484" t="str">
        <f>HYPERLINK("https://patents.google.com/patent/US20120071157A1/en")</f>
        <v>https://patents.google.com/patent/US20120071157A1/en</v>
      </c>
    </row>
    <row r="9485" spans="3:5" x14ac:dyDescent="0.25">
      <c r="C9485" t="s">
        <v>17435</v>
      </c>
      <c r="D9485" t="s">
        <v>17436</v>
      </c>
      <c r="E9485" t="str">
        <f>HYPERLINK("https://patents.google.com/patent/US20100245072A1/en")</f>
        <v>https://patents.google.com/patent/US20100245072A1/en</v>
      </c>
    </row>
    <row r="9486" spans="3:5" x14ac:dyDescent="0.25">
      <c r="C9486" t="s">
        <v>17437</v>
      </c>
      <c r="D9486" t="s">
        <v>17438</v>
      </c>
      <c r="E9486" t="str">
        <f>HYPERLINK("https://patents.google.com/patent/JP2007127584A/en")</f>
        <v>https://patents.google.com/patent/JP2007127584A/en</v>
      </c>
    </row>
    <row r="9487" spans="3:5" x14ac:dyDescent="0.25">
      <c r="C9487" t="s">
        <v>17439</v>
      </c>
      <c r="D9487" t="s">
        <v>17440</v>
      </c>
      <c r="E9487" t="str">
        <f>HYPERLINK("https://patents.google.com/patent/US8565735B2/en")</f>
        <v>https://patents.google.com/patent/US8565735B2/en</v>
      </c>
    </row>
    <row r="9488" spans="3:5" x14ac:dyDescent="0.25">
      <c r="C9488" t="s">
        <v>17441</v>
      </c>
      <c r="D9488" t="s">
        <v>17442</v>
      </c>
      <c r="E9488" t="str">
        <f>HYPERLINK("https://patents.google.com/patent/JP2003148986A/en")</f>
        <v>https://patents.google.com/patent/JP2003148986A/en</v>
      </c>
    </row>
    <row r="9489" spans="3:5" x14ac:dyDescent="0.25">
      <c r="C9489" t="s">
        <v>17443</v>
      </c>
      <c r="D9489" t="s">
        <v>17444</v>
      </c>
      <c r="E9489" t="str">
        <f>HYPERLINK("https://patents.google.com/patent/JPH11252121A/en")</f>
        <v>https://patents.google.com/patent/JPH11252121A/en</v>
      </c>
    </row>
    <row r="9490" spans="3:5" x14ac:dyDescent="0.25">
      <c r="C9490" t="s">
        <v>17445</v>
      </c>
      <c r="D9490" t="s">
        <v>17446</v>
      </c>
      <c r="E9490" t="str">
        <f>HYPERLINK("https://patents.google.com/patent/US20080213125A1/en")</f>
        <v>https://patents.google.com/patent/US20080213125A1/en</v>
      </c>
    </row>
    <row r="9491" spans="3:5" x14ac:dyDescent="0.25">
      <c r="C9491" t="s">
        <v>17447</v>
      </c>
      <c r="D9491" t="s">
        <v>17448</v>
      </c>
      <c r="E9491" t="str">
        <f>HYPERLINK("https://patents.google.com/patent/JP2007212421A/en")</f>
        <v>https://patents.google.com/patent/JP2007212421A/en</v>
      </c>
    </row>
    <row r="9492" spans="3:5" x14ac:dyDescent="0.25">
      <c r="C9492" t="s">
        <v>17449</v>
      </c>
      <c r="D9492" t="s">
        <v>17450</v>
      </c>
      <c r="E9492" t="str">
        <f>HYPERLINK("https://patents.google.com/patent/JP2004069438A/en")</f>
        <v>https://patents.google.com/patent/JP2004069438A/en</v>
      </c>
    </row>
    <row r="9493" spans="3:5" x14ac:dyDescent="0.25">
      <c r="C9493" t="s">
        <v>17451</v>
      </c>
      <c r="D9493" t="s">
        <v>17452</v>
      </c>
      <c r="E9493" t="str">
        <f>HYPERLINK("https://patents.google.com/patent/WO1997042601A1/en")</f>
        <v>https://patents.google.com/patent/WO1997042601A1/en</v>
      </c>
    </row>
    <row r="9494" spans="3:5" x14ac:dyDescent="0.25">
      <c r="C9494" t="s">
        <v>17453</v>
      </c>
      <c r="D9494" t="s">
        <v>17454</v>
      </c>
      <c r="E9494" t="str">
        <f>HYPERLINK("https://patents.google.com/patent/JP4364936B1/en")</f>
        <v>https://patents.google.com/patent/JP4364936B1/en</v>
      </c>
    </row>
    <row r="9495" spans="3:5" x14ac:dyDescent="0.25">
      <c r="C9495" t="s">
        <v>16607</v>
      </c>
      <c r="D9495" t="s">
        <v>17455</v>
      </c>
      <c r="E9495" t="str">
        <f>HYPERLINK("https://patents.google.com/patent/US20140333412A1/en")</f>
        <v>https://patents.google.com/patent/US20140333412A1/en</v>
      </c>
    </row>
    <row r="9496" spans="3:5" x14ac:dyDescent="0.25">
      <c r="C9496" t="s">
        <v>17456</v>
      </c>
      <c r="D9496" t="s">
        <v>17457</v>
      </c>
      <c r="E9496" t="str">
        <f>HYPERLINK("https://patents.google.com/patent/US20130268886A1/en")</f>
        <v>https://patents.google.com/patent/US20130268886A1/en</v>
      </c>
    </row>
    <row r="9497" spans="3:5" x14ac:dyDescent="0.25">
      <c r="C9497" t="s">
        <v>17458</v>
      </c>
      <c r="D9497" t="s">
        <v>17459</v>
      </c>
      <c r="E9497" t="str">
        <f>HYPERLINK("https://patents.google.com/patent/JP2004191339A/en")</f>
        <v>https://patents.google.com/patent/JP2004191339A/en</v>
      </c>
    </row>
    <row r="9498" spans="3:5" x14ac:dyDescent="0.25">
      <c r="C9498" t="s">
        <v>17460</v>
      </c>
      <c r="D9498" t="s">
        <v>17461</v>
      </c>
      <c r="E9498" t="str">
        <f>HYPERLINK("https://patents.google.com/patent/CN201674518U/en")</f>
        <v>https://patents.google.com/patent/CN201674518U/en</v>
      </c>
    </row>
    <row r="9499" spans="3:5" x14ac:dyDescent="0.25">
      <c r="C9499" t="s">
        <v>17462</v>
      </c>
      <c r="D9499" t="s">
        <v>17463</v>
      </c>
      <c r="E9499" t="str">
        <f>HYPERLINK("https://patents.google.com/patent/JP2002324075A/en")</f>
        <v>https://patents.google.com/patent/JP2002324075A/en</v>
      </c>
    </row>
    <row r="9500" spans="3:5" x14ac:dyDescent="0.25">
      <c r="C9500" t="s">
        <v>17464</v>
      </c>
      <c r="D9500" t="s">
        <v>17465</v>
      </c>
      <c r="E9500" t="str">
        <f>HYPERLINK("https://patents.google.com/patent/JP2001189927A/en")</f>
        <v>https://patents.google.com/patent/JP2001189927A/en</v>
      </c>
    </row>
    <row r="9501" spans="3:5" x14ac:dyDescent="0.25">
      <c r="C9501" t="s">
        <v>17466</v>
      </c>
      <c r="D9501" t="s">
        <v>17467</v>
      </c>
      <c r="E9501" t="str">
        <f>HYPERLINK("https://patents.google.com/patent/US20150023562A1/en")</f>
        <v>https://patents.google.com/patent/US20150023562A1/en</v>
      </c>
    </row>
    <row r="9502" spans="3:5" x14ac:dyDescent="0.25">
      <c r="C9502" t="s">
        <v>17468</v>
      </c>
      <c r="D9502" t="s">
        <v>17469</v>
      </c>
      <c r="E9502" t="str">
        <f>HYPERLINK("https://patents.google.com/patent/CN103886484A/en")</f>
        <v>https://patents.google.com/patent/CN103886484A/en</v>
      </c>
    </row>
    <row r="9503" spans="3:5" x14ac:dyDescent="0.25">
      <c r="C9503" t="s">
        <v>17470</v>
      </c>
      <c r="D9503" t="s">
        <v>17471</v>
      </c>
      <c r="E9503" t="str">
        <f>HYPERLINK("https://patents.google.com/patent/CN102054026A/en")</f>
        <v>https://patents.google.com/patent/CN102054026A/en</v>
      </c>
    </row>
    <row r="9504" spans="3:5" x14ac:dyDescent="0.25">
      <c r="C9504" t="s">
        <v>17472</v>
      </c>
      <c r="D9504" t="s">
        <v>17473</v>
      </c>
      <c r="E9504" t="str">
        <f>HYPERLINK("https://patents.google.com/patent/US20150049086A1/en")</f>
        <v>https://patents.google.com/patent/US20150049086A1/en</v>
      </c>
    </row>
    <row r="9505" spans="3:5" x14ac:dyDescent="0.25">
      <c r="C9505" t="s">
        <v>17474</v>
      </c>
      <c r="D9505" t="s">
        <v>17475</v>
      </c>
      <c r="E9505" t="str">
        <f>HYPERLINK("https://patents.google.com/patent/JPH0749952A/en")</f>
        <v>https://patents.google.com/patent/JPH0749952A/en</v>
      </c>
    </row>
    <row r="9506" spans="3:5" x14ac:dyDescent="0.25">
      <c r="C9506" t="s">
        <v>17476</v>
      </c>
      <c r="D9506" t="s">
        <v>17477</v>
      </c>
      <c r="E9506" t="str">
        <f>HYPERLINK("https://patents.google.com/patent/US20050144343A1/en")</f>
        <v>https://patents.google.com/patent/US20050144343A1/en</v>
      </c>
    </row>
    <row r="9507" spans="3:5" x14ac:dyDescent="0.25">
      <c r="C9507" t="s">
        <v>17478</v>
      </c>
      <c r="D9507" t="s">
        <v>17479</v>
      </c>
      <c r="E9507" t="str">
        <f>HYPERLINK("https://patents.google.com/patent/US20140018112A1/en")</f>
        <v>https://patents.google.com/patent/US20140018112A1/en</v>
      </c>
    </row>
    <row r="9508" spans="3:5" x14ac:dyDescent="0.25">
      <c r="C9508" t="s">
        <v>17480</v>
      </c>
      <c r="D9508" t="s">
        <v>17481</v>
      </c>
      <c r="E9508" t="str">
        <f>HYPERLINK("https://patents.google.com/patent/CN201616248U/en")</f>
        <v>https://patents.google.com/patent/CN201616248U/en</v>
      </c>
    </row>
    <row r="9509" spans="3:5" x14ac:dyDescent="0.25">
      <c r="C9509" t="s">
        <v>17482</v>
      </c>
      <c r="D9509" t="s">
        <v>17483</v>
      </c>
      <c r="E9509" t="str">
        <f>HYPERLINK("https://patents.google.com/patent/KR20160090198A/en")</f>
        <v>https://patents.google.com/patent/KR20160090198A/en</v>
      </c>
    </row>
    <row r="9510" spans="3:5" x14ac:dyDescent="0.25">
      <c r="C9510" t="s">
        <v>17484</v>
      </c>
      <c r="D9510" t="s">
        <v>17485</v>
      </c>
      <c r="E9510" t="str">
        <f>HYPERLINK("https://patents.google.com/patent/CN1980406A/en")</f>
        <v>https://patents.google.com/patent/CN1980406A/en</v>
      </c>
    </row>
    <row r="9511" spans="3:5" x14ac:dyDescent="0.25">
      <c r="C9511" t="s">
        <v>17486</v>
      </c>
      <c r="D9511" t="s">
        <v>17487</v>
      </c>
      <c r="E9511" t="str">
        <f>HYPERLINK("https://patents.google.com/patent/JP2006266859A/en")</f>
        <v>https://patents.google.com/patent/JP2006266859A/en</v>
      </c>
    </row>
    <row r="9512" spans="3:5" x14ac:dyDescent="0.25">
      <c r="C9512" t="s">
        <v>17488</v>
      </c>
      <c r="D9512" t="s">
        <v>17489</v>
      </c>
      <c r="E9512" t="str">
        <f>HYPERLINK("https://patents.google.com/patent/CN202715234U/en")</f>
        <v>https://patents.google.com/patent/CN202715234U/en</v>
      </c>
    </row>
    <row r="9513" spans="3:5" x14ac:dyDescent="0.25">
      <c r="C9513" t="s">
        <v>17490</v>
      </c>
      <c r="D9513" t="s">
        <v>17491</v>
      </c>
      <c r="E9513" t="str">
        <f>HYPERLINK("https://patents.google.com/patent/KR100795044B1/en")</f>
        <v>https://patents.google.com/patent/KR100795044B1/en</v>
      </c>
    </row>
    <row r="9514" spans="3:5" x14ac:dyDescent="0.25">
      <c r="C9514" t="s">
        <v>17492</v>
      </c>
      <c r="D9514" t="s">
        <v>17493</v>
      </c>
      <c r="E9514" t="str">
        <f>HYPERLINK("https://patents.google.com/patent/JP2003329779A/en")</f>
        <v>https://patents.google.com/patent/JP2003329779A/en</v>
      </c>
    </row>
    <row r="9515" spans="3:5" x14ac:dyDescent="0.25">
      <c r="C9515" t="s">
        <v>17494</v>
      </c>
      <c r="D9515" t="s">
        <v>17495</v>
      </c>
      <c r="E9515" t="str">
        <f>HYPERLINK("https://patents.google.com/patent/KR101510623B1/en")</f>
        <v>https://patents.google.com/patent/KR101510623B1/en</v>
      </c>
    </row>
    <row r="9516" spans="3:5" x14ac:dyDescent="0.25">
      <c r="C9516" t="s">
        <v>17496</v>
      </c>
      <c r="D9516" t="s">
        <v>17497</v>
      </c>
      <c r="E9516" t="str">
        <f>HYPERLINK("https://patents.google.com/patent/CN1438852A/en")</f>
        <v>https://patents.google.com/patent/CN1438852A/en</v>
      </c>
    </row>
    <row r="9517" spans="3:5" x14ac:dyDescent="0.25">
      <c r="C9517" t="s">
        <v>17498</v>
      </c>
      <c r="D9517" t="s">
        <v>17499</v>
      </c>
      <c r="E9517" t="str">
        <f>HYPERLINK("https://patents.google.com/patent/CN102192742A/en")</f>
        <v>https://patents.google.com/patent/CN102192742A/en</v>
      </c>
    </row>
    <row r="9518" spans="3:5" x14ac:dyDescent="0.25">
      <c r="C9518" t="s">
        <v>17500</v>
      </c>
      <c r="D9518" t="s">
        <v>17501</v>
      </c>
      <c r="E9518" t="str">
        <f>HYPERLINK("https://patents.google.com/patent/KR20060042579A/en")</f>
        <v>https://patents.google.com/patent/KR20060042579A/en</v>
      </c>
    </row>
    <row r="9519" spans="3:5" x14ac:dyDescent="0.25">
      <c r="C9519" t="s">
        <v>17502</v>
      </c>
      <c r="D9519" t="s">
        <v>17503</v>
      </c>
      <c r="E9519" t="str">
        <f>HYPERLINK("https://patents.google.com/patent/JP2010072818A/en")</f>
        <v>https://patents.google.com/patent/JP2010072818A/en</v>
      </c>
    </row>
    <row r="9520" spans="3:5" x14ac:dyDescent="0.25">
      <c r="C9520" t="s">
        <v>17504</v>
      </c>
      <c r="D9520" t="s">
        <v>17505</v>
      </c>
      <c r="E9520" t="str">
        <f>HYPERLINK("https://patents.google.com/patent/US20100272085A1/en")</f>
        <v>https://patents.google.com/patent/US20100272085A1/en</v>
      </c>
    </row>
    <row r="9521" spans="3:5" x14ac:dyDescent="0.25">
      <c r="C9521" t="s">
        <v>17506</v>
      </c>
      <c r="D9521" t="s">
        <v>17507</v>
      </c>
      <c r="E9521" t="str">
        <f>HYPERLINK("https://patents.google.com/patent/CN101094137A/en")</f>
        <v>https://patents.google.com/patent/CN101094137A/en</v>
      </c>
    </row>
    <row r="9522" spans="3:5" x14ac:dyDescent="0.25">
      <c r="C9522" t="s">
        <v>17508</v>
      </c>
      <c r="D9522" t="s">
        <v>17509</v>
      </c>
      <c r="E9522" t="str">
        <f>HYPERLINK("https://patents.google.com/patent/US9538332B1/en")</f>
        <v>https://patents.google.com/patent/US9538332B1/en</v>
      </c>
    </row>
    <row r="9523" spans="3:5" x14ac:dyDescent="0.25">
      <c r="C9523" t="s">
        <v>17510</v>
      </c>
      <c r="D9523" t="s">
        <v>17511</v>
      </c>
      <c r="E9523" t="str">
        <f>HYPERLINK("https://patents.google.com/patent/US8175794B1/en")</f>
        <v>https://patents.google.com/patent/US8175794B1/en</v>
      </c>
    </row>
    <row r="9524" spans="3:5" x14ac:dyDescent="0.25">
      <c r="C9524" t="s">
        <v>17512</v>
      </c>
      <c r="D9524" t="s">
        <v>17513</v>
      </c>
      <c r="E9524" t="str">
        <f>HYPERLINK("https://patents.google.com/patent/CN102594900A/en")</f>
        <v>https://patents.google.com/patent/CN102594900A/en</v>
      </c>
    </row>
    <row r="9525" spans="3:5" x14ac:dyDescent="0.25">
      <c r="C9525" t="s">
        <v>17514</v>
      </c>
      <c r="D9525" t="s">
        <v>17515</v>
      </c>
      <c r="E9525" t="str">
        <f>HYPERLINK("https://patents.google.com/patent/US8104672B2/en")</f>
        <v>https://patents.google.com/patent/US8104672B2/en</v>
      </c>
    </row>
    <row r="9526" spans="3:5" x14ac:dyDescent="0.25">
      <c r="C9526" t="s">
        <v>17516</v>
      </c>
      <c r="D9526" t="s">
        <v>17517</v>
      </c>
      <c r="E9526" t="str">
        <f>HYPERLINK("https://patents.google.com/patent/KR100990670B1/en")</f>
        <v>https://patents.google.com/patent/KR100990670B1/en</v>
      </c>
    </row>
    <row r="9527" spans="3:5" x14ac:dyDescent="0.25">
      <c r="C9527" t="s">
        <v>17518</v>
      </c>
      <c r="D9527" t="s">
        <v>17519</v>
      </c>
      <c r="E9527" t="str">
        <f>HYPERLINK("https://patents.google.com/patent/JP2000076488A/en")</f>
        <v>https://patents.google.com/patent/JP2000076488A/en</v>
      </c>
    </row>
    <row r="9528" spans="3:5" x14ac:dyDescent="0.25">
      <c r="C9528" t="s">
        <v>17520</v>
      </c>
      <c r="D9528" t="s">
        <v>17521</v>
      </c>
      <c r="E9528" t="str">
        <f>HYPERLINK("https://patents.google.com/patent/US20150332505A1/en")</f>
        <v>https://patents.google.com/patent/US20150332505A1/en</v>
      </c>
    </row>
    <row r="9529" spans="3:5" x14ac:dyDescent="0.25">
      <c r="C9529" t="s">
        <v>17522</v>
      </c>
      <c r="D9529" t="s">
        <v>17523</v>
      </c>
      <c r="E9529" t="str">
        <f>HYPERLINK("https://patents.google.com/patent/CN1668936A/en")</f>
        <v>https://patents.google.com/patent/CN1668936A/en</v>
      </c>
    </row>
    <row r="9530" spans="3:5" x14ac:dyDescent="0.25">
      <c r="C9530" t="s">
        <v>17524</v>
      </c>
      <c r="D9530" t="s">
        <v>17525</v>
      </c>
      <c r="E9530" t="str">
        <f>HYPERLINK("https://patents.google.com/patent/WO1998011747A1/en")</f>
        <v>https://patents.google.com/patent/WO1998011747A1/en</v>
      </c>
    </row>
    <row r="9531" spans="3:5" x14ac:dyDescent="0.25">
      <c r="C9531" t="s">
        <v>17526</v>
      </c>
      <c r="D9531" t="s">
        <v>17527</v>
      </c>
      <c r="E9531" t="str">
        <f>HYPERLINK("https://patents.google.com/patent/US20140282192A1/en")</f>
        <v>https://patents.google.com/patent/US20140282192A1/en</v>
      </c>
    </row>
    <row r="9532" spans="3:5" x14ac:dyDescent="0.25">
      <c r="C9532" t="s">
        <v>17528</v>
      </c>
      <c r="D9532" t="s">
        <v>17529</v>
      </c>
      <c r="E9532" t="str">
        <f>HYPERLINK("https://patents.google.com/patent/CN103438895A/en")</f>
        <v>https://patents.google.com/patent/CN103438895A/en</v>
      </c>
    </row>
    <row r="9533" spans="3:5" x14ac:dyDescent="0.25">
      <c r="C9533" t="s">
        <v>17530</v>
      </c>
      <c r="D9533" t="s">
        <v>17531</v>
      </c>
      <c r="E9533" t="str">
        <f>HYPERLINK("https://patents.google.com/patent/US20090322493A1/en")</f>
        <v>https://patents.google.com/patent/US20090322493A1/en</v>
      </c>
    </row>
    <row r="9534" spans="3:5" x14ac:dyDescent="0.25">
      <c r="C9534" t="s">
        <v>17532</v>
      </c>
      <c r="D9534" t="s">
        <v>17533</v>
      </c>
      <c r="E9534" t="str">
        <f>HYPERLINK("https://patents.google.com/patent/JP2005109919A/en")</f>
        <v>https://patents.google.com/patent/JP2005109919A/en</v>
      </c>
    </row>
    <row r="9535" spans="3:5" x14ac:dyDescent="0.25">
      <c r="C9535" t="s">
        <v>17534</v>
      </c>
      <c r="D9535" t="s">
        <v>17535</v>
      </c>
      <c r="E9535" t="str">
        <f>HYPERLINK("https://patents.google.com/patent/KR20030025099A/en")</f>
        <v>https://patents.google.com/patent/KR20030025099A/en</v>
      </c>
    </row>
    <row r="9536" spans="3:5" x14ac:dyDescent="0.25">
      <c r="C9536" t="s">
        <v>17536</v>
      </c>
      <c r="D9536" t="s">
        <v>17537</v>
      </c>
      <c r="E9536" t="str">
        <f>HYPERLINK("https://patents.google.com/patent/US20160218387A1/en")</f>
        <v>https://patents.google.com/patent/US20160218387A1/en</v>
      </c>
    </row>
    <row r="9537" spans="3:5" x14ac:dyDescent="0.25">
      <c r="C9537" t="s">
        <v>17538</v>
      </c>
      <c r="D9537" t="s">
        <v>17539</v>
      </c>
      <c r="E9537" t="str">
        <f>HYPERLINK("https://patents.google.com/patent/KR101770648B1/en")</f>
        <v>https://patents.google.com/patent/KR101770648B1/en</v>
      </c>
    </row>
    <row r="9538" spans="3:5" x14ac:dyDescent="0.25">
      <c r="C9538" t="s">
        <v>17540</v>
      </c>
      <c r="D9538" t="s">
        <v>17541</v>
      </c>
      <c r="E9538" t="str">
        <f>HYPERLINK("https://patents.google.com/patent/KR100456986B1/en")</f>
        <v>https://patents.google.com/patent/KR100456986B1/en</v>
      </c>
    </row>
    <row r="9539" spans="3:5" x14ac:dyDescent="0.25">
      <c r="C9539" t="s">
        <v>17239</v>
      </c>
      <c r="D9539" t="s">
        <v>17542</v>
      </c>
      <c r="E9539" t="str">
        <f>HYPERLINK("https://patents.google.com/patent/CN1575422A/en")</f>
        <v>https://patents.google.com/patent/CN1575422A/en</v>
      </c>
    </row>
    <row r="9540" spans="3:5" x14ac:dyDescent="0.25">
      <c r="C9540" t="s">
        <v>17543</v>
      </c>
      <c r="D9540" t="s">
        <v>17544</v>
      </c>
      <c r="E9540" t="str">
        <f>HYPERLINK("https://patents.google.com/patent/KR100588493B1/en")</f>
        <v>https://patents.google.com/patent/KR100588493B1/en</v>
      </c>
    </row>
    <row r="9541" spans="3:5" x14ac:dyDescent="0.25">
      <c r="C9541" t="s">
        <v>17139</v>
      </c>
      <c r="D9541" t="s">
        <v>17545</v>
      </c>
      <c r="E9541" t="str">
        <f>HYPERLINK("https://patents.google.com/patent/EP2993602A1/en")</f>
        <v>https://patents.google.com/patent/EP2993602A1/en</v>
      </c>
    </row>
    <row r="9542" spans="3:5" x14ac:dyDescent="0.25">
      <c r="C9542" t="s">
        <v>17546</v>
      </c>
      <c r="D9542" t="s">
        <v>17547</v>
      </c>
      <c r="E9542" t="str">
        <f>HYPERLINK("https://patents.google.com/patent/WO2010043255A1/en")</f>
        <v>https://patents.google.com/patent/WO2010043255A1/en</v>
      </c>
    </row>
    <row r="9543" spans="3:5" x14ac:dyDescent="0.25">
      <c r="C9543" t="s">
        <v>17548</v>
      </c>
      <c r="D9543" t="s">
        <v>17549</v>
      </c>
      <c r="E9543" t="str">
        <f>HYPERLINK("https://patents.google.com/patent/CN105136136B/en")</f>
        <v>https://patents.google.com/patent/CN105136136B/en</v>
      </c>
    </row>
    <row r="9544" spans="3:5" x14ac:dyDescent="0.25">
      <c r="C9544" t="s">
        <v>17550</v>
      </c>
      <c r="D9544" t="s">
        <v>17551</v>
      </c>
      <c r="E9544" t="str">
        <f>HYPERLINK("https://patents.google.com/patent/CN201061167Y/en")</f>
        <v>https://patents.google.com/patent/CN201061167Y/en</v>
      </c>
    </row>
    <row r="9545" spans="3:5" x14ac:dyDescent="0.25">
      <c r="C9545" t="s">
        <v>17552</v>
      </c>
      <c r="D9545" t="s">
        <v>17553</v>
      </c>
      <c r="E9545" t="str">
        <f>HYPERLINK("https://patents.google.com/patent/KR20170129689A/en")</f>
        <v>https://patents.google.com/patent/KR20170129689A/en</v>
      </c>
    </row>
    <row r="9546" spans="3:5" x14ac:dyDescent="0.25">
      <c r="C9546" t="s">
        <v>17554</v>
      </c>
      <c r="D9546" t="s">
        <v>17555</v>
      </c>
      <c r="E9546" t="str">
        <f>HYPERLINK("https://patents.google.com/patent/CN106303954A/en")</f>
        <v>https://patents.google.com/patent/CN106303954A/en</v>
      </c>
    </row>
    <row r="9547" spans="3:5" x14ac:dyDescent="0.25">
      <c r="C9547" t="s">
        <v>17556</v>
      </c>
      <c r="D9547" t="s">
        <v>17557</v>
      </c>
      <c r="E9547" t="str">
        <f>HYPERLINK("https://patents.google.com/patent/CN102322872B/en")</f>
        <v>https://patents.google.com/patent/CN102322872B/en</v>
      </c>
    </row>
    <row r="9548" spans="3:5" x14ac:dyDescent="0.25">
      <c r="C9548" t="s">
        <v>17558</v>
      </c>
      <c r="D9548" t="s">
        <v>17559</v>
      </c>
      <c r="E9548" t="str">
        <f>HYPERLINK("https://patents.google.com/patent/WO2003023733A1/en")</f>
        <v>https://patents.google.com/patent/WO2003023733A1/en</v>
      </c>
    </row>
    <row r="9549" spans="3:5" x14ac:dyDescent="0.25">
      <c r="C9549" t="s">
        <v>17560</v>
      </c>
      <c r="D9549" t="s">
        <v>17561</v>
      </c>
      <c r="E9549" t="str">
        <f>HYPERLINK("https://patents.google.com/patent/KR20180001217A/en")</f>
        <v>https://patents.google.com/patent/KR20180001217A/en</v>
      </c>
    </row>
    <row r="9550" spans="3:5" x14ac:dyDescent="0.25">
      <c r="C9550" t="s">
        <v>17562</v>
      </c>
      <c r="D9550" t="s">
        <v>17563</v>
      </c>
      <c r="E9550" t="str">
        <f>HYPERLINK("https://patents.google.com/patent/JP2015225025A/en")</f>
        <v>https://patents.google.com/patent/JP2015225025A/en</v>
      </c>
    </row>
    <row r="9551" spans="3:5" x14ac:dyDescent="0.25">
      <c r="C9551" t="s">
        <v>17564</v>
      </c>
      <c r="D9551" t="s">
        <v>17565</v>
      </c>
      <c r="E9551" t="str">
        <f>HYPERLINK("https://patents.google.com/patent/CN104849740A/en")</f>
        <v>https://patents.google.com/patent/CN104849740A/en</v>
      </c>
    </row>
    <row r="9552" spans="3:5" x14ac:dyDescent="0.25">
      <c r="C9552" t="s">
        <v>17566</v>
      </c>
      <c r="D9552" t="s">
        <v>17567</v>
      </c>
      <c r="E9552" t="str">
        <f>HYPERLINK("https://patents.google.com/patent/CN103607701A/en")</f>
        <v>https://patents.google.com/patent/CN103607701A/en</v>
      </c>
    </row>
    <row r="9553" spans="3:5" x14ac:dyDescent="0.25">
      <c r="C9553" t="s">
        <v>17568</v>
      </c>
      <c r="D9553" t="s">
        <v>17569</v>
      </c>
      <c r="E9553" t="str">
        <f>HYPERLINK("https://patents.google.com/patent/CN103237291A/en")</f>
        <v>https://patents.google.com/patent/CN103237291A/en</v>
      </c>
    </row>
    <row r="9554" spans="3:5" x14ac:dyDescent="0.25">
      <c r="C9554" t="s">
        <v>17520</v>
      </c>
      <c r="D9554" t="s">
        <v>17570</v>
      </c>
      <c r="E9554" t="str">
        <f>HYPERLINK("https://patents.google.com/patent/US20150332504A1/en")</f>
        <v>https://patents.google.com/patent/US20150332504A1/en</v>
      </c>
    </row>
    <row r="9555" spans="3:5" x14ac:dyDescent="0.25">
      <c r="C9555" t="s">
        <v>17571</v>
      </c>
      <c r="D9555" t="s">
        <v>17572</v>
      </c>
      <c r="E9555" t="str">
        <f>HYPERLINK("https://patents.google.com/patent/KR100898824B1/en")</f>
        <v>https://patents.google.com/patent/KR100898824B1/en</v>
      </c>
    </row>
    <row r="9556" spans="3:5" x14ac:dyDescent="0.25">
      <c r="C9556" t="s">
        <v>17573</v>
      </c>
      <c r="D9556" t="s">
        <v>17574</v>
      </c>
      <c r="E9556" t="str">
        <f>HYPERLINK("https://patents.google.com/patent/US20160247098A1/en")</f>
        <v>https://patents.google.com/patent/US20160247098A1/en</v>
      </c>
    </row>
    <row r="9557" spans="3:5" x14ac:dyDescent="0.25">
      <c r="C9557" t="s">
        <v>17575</v>
      </c>
      <c r="D9557" t="s">
        <v>17576</v>
      </c>
      <c r="E9557" t="str">
        <f>HYPERLINK("https://patents.google.com/patent/CN2177200Y/en")</f>
        <v>https://patents.google.com/patent/CN2177200Y/en</v>
      </c>
    </row>
    <row r="9558" spans="3:5" x14ac:dyDescent="0.25">
      <c r="C9558" t="s">
        <v>17577</v>
      </c>
      <c r="D9558" t="s">
        <v>17578</v>
      </c>
      <c r="E9558" t="str">
        <f>HYPERLINK("https://patents.google.com/patent/US10104494B2/en")</f>
        <v>https://patents.google.com/patent/US10104494B2/en</v>
      </c>
    </row>
    <row r="9559" spans="3:5" x14ac:dyDescent="0.25">
      <c r="C9559" t="s">
        <v>17579</v>
      </c>
      <c r="D9559" t="s">
        <v>17580</v>
      </c>
      <c r="E9559" t="str">
        <f>HYPERLINK("https://patents.google.com/patent/KR200391756Y1/en")</f>
        <v>https://patents.google.com/patent/KR200391756Y1/en</v>
      </c>
    </row>
    <row r="9560" spans="3:5" x14ac:dyDescent="0.25">
      <c r="C9560" t="s">
        <v>17581</v>
      </c>
      <c r="D9560" t="s">
        <v>17582</v>
      </c>
      <c r="E9560" t="str">
        <f>HYPERLINK("https://patents.google.com/patent/US20150011204A1/en")</f>
        <v>https://patents.google.com/patent/US20150011204A1/en</v>
      </c>
    </row>
    <row r="9561" spans="3:5" x14ac:dyDescent="0.25">
      <c r="C9561" t="s">
        <v>17583</v>
      </c>
      <c r="D9561" t="s">
        <v>17584</v>
      </c>
      <c r="E9561" t="str">
        <f>HYPERLINK("https://patents.google.com/patent/CN104266658A/en")</f>
        <v>https://patents.google.com/patent/CN104266658A/en</v>
      </c>
    </row>
    <row r="9562" spans="3:5" x14ac:dyDescent="0.25">
      <c r="C9562" t="s">
        <v>17585</v>
      </c>
      <c r="D9562" t="s">
        <v>17586</v>
      </c>
      <c r="E9562" t="str">
        <f>HYPERLINK("https://patents.google.com/patent/CN101871785A/en")</f>
        <v>https://patents.google.com/patent/CN101871785A/en</v>
      </c>
    </row>
    <row r="9563" spans="3:5" x14ac:dyDescent="0.25">
      <c r="C9563" t="s">
        <v>17587</v>
      </c>
      <c r="D9563" t="s">
        <v>17588</v>
      </c>
      <c r="E9563" t="str">
        <f>HYPERLINK("https://patents.google.com/patent/KR101022975B1/en")</f>
        <v>https://patents.google.com/patent/KR101022975B1/en</v>
      </c>
    </row>
    <row r="9564" spans="3:5" x14ac:dyDescent="0.25">
      <c r="C9564" t="s">
        <v>17589</v>
      </c>
      <c r="D9564" t="s">
        <v>17590</v>
      </c>
      <c r="E9564" t="str">
        <f>HYPERLINK("https://patents.google.com/patent/CN105371847A/en")</f>
        <v>https://patents.google.com/patent/CN105371847A/en</v>
      </c>
    </row>
    <row r="9565" spans="3:5" x14ac:dyDescent="0.25">
      <c r="C9565" t="s">
        <v>17591</v>
      </c>
      <c r="D9565" t="s">
        <v>17592</v>
      </c>
      <c r="E9565" t="str">
        <f>HYPERLINK("https://patents.google.com/patent/US20170187852A1/en")</f>
        <v>https://patents.google.com/patent/US20170187852A1/en</v>
      </c>
    </row>
    <row r="9566" spans="3:5" x14ac:dyDescent="0.25">
      <c r="C9566" t="s">
        <v>17593</v>
      </c>
      <c r="D9566" t="s">
        <v>17594</v>
      </c>
      <c r="E9566" t="str">
        <f>HYPERLINK("https://patents.google.com/patent/KR20090018425A/en")</f>
        <v>https://patents.google.com/patent/KR20090018425A/en</v>
      </c>
    </row>
    <row r="9567" spans="3:5" x14ac:dyDescent="0.25">
      <c r="C9567" t="s">
        <v>17595</v>
      </c>
      <c r="D9567" t="s">
        <v>17596</v>
      </c>
      <c r="E9567" t="str">
        <f>HYPERLINK("https://patents.google.com/patent/US20140266782A1/en")</f>
        <v>https://patents.google.com/patent/US20140266782A1/en</v>
      </c>
    </row>
    <row r="9568" spans="3:5" x14ac:dyDescent="0.25">
      <c r="C9568" t="s">
        <v>17597</v>
      </c>
      <c r="D9568" t="s">
        <v>17598</v>
      </c>
      <c r="E9568" t="str">
        <f>HYPERLINK("https://patents.google.com/patent/US20160202076A1/en")</f>
        <v>https://patents.google.com/patent/US20160202076A1/en</v>
      </c>
    </row>
    <row r="9569" spans="1:5" x14ac:dyDescent="0.25">
      <c r="C9569" t="s">
        <v>17599</v>
      </c>
      <c r="D9569" t="s">
        <v>17600</v>
      </c>
      <c r="E9569" t="str">
        <f>HYPERLINK("https://patents.google.com/patent/KR200384695Y1/en")</f>
        <v>https://patents.google.com/patent/KR200384695Y1/en</v>
      </c>
    </row>
    <row r="9570" spans="1:5" x14ac:dyDescent="0.25">
      <c r="C9570" t="s">
        <v>17601</v>
      </c>
      <c r="D9570" t="s">
        <v>17602</v>
      </c>
      <c r="E9570" t="str">
        <f>HYPERLINK("https://patents.google.com/patent/US20140194192A1/en")</f>
        <v>https://patents.google.com/patent/US20140194192A1/en</v>
      </c>
    </row>
    <row r="9571" spans="1:5" x14ac:dyDescent="0.25">
      <c r="C9571" t="s">
        <v>17603</v>
      </c>
      <c r="D9571" t="s">
        <v>17604</v>
      </c>
      <c r="E9571" t="str">
        <f>HYPERLINK("https://patents.google.com/patent/US9472080B1/en")</f>
        <v>https://patents.google.com/patent/US9472080B1/en</v>
      </c>
    </row>
    <row r="9572" spans="1:5" x14ac:dyDescent="0.25">
      <c r="C9572" t="s">
        <v>17605</v>
      </c>
      <c r="D9572" t="s">
        <v>17606</v>
      </c>
      <c r="E9572" t="str">
        <f>HYPERLINK("https://patents.google.com/patent/CN108345629A/en")</f>
        <v>https://patents.google.com/patent/CN108345629A/en</v>
      </c>
    </row>
    <row r="9573" spans="1:5" x14ac:dyDescent="0.25">
      <c r="C9573" t="s">
        <v>17607</v>
      </c>
      <c r="D9573" t="s">
        <v>17608</v>
      </c>
      <c r="E9573" t="str">
        <f>HYPERLINK("https://patents.google.com/patent/US20140099975A1/en")</f>
        <v>https://patents.google.com/patent/US20140099975A1/en</v>
      </c>
    </row>
    <row r="9574" spans="1:5" x14ac:dyDescent="0.25">
      <c r="C9574" t="s">
        <v>17609</v>
      </c>
      <c r="D9574" t="s">
        <v>17610</v>
      </c>
      <c r="E9574" t="str">
        <f>HYPERLINK("https://patents.google.com/patent/JP2004110459A/en")</f>
        <v>https://patents.google.com/patent/JP2004110459A/en</v>
      </c>
    </row>
    <row r="9575" spans="1:5" x14ac:dyDescent="0.25">
      <c r="C9575" t="s">
        <v>17611</v>
      </c>
      <c r="D9575" t="s">
        <v>17612</v>
      </c>
      <c r="E9575" t="str">
        <f>HYPERLINK("https://patents.google.com/patent/JP2003043930A/en")</f>
        <v>https://patents.google.com/patent/JP2003043930A/en</v>
      </c>
    </row>
    <row r="9576" spans="1:5" x14ac:dyDescent="0.25">
      <c r="C9576" t="s">
        <v>17613</v>
      </c>
      <c r="D9576" t="s">
        <v>17614</v>
      </c>
      <c r="E9576" t="str">
        <f>HYPERLINK("https://patents.google.com/patent/US9984556B1/en")</f>
        <v>https://patents.google.com/patent/US9984556B1/en</v>
      </c>
    </row>
    <row r="9577" spans="1:5" x14ac:dyDescent="0.25">
      <c r="C9577" t="s">
        <v>17615</v>
      </c>
      <c r="D9577" t="s">
        <v>17616</v>
      </c>
      <c r="E9577" t="str">
        <f>HYPERLINK("https://patents.google.com/patent/US9881484B1/en")</f>
        <v>https://patents.google.com/patent/US9881484B1/en</v>
      </c>
    </row>
    <row r="9578" spans="1:5" x14ac:dyDescent="0.25">
      <c r="C9578" t="s">
        <v>17617</v>
      </c>
      <c r="D9578" t="s">
        <v>17618</v>
      </c>
      <c r="E9578" t="str">
        <f>HYPERLINK("https://patents.google.com/patent/US9836885B1/en")</f>
        <v>https://patents.google.com/patent/US9836885B1/en</v>
      </c>
    </row>
    <row r="9579" spans="1:5" x14ac:dyDescent="0.25">
      <c r="A9579" t="s">
        <v>1376</v>
      </c>
      <c r="B9579">
        <v>603</v>
      </c>
    </row>
    <row r="9580" spans="1:5" x14ac:dyDescent="0.25">
      <c r="C9580" t="s">
        <v>17619</v>
      </c>
      <c r="D9580" t="s">
        <v>17620</v>
      </c>
      <c r="E9580" t="str">
        <f>HYPERLINK("https://patents.google.com/patent/CN104914865A/en")</f>
        <v>https://patents.google.com/patent/CN104914865A/en</v>
      </c>
    </row>
    <row r="9581" spans="1:5" x14ac:dyDescent="0.25">
      <c r="C9581" t="s">
        <v>17621</v>
      </c>
      <c r="D9581" t="s">
        <v>17622</v>
      </c>
      <c r="E9581" t="str">
        <f>HYPERLINK("https://patents.google.com/patent/US20140009561A1/en")</f>
        <v>https://patents.google.com/patent/US20140009561A1/en</v>
      </c>
    </row>
    <row r="9582" spans="1:5" x14ac:dyDescent="0.25">
      <c r="C9582" t="s">
        <v>17621</v>
      </c>
      <c r="D9582" t="s">
        <v>17623</v>
      </c>
      <c r="E9582" t="str">
        <f>HYPERLINK("https://patents.google.com/patent/US20150190927A1/en")</f>
        <v>https://patents.google.com/patent/US20150190927A1/en</v>
      </c>
    </row>
    <row r="9583" spans="1:5" x14ac:dyDescent="0.25">
      <c r="C9583" t="s">
        <v>17624</v>
      </c>
      <c r="D9583" t="s">
        <v>17625</v>
      </c>
      <c r="E9583" t="str">
        <f>HYPERLINK("https://patents.google.com/patent/US6237647B1/en")</f>
        <v>https://patents.google.com/patent/US6237647B1/en</v>
      </c>
    </row>
    <row r="9584" spans="1:5" x14ac:dyDescent="0.25">
      <c r="C9584" t="s">
        <v>16014</v>
      </c>
      <c r="D9584" t="s">
        <v>17626</v>
      </c>
      <c r="E9584" t="str">
        <f>HYPERLINK("https://patents.google.com/patent/US7465212B2/en")</f>
        <v>https://patents.google.com/patent/US7465212B2/en</v>
      </c>
    </row>
    <row r="9585" spans="3:5" x14ac:dyDescent="0.25">
      <c r="C9585" t="s">
        <v>17627</v>
      </c>
      <c r="D9585" t="s">
        <v>17628</v>
      </c>
      <c r="E9585" t="str">
        <f>HYPERLINK("https://patents.google.com/patent/US7442108B2/en")</f>
        <v>https://patents.google.com/patent/US7442108B2/en</v>
      </c>
    </row>
    <row r="9586" spans="3:5" x14ac:dyDescent="0.25">
      <c r="C9586" t="s">
        <v>15356</v>
      </c>
      <c r="D9586" t="s">
        <v>17629</v>
      </c>
      <c r="E9586" t="str">
        <f>HYPERLINK("https://patents.google.com/patent/US6791472B1/en")</f>
        <v>https://patents.google.com/patent/US6791472B1/en</v>
      </c>
    </row>
    <row r="9587" spans="3:5" x14ac:dyDescent="0.25">
      <c r="C9587" t="s">
        <v>17630</v>
      </c>
      <c r="D9587" t="s">
        <v>17631</v>
      </c>
      <c r="E9587" t="str">
        <f>HYPERLINK("https://patents.google.com/patent/US6357292B1/en")</f>
        <v>https://patents.google.com/patent/US6357292B1/en</v>
      </c>
    </row>
    <row r="9588" spans="3:5" x14ac:dyDescent="0.25">
      <c r="C9588" t="s">
        <v>17630</v>
      </c>
      <c r="D9588" t="s">
        <v>17632</v>
      </c>
      <c r="E9588" t="str">
        <f>HYPERLINK("https://patents.google.com/patent/US6672151B1/en")</f>
        <v>https://patents.google.com/patent/US6672151B1/en</v>
      </c>
    </row>
    <row r="9589" spans="3:5" x14ac:dyDescent="0.25">
      <c r="C9589" t="s">
        <v>17633</v>
      </c>
      <c r="D9589" t="s">
        <v>17634</v>
      </c>
      <c r="E9589" t="str">
        <f>HYPERLINK("https://patents.google.com/patent/US6584375B2/en")</f>
        <v>https://patents.google.com/patent/US6584375B2/en</v>
      </c>
    </row>
    <row r="9590" spans="3:5" x14ac:dyDescent="0.25">
      <c r="C9590" t="s">
        <v>17635</v>
      </c>
      <c r="D9590" t="s">
        <v>17636</v>
      </c>
      <c r="E9590" t="str">
        <f>HYPERLINK("https://patents.google.com/patent/US4361202A/en")</f>
        <v>https://patents.google.com/patent/US4361202A/en</v>
      </c>
    </row>
    <row r="9591" spans="3:5" x14ac:dyDescent="0.25">
      <c r="C9591" t="s">
        <v>17637</v>
      </c>
      <c r="D9591" t="s">
        <v>17638</v>
      </c>
      <c r="E9591" t="str">
        <f>HYPERLINK("https://patents.google.com/patent/US7085624B2/en")</f>
        <v>https://patents.google.com/patent/US7085624B2/en</v>
      </c>
    </row>
    <row r="9592" spans="3:5" x14ac:dyDescent="0.25">
      <c r="C9592" t="s">
        <v>17639</v>
      </c>
      <c r="D9592" t="s">
        <v>17640</v>
      </c>
      <c r="E9592" t="str">
        <f>HYPERLINK("https://patents.google.com/patent/US5882206A/en")</f>
        <v>https://patents.google.com/patent/US5882206A/en</v>
      </c>
    </row>
    <row r="9593" spans="3:5" x14ac:dyDescent="0.25">
      <c r="C9593" t="s">
        <v>17641</v>
      </c>
      <c r="D9593" t="s">
        <v>17642</v>
      </c>
      <c r="E9593" t="str">
        <f>HYPERLINK("https://patents.google.com/patent/US5682313A/en")</f>
        <v>https://patents.google.com/patent/US5682313A/en</v>
      </c>
    </row>
    <row r="9594" spans="3:5" x14ac:dyDescent="0.25">
      <c r="C9594" t="s">
        <v>16270</v>
      </c>
      <c r="D9594" t="s">
        <v>17643</v>
      </c>
      <c r="E9594" t="str">
        <f>HYPERLINK("https://patents.google.com/patent/US7226367B2/en")</f>
        <v>https://patents.google.com/patent/US7226367B2/en</v>
      </c>
    </row>
    <row r="9595" spans="3:5" x14ac:dyDescent="0.25">
      <c r="C9595" t="s">
        <v>16014</v>
      </c>
      <c r="D9595" t="s">
        <v>17644</v>
      </c>
      <c r="E9595" t="str">
        <f>HYPERLINK("https://patents.google.com/patent/US7677948B2/en")</f>
        <v>https://patents.google.com/patent/US7677948B2/en</v>
      </c>
    </row>
    <row r="9596" spans="3:5" x14ac:dyDescent="0.25">
      <c r="C9596" t="s">
        <v>17645</v>
      </c>
      <c r="D9596" t="s">
        <v>17646</v>
      </c>
      <c r="E9596" t="str">
        <f>HYPERLINK("https://patents.google.com/patent/US8718837B2/en")</f>
        <v>https://patents.google.com/patent/US8718837B2/en</v>
      </c>
    </row>
    <row r="9597" spans="3:5" x14ac:dyDescent="0.25">
      <c r="C9597" t="s">
        <v>17647</v>
      </c>
      <c r="D9597" t="s">
        <v>17648</v>
      </c>
      <c r="E9597" t="str">
        <f>HYPERLINK("https://patents.google.com/patent/US4779203A/en")</f>
        <v>https://patents.google.com/patent/US4779203A/en</v>
      </c>
    </row>
    <row r="9598" spans="3:5" x14ac:dyDescent="0.25">
      <c r="C9598" t="s">
        <v>17649</v>
      </c>
      <c r="D9598" t="s">
        <v>17650</v>
      </c>
      <c r="E9598" t="str">
        <f>HYPERLINK("https://patents.google.com/patent/US7751285B1/en")</f>
        <v>https://patents.google.com/patent/US7751285B1/en</v>
      </c>
    </row>
    <row r="9599" spans="3:5" x14ac:dyDescent="0.25">
      <c r="C9599" t="s">
        <v>17651</v>
      </c>
      <c r="D9599" t="s">
        <v>17652</v>
      </c>
      <c r="E9599" t="str">
        <f>HYPERLINK("https://patents.google.com/patent/US4815008A/en")</f>
        <v>https://patents.google.com/patent/US4815008A/en</v>
      </c>
    </row>
    <row r="9600" spans="3:5" x14ac:dyDescent="0.25">
      <c r="C9600" t="s">
        <v>17653</v>
      </c>
      <c r="D9600" t="s">
        <v>17654</v>
      </c>
      <c r="E9600" t="str">
        <f>HYPERLINK("https://patents.google.com/patent/US8180486B2/en")</f>
        <v>https://patents.google.com/patent/US8180486B2/en</v>
      </c>
    </row>
    <row r="9601" spans="3:5" x14ac:dyDescent="0.25">
      <c r="C9601" t="s">
        <v>17655</v>
      </c>
      <c r="D9601" t="s">
        <v>17656</v>
      </c>
      <c r="E9601" t="str">
        <f>HYPERLINK("https://patents.google.com/patent/US7206753B2/en")</f>
        <v>https://patents.google.com/patent/US7206753B2/en</v>
      </c>
    </row>
    <row r="9602" spans="3:5" x14ac:dyDescent="0.25">
      <c r="C9602" t="s">
        <v>17657</v>
      </c>
      <c r="D9602" t="s">
        <v>17658</v>
      </c>
      <c r="E9602" t="str">
        <f>HYPERLINK("https://patents.google.com/patent/CN203386240U/en")</f>
        <v>https://patents.google.com/patent/CN203386240U/en</v>
      </c>
    </row>
    <row r="9603" spans="3:5" x14ac:dyDescent="0.25">
      <c r="C9603" t="s">
        <v>17659</v>
      </c>
      <c r="D9603" t="s">
        <v>17660</v>
      </c>
      <c r="E9603" t="str">
        <f>HYPERLINK("https://patents.google.com/patent/US8380349B1/en")</f>
        <v>https://patents.google.com/patent/US8380349B1/en</v>
      </c>
    </row>
    <row r="9604" spans="3:5" x14ac:dyDescent="0.25">
      <c r="C9604" t="s">
        <v>17661</v>
      </c>
      <c r="D9604" t="s">
        <v>17662</v>
      </c>
      <c r="E9604" t="str">
        <f>HYPERLINK("https://patents.google.com/patent/US5827167A/en")</f>
        <v>https://patents.google.com/patent/US5827167A/en</v>
      </c>
    </row>
    <row r="9605" spans="3:5" x14ac:dyDescent="0.25">
      <c r="C9605" t="s">
        <v>17663</v>
      </c>
      <c r="D9605" t="s">
        <v>17664</v>
      </c>
      <c r="E9605" t="str">
        <f>HYPERLINK("https://patents.google.com/patent/US7818090B2/en")</f>
        <v>https://patents.google.com/patent/US7818090B2/en</v>
      </c>
    </row>
    <row r="9606" spans="3:5" x14ac:dyDescent="0.25">
      <c r="C9606" t="s">
        <v>17665</v>
      </c>
      <c r="D9606" t="s">
        <v>17666</v>
      </c>
      <c r="E9606" t="str">
        <f>HYPERLINK("https://patents.google.com/patent/US7680775B2/en")</f>
        <v>https://patents.google.com/patent/US7680775B2/en</v>
      </c>
    </row>
    <row r="9607" spans="3:5" x14ac:dyDescent="0.25">
      <c r="C9607" t="s">
        <v>17667</v>
      </c>
      <c r="D9607" t="s">
        <v>17668</v>
      </c>
      <c r="E9607" t="str">
        <f>HYPERLINK("https://patents.google.com/patent/US20140347265A1/en")</f>
        <v>https://patents.google.com/patent/US20140347265A1/en</v>
      </c>
    </row>
    <row r="9608" spans="3:5" x14ac:dyDescent="0.25">
      <c r="C9608" t="s">
        <v>17669</v>
      </c>
      <c r="D9608" t="s">
        <v>17670</v>
      </c>
      <c r="E9608" t="str">
        <f>HYPERLINK("https://patents.google.com/patent/US20160256161A1/en")</f>
        <v>https://patents.google.com/patent/US20160256161A1/en</v>
      </c>
    </row>
    <row r="9609" spans="3:5" x14ac:dyDescent="0.25">
      <c r="C9609" t="s">
        <v>17671</v>
      </c>
      <c r="D9609" t="s">
        <v>17672</v>
      </c>
      <c r="E9609" t="str">
        <f>HYPERLINK("https://patents.google.com/patent/US20070027591A1/en")</f>
        <v>https://patents.google.com/patent/US20070027591A1/en</v>
      </c>
    </row>
    <row r="9610" spans="3:5" x14ac:dyDescent="0.25">
      <c r="C9610" t="s">
        <v>17673</v>
      </c>
      <c r="D9610" t="s">
        <v>17674</v>
      </c>
      <c r="E9610" t="str">
        <f>HYPERLINK("https://patents.google.com/patent/US20080072139A1/en")</f>
        <v>https://patents.google.com/patent/US20080072139A1/en</v>
      </c>
    </row>
    <row r="9611" spans="3:5" x14ac:dyDescent="0.25">
      <c r="C9611" t="s">
        <v>17675</v>
      </c>
      <c r="D9611" t="s">
        <v>17676</v>
      </c>
      <c r="E9611" t="str">
        <f>HYPERLINK("https://patents.google.com/patent/US20030229474A1/en")</f>
        <v>https://patents.google.com/patent/US20030229474A1/en</v>
      </c>
    </row>
    <row r="9612" spans="3:5" x14ac:dyDescent="0.25">
      <c r="C9612" t="s">
        <v>17677</v>
      </c>
      <c r="D9612" t="s">
        <v>17678</v>
      </c>
      <c r="E9612" t="str">
        <f>HYPERLINK("https://patents.google.com/patent/US20070198144A1/en")</f>
        <v>https://patents.google.com/patent/US20070198144A1/en</v>
      </c>
    </row>
    <row r="9613" spans="3:5" x14ac:dyDescent="0.25">
      <c r="C9613" t="s">
        <v>17679</v>
      </c>
      <c r="D9613" t="s">
        <v>17680</v>
      </c>
      <c r="E9613" t="str">
        <f>HYPERLINK("https://patents.google.com/patent/US20140129942A1/en")</f>
        <v>https://patents.google.com/patent/US20140129942A1/en</v>
      </c>
    </row>
    <row r="9614" spans="3:5" x14ac:dyDescent="0.25">
      <c r="C9614" t="s">
        <v>17681</v>
      </c>
      <c r="D9614" t="s">
        <v>17682</v>
      </c>
      <c r="E9614" t="str">
        <f>HYPERLINK("https://patents.google.com/patent/US20070282564A1/en")</f>
        <v>https://patents.google.com/patent/US20070282564A1/en</v>
      </c>
    </row>
    <row r="9615" spans="3:5" x14ac:dyDescent="0.25">
      <c r="C9615" t="s">
        <v>17683</v>
      </c>
      <c r="D9615" t="s">
        <v>17684</v>
      </c>
      <c r="E9615" t="str">
        <f>HYPERLINK("https://patents.google.com/patent/US20110125540A1/en")</f>
        <v>https://patents.google.com/patent/US20110125540A1/en</v>
      </c>
    </row>
    <row r="9616" spans="3:5" x14ac:dyDescent="0.25">
      <c r="C9616" t="s">
        <v>5967</v>
      </c>
      <c r="D9616" t="s">
        <v>17685</v>
      </c>
      <c r="E9616" t="str">
        <f>HYPERLINK("https://patents.google.com/patent/US20070250212A1/en")</f>
        <v>https://patents.google.com/patent/US20070250212A1/en</v>
      </c>
    </row>
    <row r="9617" spans="3:5" x14ac:dyDescent="0.25">
      <c r="C9617" t="s">
        <v>17686</v>
      </c>
      <c r="D9617" t="s">
        <v>17687</v>
      </c>
      <c r="E9617" t="str">
        <f>HYPERLINK("https://patents.google.com/patent/US20110276396A1/en")</f>
        <v>https://patents.google.com/patent/US20110276396A1/en</v>
      </c>
    </row>
    <row r="9618" spans="3:5" x14ac:dyDescent="0.25">
      <c r="C9618" t="s">
        <v>17688</v>
      </c>
      <c r="D9618" t="s">
        <v>17689</v>
      </c>
      <c r="E9618" t="str">
        <f>HYPERLINK("https://patents.google.com/patent/US20080134056A1/en")</f>
        <v>https://patents.google.com/patent/US20080134056A1/en</v>
      </c>
    </row>
    <row r="9619" spans="3:5" x14ac:dyDescent="0.25">
      <c r="C9619" t="s">
        <v>17690</v>
      </c>
      <c r="D9619" t="s">
        <v>17691</v>
      </c>
      <c r="E9619" t="str">
        <f>HYPERLINK("https://patents.google.com/patent/US20050234592A1/en")</f>
        <v>https://patents.google.com/patent/US20050234592A1/en</v>
      </c>
    </row>
    <row r="9620" spans="3:5" x14ac:dyDescent="0.25">
      <c r="C9620" t="s">
        <v>17692</v>
      </c>
      <c r="D9620" t="s">
        <v>17693</v>
      </c>
      <c r="E9620" t="str">
        <f>HYPERLINK("https://patents.google.com/patent/US20040230340A1/en")</f>
        <v>https://patents.google.com/patent/US20040230340A1/en</v>
      </c>
    </row>
    <row r="9621" spans="3:5" x14ac:dyDescent="0.25">
      <c r="C9621" t="s">
        <v>17694</v>
      </c>
      <c r="D9621" t="s">
        <v>17695</v>
      </c>
      <c r="E9621" t="str">
        <f>HYPERLINK("https://patents.google.com/patent/US20130231779A1/en")</f>
        <v>https://patents.google.com/patent/US20130231779A1/en</v>
      </c>
    </row>
    <row r="9622" spans="3:5" x14ac:dyDescent="0.25">
      <c r="C9622" t="s">
        <v>17696</v>
      </c>
      <c r="D9622" t="s">
        <v>17697</v>
      </c>
      <c r="E9622" t="str">
        <f>HYPERLINK("https://patents.google.com/patent/US20140303814A1/en")</f>
        <v>https://patents.google.com/patent/US20140303814A1/en</v>
      </c>
    </row>
    <row r="9623" spans="3:5" x14ac:dyDescent="0.25">
      <c r="C9623" t="s">
        <v>17698</v>
      </c>
      <c r="D9623" t="s">
        <v>17699</v>
      </c>
      <c r="E9623" t="str">
        <f>HYPERLINK("https://patents.google.com/patent/US20050128752A1/en")</f>
        <v>https://patents.google.com/patent/US20050128752A1/en</v>
      </c>
    </row>
    <row r="9624" spans="3:5" x14ac:dyDescent="0.25">
      <c r="C9624" t="s">
        <v>17700</v>
      </c>
      <c r="D9624" t="s">
        <v>17701</v>
      </c>
      <c r="E9624" t="str">
        <f>HYPERLINK("https://patents.google.com/patent/US20070120965A1/en")</f>
        <v>https://patents.google.com/patent/US20070120965A1/en</v>
      </c>
    </row>
    <row r="9625" spans="3:5" x14ac:dyDescent="0.25">
      <c r="C9625" t="s">
        <v>17702</v>
      </c>
      <c r="D9625" t="s">
        <v>17703</v>
      </c>
      <c r="E9625" t="str">
        <f>HYPERLINK("https://patents.google.com/patent/US20100268383A1/en")</f>
        <v>https://patents.google.com/patent/US20100268383A1/en</v>
      </c>
    </row>
    <row r="9626" spans="3:5" x14ac:dyDescent="0.25">
      <c r="C9626" t="s">
        <v>15384</v>
      </c>
      <c r="D9626" t="s">
        <v>17704</v>
      </c>
      <c r="E9626" t="str">
        <f>HYPERLINK("https://patents.google.com/patent/US20080194357A1/en")</f>
        <v>https://patents.google.com/patent/US20080194357A1/en</v>
      </c>
    </row>
    <row r="9627" spans="3:5" x14ac:dyDescent="0.25">
      <c r="C9627" t="s">
        <v>17705</v>
      </c>
      <c r="D9627" t="s">
        <v>17706</v>
      </c>
      <c r="E9627" t="str">
        <f>HYPERLINK("https://patents.google.com/patent/US20020005111A1/en")</f>
        <v>https://patents.google.com/patent/US20020005111A1/en</v>
      </c>
    </row>
    <row r="9628" spans="3:5" x14ac:dyDescent="0.25">
      <c r="C9628" t="s">
        <v>17707</v>
      </c>
      <c r="D9628" t="s">
        <v>17708</v>
      </c>
      <c r="E9628" t="str">
        <f>HYPERLINK("https://patents.google.com/patent/US20110111849A1/en")</f>
        <v>https://patents.google.com/patent/US20110111849A1/en</v>
      </c>
    </row>
    <row r="9629" spans="3:5" x14ac:dyDescent="0.25">
      <c r="C9629" t="s">
        <v>17709</v>
      </c>
      <c r="D9629" t="s">
        <v>17710</v>
      </c>
      <c r="E9629" t="str">
        <f>HYPERLINK("https://patents.google.com/patent/US20070087798A1/en")</f>
        <v>https://patents.google.com/patent/US20070087798A1/en</v>
      </c>
    </row>
    <row r="9630" spans="3:5" x14ac:dyDescent="0.25">
      <c r="C9630" t="s">
        <v>17711</v>
      </c>
      <c r="D9630" t="s">
        <v>17712</v>
      </c>
      <c r="E9630" t="str">
        <f>HYPERLINK("https://patents.google.com/patent/US20050021424A1/en")</f>
        <v>https://patents.google.com/patent/US20050021424A1/en</v>
      </c>
    </row>
    <row r="9631" spans="3:5" x14ac:dyDescent="0.25">
      <c r="C9631" t="s">
        <v>17713</v>
      </c>
      <c r="D9631" t="s">
        <v>17714</v>
      </c>
      <c r="E9631" t="str">
        <f>HYPERLINK("https://patents.google.com/patent/US20130229396A1/en")</f>
        <v>https://patents.google.com/patent/US20130229396A1/en</v>
      </c>
    </row>
    <row r="9632" spans="3:5" x14ac:dyDescent="0.25">
      <c r="C9632" t="s">
        <v>17715</v>
      </c>
      <c r="D9632" t="s">
        <v>17716</v>
      </c>
      <c r="E9632" t="str">
        <f>HYPERLINK("https://patents.google.com/patent/US20090132441A1/en")</f>
        <v>https://patents.google.com/patent/US20090132441A1/en</v>
      </c>
    </row>
    <row r="9633" spans="3:5" x14ac:dyDescent="0.25">
      <c r="C9633" t="s">
        <v>17717</v>
      </c>
      <c r="D9633" t="s">
        <v>17718</v>
      </c>
      <c r="E9633" t="str">
        <f>HYPERLINK("https://patents.google.com/patent/EP0869433A2/en")</f>
        <v>https://patents.google.com/patent/EP0869433A2/en</v>
      </c>
    </row>
    <row r="9634" spans="3:5" x14ac:dyDescent="0.25">
      <c r="C9634" t="s">
        <v>17719</v>
      </c>
      <c r="D9634" t="s">
        <v>17720</v>
      </c>
      <c r="E9634" t="str">
        <f>HYPERLINK("https://patents.google.com/patent/US20120239506A1/en")</f>
        <v>https://patents.google.com/patent/US20120239506A1/en</v>
      </c>
    </row>
    <row r="9635" spans="3:5" x14ac:dyDescent="0.25">
      <c r="C9635" t="s">
        <v>17637</v>
      </c>
      <c r="D9635" t="s">
        <v>17721</v>
      </c>
      <c r="E9635" t="str">
        <f>HYPERLINK("https://patents.google.com/patent/US20050046373A1/en")</f>
        <v>https://patents.google.com/patent/US20050046373A1/en</v>
      </c>
    </row>
    <row r="9636" spans="3:5" x14ac:dyDescent="0.25">
      <c r="C9636" t="s">
        <v>17722</v>
      </c>
      <c r="D9636" t="s">
        <v>17723</v>
      </c>
      <c r="E9636" t="str">
        <f>HYPERLINK("https://patents.google.com/patent/US20110307079A1/en")</f>
        <v>https://patents.google.com/patent/US20110307079A1/en</v>
      </c>
    </row>
    <row r="9637" spans="3:5" x14ac:dyDescent="0.25">
      <c r="C9637" t="s">
        <v>15384</v>
      </c>
      <c r="D9637" t="s">
        <v>17724</v>
      </c>
      <c r="E9637" t="str">
        <f>HYPERLINK("https://patents.google.com/patent/US20070129174A1/en")</f>
        <v>https://patents.google.com/patent/US20070129174A1/en</v>
      </c>
    </row>
    <row r="9638" spans="3:5" x14ac:dyDescent="0.25">
      <c r="C9638" t="s">
        <v>17725</v>
      </c>
      <c r="D9638" t="s">
        <v>17726</v>
      </c>
      <c r="E9638" t="str">
        <f>HYPERLINK("https://patents.google.com/patent/US20130103624A1/en")</f>
        <v>https://patents.google.com/patent/US20130103624A1/en</v>
      </c>
    </row>
    <row r="9639" spans="3:5" x14ac:dyDescent="0.25">
      <c r="C9639" t="s">
        <v>17727</v>
      </c>
      <c r="D9639" t="s">
        <v>17728</v>
      </c>
      <c r="E9639" t="str">
        <f>HYPERLINK("https://patents.google.com/patent/CN104571103A/en")</f>
        <v>https://patents.google.com/patent/CN104571103A/en</v>
      </c>
    </row>
    <row r="9640" spans="3:5" x14ac:dyDescent="0.25">
      <c r="C9640" t="s">
        <v>17729</v>
      </c>
      <c r="D9640" t="s">
        <v>17730</v>
      </c>
      <c r="E9640" t="str">
        <f>HYPERLINK("https://patents.google.com/patent/US20150145985A1/en")</f>
        <v>https://patents.google.com/patent/US20150145985A1/en</v>
      </c>
    </row>
    <row r="9641" spans="3:5" x14ac:dyDescent="0.25">
      <c r="C9641" t="s">
        <v>17731</v>
      </c>
      <c r="D9641" t="s">
        <v>17732</v>
      </c>
      <c r="E9641" t="str">
        <f>HYPERLINK("https://patents.google.com/patent/US20040236634A1/en")</f>
        <v>https://patents.google.com/patent/US20040236634A1/en</v>
      </c>
    </row>
    <row r="9642" spans="3:5" x14ac:dyDescent="0.25">
      <c r="C9642" t="s">
        <v>17733</v>
      </c>
      <c r="D9642" t="s">
        <v>17734</v>
      </c>
      <c r="E9642" t="str">
        <f>HYPERLINK("https://patents.google.com/patent/US20060184313A1/en")</f>
        <v>https://patents.google.com/patent/US20060184313A1/en</v>
      </c>
    </row>
    <row r="9643" spans="3:5" x14ac:dyDescent="0.25">
      <c r="C9643" t="s">
        <v>17735</v>
      </c>
      <c r="D9643" t="s">
        <v>17736</v>
      </c>
      <c r="E9643" t="str">
        <f>HYPERLINK("https://patents.google.com/patent/US20100191457A1/en")</f>
        <v>https://patents.google.com/patent/US20100191457A1/en</v>
      </c>
    </row>
    <row r="9644" spans="3:5" x14ac:dyDescent="0.25">
      <c r="C9644" t="s">
        <v>17737</v>
      </c>
      <c r="D9644" t="s">
        <v>17738</v>
      </c>
      <c r="E9644" t="str">
        <f>HYPERLINK("https://patents.google.com/patent/CN204090393U/en")</f>
        <v>https://patents.google.com/patent/CN204090393U/en</v>
      </c>
    </row>
    <row r="9645" spans="3:5" x14ac:dyDescent="0.25">
      <c r="C9645" t="s">
        <v>17739</v>
      </c>
      <c r="D9645" t="s">
        <v>17740</v>
      </c>
      <c r="E9645" t="str">
        <f>HYPERLINK("https://patents.google.com/patent/CN107414866A/en")</f>
        <v>https://patents.google.com/patent/CN107414866A/en</v>
      </c>
    </row>
    <row r="9646" spans="3:5" x14ac:dyDescent="0.25">
      <c r="C9646" t="s">
        <v>17741</v>
      </c>
      <c r="D9646" t="s">
        <v>17742</v>
      </c>
      <c r="E9646" t="str">
        <f>HYPERLINK("https://patents.google.com/patent/CN108255178A/en")</f>
        <v>https://patents.google.com/patent/CN108255178A/en</v>
      </c>
    </row>
    <row r="9647" spans="3:5" x14ac:dyDescent="0.25">
      <c r="C9647" t="s">
        <v>17743</v>
      </c>
      <c r="D9647" t="s">
        <v>17744</v>
      </c>
      <c r="E9647" t="str">
        <f>HYPERLINK("https://patents.google.com/patent/CN105938367A/en")</f>
        <v>https://patents.google.com/patent/CN105938367A/en</v>
      </c>
    </row>
    <row r="9648" spans="3:5" x14ac:dyDescent="0.25">
      <c r="C9648" t="s">
        <v>17745</v>
      </c>
      <c r="D9648" t="s">
        <v>17746</v>
      </c>
      <c r="E9648" t="str">
        <f>HYPERLINK("https://patents.google.com/patent/US20160260135A1/en")</f>
        <v>https://patents.google.com/patent/US20160260135A1/en</v>
      </c>
    </row>
    <row r="9649" spans="3:5" x14ac:dyDescent="0.25">
      <c r="C9649" t="s">
        <v>17747</v>
      </c>
      <c r="D9649" t="s">
        <v>17748</v>
      </c>
      <c r="E9649" t="str">
        <f>HYPERLINK("https://patents.google.com/patent/US20040193313A1/en")</f>
        <v>https://patents.google.com/patent/US20040193313A1/en</v>
      </c>
    </row>
    <row r="9650" spans="3:5" x14ac:dyDescent="0.25">
      <c r="C9650" t="s">
        <v>17749</v>
      </c>
      <c r="D9650" t="s">
        <v>17750</v>
      </c>
      <c r="E9650" t="str">
        <f>HYPERLINK("https://patents.google.com/patent/US20100156906A1/en")</f>
        <v>https://patents.google.com/patent/US20100156906A1/en</v>
      </c>
    </row>
    <row r="9651" spans="3:5" x14ac:dyDescent="0.25">
      <c r="C9651" t="s">
        <v>17751</v>
      </c>
      <c r="D9651" t="s">
        <v>17752</v>
      </c>
      <c r="E9651" t="str">
        <f>HYPERLINK("https://patents.google.com/patent/US7734779B1/en")</f>
        <v>https://patents.google.com/patent/US7734779B1/en</v>
      </c>
    </row>
    <row r="9652" spans="3:5" x14ac:dyDescent="0.25">
      <c r="C9652" t="s">
        <v>17753</v>
      </c>
      <c r="D9652" t="s">
        <v>17754</v>
      </c>
      <c r="E9652" t="str">
        <f>HYPERLINK("https://patents.google.com/patent/US20080018667A1/en")</f>
        <v>https://patents.google.com/patent/US20080018667A1/en</v>
      </c>
    </row>
    <row r="9653" spans="3:5" x14ac:dyDescent="0.25">
      <c r="C9653" t="s">
        <v>17755</v>
      </c>
      <c r="D9653" t="s">
        <v>17756</v>
      </c>
      <c r="E9653" t="str">
        <f>HYPERLINK("https://patents.google.com/patent/US20150276239A1/en")</f>
        <v>https://patents.google.com/patent/US20150276239A1/en</v>
      </c>
    </row>
    <row r="9654" spans="3:5" x14ac:dyDescent="0.25">
      <c r="C9654" t="s">
        <v>17757</v>
      </c>
      <c r="D9654" t="s">
        <v>17758</v>
      </c>
      <c r="E9654" t="str">
        <f>HYPERLINK("https://patents.google.com/patent/US20040205394A1/en")</f>
        <v>https://patents.google.com/patent/US20040205394A1/en</v>
      </c>
    </row>
    <row r="9655" spans="3:5" x14ac:dyDescent="0.25">
      <c r="C9655" t="s">
        <v>17759</v>
      </c>
      <c r="D9655" t="s">
        <v>17760</v>
      </c>
      <c r="E9655" t="str">
        <f>HYPERLINK("https://patents.google.com/patent/US20100241454A1/en")</f>
        <v>https://patents.google.com/patent/US20100241454A1/en</v>
      </c>
    </row>
    <row r="9656" spans="3:5" x14ac:dyDescent="0.25">
      <c r="C9656" t="s">
        <v>17761</v>
      </c>
      <c r="D9656" t="s">
        <v>17762</v>
      </c>
      <c r="E9656" t="str">
        <f>HYPERLINK("https://patents.google.com/patent/US20150276266A1/en")</f>
        <v>https://patents.google.com/patent/US20150276266A1/en</v>
      </c>
    </row>
    <row r="9657" spans="3:5" x14ac:dyDescent="0.25">
      <c r="C9657" t="s">
        <v>17763</v>
      </c>
      <c r="D9657" t="s">
        <v>17764</v>
      </c>
      <c r="E9657" t="str">
        <f>HYPERLINK("https://patents.google.com/patent/US20110022231A1/en")</f>
        <v>https://patents.google.com/patent/US20110022231A1/en</v>
      </c>
    </row>
    <row r="9658" spans="3:5" x14ac:dyDescent="0.25">
      <c r="C9658" t="s">
        <v>17765</v>
      </c>
      <c r="D9658" t="s">
        <v>17766</v>
      </c>
      <c r="E9658" t="str">
        <f>HYPERLINK("https://patents.google.com/patent/US20050151941A1/en")</f>
        <v>https://patents.google.com/patent/US20050151941A1/en</v>
      </c>
    </row>
    <row r="9659" spans="3:5" x14ac:dyDescent="0.25">
      <c r="C9659" t="s">
        <v>17767</v>
      </c>
      <c r="D9659" t="s">
        <v>17768</v>
      </c>
      <c r="E9659" t="str">
        <f>HYPERLINK("https://patents.google.com/patent/US20110166701A1/en")</f>
        <v>https://patents.google.com/patent/US20110166701A1/en</v>
      </c>
    </row>
    <row r="9660" spans="3:5" x14ac:dyDescent="0.25">
      <c r="C9660" t="s">
        <v>17769</v>
      </c>
      <c r="D9660" t="s">
        <v>17770</v>
      </c>
      <c r="E9660" t="str">
        <f>HYPERLINK("https://patents.google.com/patent/US20160117853A1/en")</f>
        <v>https://patents.google.com/patent/US20160117853A1/en</v>
      </c>
    </row>
    <row r="9661" spans="3:5" x14ac:dyDescent="0.25">
      <c r="C9661" t="s">
        <v>17771</v>
      </c>
      <c r="D9661" t="s">
        <v>17772</v>
      </c>
      <c r="E9661" t="str">
        <f>HYPERLINK("https://patents.google.com/patent/KR20040063641A/en")</f>
        <v>https://patents.google.com/patent/KR20040063641A/en</v>
      </c>
    </row>
    <row r="9662" spans="3:5" x14ac:dyDescent="0.25">
      <c r="C9662" t="s">
        <v>17773</v>
      </c>
      <c r="D9662" t="s">
        <v>17774</v>
      </c>
      <c r="E9662" t="str">
        <f>HYPERLINK("https://patents.google.com/patent/CN102280826A/en")</f>
        <v>https://patents.google.com/patent/CN102280826A/en</v>
      </c>
    </row>
    <row r="9663" spans="3:5" x14ac:dyDescent="0.25">
      <c r="C9663" t="s">
        <v>17775</v>
      </c>
      <c r="D9663" t="s">
        <v>17776</v>
      </c>
      <c r="E9663" t="str">
        <f>HYPERLINK("https://patents.google.com/patent/US4741642A/en")</f>
        <v>https://patents.google.com/patent/US4741642A/en</v>
      </c>
    </row>
    <row r="9664" spans="3:5" x14ac:dyDescent="0.25">
      <c r="C9664" t="s">
        <v>17777</v>
      </c>
      <c r="D9664" t="s">
        <v>17778</v>
      </c>
      <c r="E9664" t="str">
        <f>HYPERLINK("https://patents.google.com/patent/CN1645284A/en")</f>
        <v>https://patents.google.com/patent/CN1645284A/en</v>
      </c>
    </row>
    <row r="9665" spans="3:5" x14ac:dyDescent="0.25">
      <c r="C9665" t="s">
        <v>17779</v>
      </c>
      <c r="D9665" t="s">
        <v>17780</v>
      </c>
      <c r="E9665" t="str">
        <f>HYPERLINK("https://patents.google.com/patent/US20150137972A1/en")</f>
        <v>https://patents.google.com/patent/US20150137972A1/en</v>
      </c>
    </row>
    <row r="9666" spans="3:5" x14ac:dyDescent="0.25">
      <c r="C9666" t="s">
        <v>17781</v>
      </c>
      <c r="D9666" t="s">
        <v>17782</v>
      </c>
      <c r="E9666" t="str">
        <f>HYPERLINK("https://patents.google.com/patent/US20130191250A1/en")</f>
        <v>https://patents.google.com/patent/US20130191250A1/en</v>
      </c>
    </row>
    <row r="9667" spans="3:5" x14ac:dyDescent="0.25">
      <c r="C9667" t="s">
        <v>17783</v>
      </c>
      <c r="D9667" t="s">
        <v>17784</v>
      </c>
      <c r="E9667" t="str">
        <f>HYPERLINK("https://patents.google.com/patent/CN101436037A/en")</f>
        <v>https://patents.google.com/patent/CN101436037A/en</v>
      </c>
    </row>
    <row r="9668" spans="3:5" x14ac:dyDescent="0.25">
      <c r="C9668" t="s">
        <v>17785</v>
      </c>
      <c r="D9668" t="s">
        <v>17786</v>
      </c>
      <c r="E9668" t="str">
        <f>HYPERLINK("https://patents.google.com/patent/JP2001198865A/en")</f>
        <v>https://patents.google.com/patent/JP2001198865A/en</v>
      </c>
    </row>
    <row r="9669" spans="3:5" x14ac:dyDescent="0.25">
      <c r="C9669" t="s">
        <v>17787</v>
      </c>
      <c r="D9669" t="s">
        <v>17788</v>
      </c>
      <c r="E9669" t="str">
        <f>HYPERLINK("https://patents.google.com/patent/CN101741952A/en")</f>
        <v>https://patents.google.com/patent/CN101741952A/en</v>
      </c>
    </row>
    <row r="9670" spans="3:5" x14ac:dyDescent="0.25">
      <c r="C9670" t="s">
        <v>17789</v>
      </c>
      <c r="D9670" t="s">
        <v>17790</v>
      </c>
      <c r="E9670" t="str">
        <f>HYPERLINK("https://patents.google.com/patent/CN1586434A/en")</f>
        <v>https://patents.google.com/patent/CN1586434A/en</v>
      </c>
    </row>
    <row r="9671" spans="3:5" x14ac:dyDescent="0.25">
      <c r="C9671" t="s">
        <v>17791</v>
      </c>
      <c r="D9671" t="s">
        <v>17792</v>
      </c>
      <c r="E9671" t="str">
        <f>HYPERLINK("https://patents.google.com/patent/US20100235184A1/en")</f>
        <v>https://patents.google.com/patent/US20100235184A1/en</v>
      </c>
    </row>
    <row r="9672" spans="3:5" x14ac:dyDescent="0.25">
      <c r="C9672" t="s">
        <v>17793</v>
      </c>
      <c r="D9672" t="s">
        <v>17794</v>
      </c>
      <c r="E9672" t="str">
        <f>HYPERLINK("https://patents.google.com/patent/US20050029342A1/en")</f>
        <v>https://patents.google.com/patent/US20050029342A1/en</v>
      </c>
    </row>
    <row r="9673" spans="3:5" x14ac:dyDescent="0.25">
      <c r="C9673" t="s">
        <v>16270</v>
      </c>
      <c r="D9673" t="s">
        <v>17795</v>
      </c>
      <c r="E9673" t="str">
        <f>HYPERLINK("https://patents.google.com/patent/US6267695B1/en")</f>
        <v>https://patents.google.com/patent/US6267695B1/en</v>
      </c>
    </row>
    <row r="9674" spans="3:5" x14ac:dyDescent="0.25">
      <c r="C9674" t="s">
        <v>17791</v>
      </c>
      <c r="D9674" t="s">
        <v>17796</v>
      </c>
      <c r="E9674" t="str">
        <f>HYPERLINK("https://patents.google.com/patent/US20100235185A1/en")</f>
        <v>https://patents.google.com/patent/US20100235185A1/en</v>
      </c>
    </row>
    <row r="9675" spans="3:5" x14ac:dyDescent="0.25">
      <c r="C9675" t="s">
        <v>17797</v>
      </c>
      <c r="D9675" t="s">
        <v>17798</v>
      </c>
      <c r="E9675" t="str">
        <f>HYPERLINK("https://patents.google.com/patent/FR2769088A1/en")</f>
        <v>https://patents.google.com/patent/FR2769088A1/en</v>
      </c>
    </row>
    <row r="9676" spans="3:5" x14ac:dyDescent="0.25">
      <c r="C9676" t="s">
        <v>17799</v>
      </c>
      <c r="D9676" t="s">
        <v>17800</v>
      </c>
      <c r="E9676" t="str">
        <f>HYPERLINK("https://patents.google.com/patent/US8473420B2/en")</f>
        <v>https://patents.google.com/patent/US8473420B2/en</v>
      </c>
    </row>
    <row r="9677" spans="3:5" x14ac:dyDescent="0.25">
      <c r="C9677" t="s">
        <v>17801</v>
      </c>
      <c r="D9677" t="s">
        <v>17802</v>
      </c>
      <c r="E9677" t="str">
        <f>HYPERLINK("https://patents.google.com/patent/CN103126862A/en")</f>
        <v>https://patents.google.com/patent/CN103126862A/en</v>
      </c>
    </row>
    <row r="9678" spans="3:5" x14ac:dyDescent="0.25">
      <c r="C9678" t="s">
        <v>17803</v>
      </c>
      <c r="D9678" t="s">
        <v>17804</v>
      </c>
      <c r="E9678" t="str">
        <f>HYPERLINK("https://patents.google.com/patent/US20150100461A1/en")</f>
        <v>https://patents.google.com/patent/US20150100461A1/en</v>
      </c>
    </row>
    <row r="9679" spans="3:5" x14ac:dyDescent="0.25">
      <c r="C9679" t="s">
        <v>17805</v>
      </c>
      <c r="D9679" t="s">
        <v>17806</v>
      </c>
      <c r="E9679" t="str">
        <f>HYPERLINK("https://patents.google.com/patent/EP2206540A1/en")</f>
        <v>https://patents.google.com/patent/EP2206540A1/en</v>
      </c>
    </row>
    <row r="9680" spans="3:5" x14ac:dyDescent="0.25">
      <c r="C9680" t="s">
        <v>17807</v>
      </c>
      <c r="D9680" t="s">
        <v>17808</v>
      </c>
      <c r="E9680" t="str">
        <f>HYPERLINK("https://patents.google.com/patent/JP2004185080A/en")</f>
        <v>https://patents.google.com/patent/JP2004185080A/en</v>
      </c>
    </row>
    <row r="9681" spans="3:5" x14ac:dyDescent="0.25">
      <c r="C9681" t="s">
        <v>17809</v>
      </c>
      <c r="D9681" t="s">
        <v>17810</v>
      </c>
      <c r="E9681" t="str">
        <f>HYPERLINK("https://patents.google.com/patent/US20170192402A1/en")</f>
        <v>https://patents.google.com/patent/US20170192402A1/en</v>
      </c>
    </row>
    <row r="9682" spans="3:5" x14ac:dyDescent="0.25">
      <c r="C9682" t="s">
        <v>17811</v>
      </c>
      <c r="D9682" t="s">
        <v>17812</v>
      </c>
      <c r="E9682" t="str">
        <f>HYPERLINK("https://patents.google.com/patent/JP2004110802A/en")</f>
        <v>https://patents.google.com/patent/JP2004110802A/en</v>
      </c>
    </row>
    <row r="9683" spans="3:5" x14ac:dyDescent="0.25">
      <c r="C9683" t="s">
        <v>17813</v>
      </c>
      <c r="D9683" t="s">
        <v>17814</v>
      </c>
      <c r="E9683" t="str">
        <f>HYPERLINK("https://patents.google.com/patent/CN102522715A/en")</f>
        <v>https://patents.google.com/patent/CN102522715A/en</v>
      </c>
    </row>
    <row r="9684" spans="3:5" x14ac:dyDescent="0.25">
      <c r="C9684" t="s">
        <v>17815</v>
      </c>
      <c r="D9684" t="s">
        <v>17816</v>
      </c>
      <c r="E9684" t="str">
        <f>HYPERLINK("https://patents.google.com/patent/US20120042563A1/en")</f>
        <v>https://patents.google.com/patent/US20120042563A1/en</v>
      </c>
    </row>
    <row r="9685" spans="3:5" x14ac:dyDescent="0.25">
      <c r="C9685" t="s">
        <v>17817</v>
      </c>
      <c r="D9685" t="s">
        <v>17818</v>
      </c>
      <c r="E9685" t="str">
        <f>HYPERLINK("https://patents.google.com/patent/US6839623B1/en")</f>
        <v>https://patents.google.com/patent/US6839623B1/en</v>
      </c>
    </row>
    <row r="9686" spans="3:5" x14ac:dyDescent="0.25">
      <c r="C9686" t="s">
        <v>17819</v>
      </c>
      <c r="D9686" t="s">
        <v>17820</v>
      </c>
      <c r="E9686" t="str">
        <f>HYPERLINK("https://patents.google.com/patent/JPH10304351A/en")</f>
        <v>https://patents.google.com/patent/JPH10304351A/en</v>
      </c>
    </row>
    <row r="9687" spans="3:5" x14ac:dyDescent="0.25">
      <c r="C9687" t="s">
        <v>17821</v>
      </c>
      <c r="D9687" t="s">
        <v>17822</v>
      </c>
      <c r="E9687" t="str">
        <f>HYPERLINK("https://patents.google.com/patent/US20150276238A1/en")</f>
        <v>https://patents.google.com/patent/US20150276238A1/en</v>
      </c>
    </row>
    <row r="9688" spans="3:5" x14ac:dyDescent="0.25">
      <c r="C9688" t="s">
        <v>17823</v>
      </c>
      <c r="D9688" t="s">
        <v>17824</v>
      </c>
      <c r="E9688" t="str">
        <f>HYPERLINK("https://patents.google.com/patent/US20150220814A1/en")</f>
        <v>https://patents.google.com/patent/US20150220814A1/en</v>
      </c>
    </row>
    <row r="9689" spans="3:5" x14ac:dyDescent="0.25">
      <c r="C9689" t="s">
        <v>17825</v>
      </c>
      <c r="D9689" t="s">
        <v>17826</v>
      </c>
      <c r="E9689" t="str">
        <f>HYPERLINK("https://patents.google.com/patent/JP2013527947A/en")</f>
        <v>https://patents.google.com/patent/JP2013527947A/en</v>
      </c>
    </row>
    <row r="9690" spans="3:5" x14ac:dyDescent="0.25">
      <c r="C9690" t="s">
        <v>17827</v>
      </c>
      <c r="D9690" t="s">
        <v>17828</v>
      </c>
      <c r="E9690" t="str">
        <f>HYPERLINK("https://patents.google.com/patent/US20040091431A1/en")</f>
        <v>https://patents.google.com/patent/US20040091431A1/en</v>
      </c>
    </row>
    <row r="9691" spans="3:5" x14ac:dyDescent="0.25">
      <c r="C9691" t="s">
        <v>17829</v>
      </c>
      <c r="D9691" t="s">
        <v>17830</v>
      </c>
      <c r="E9691" t="str">
        <f>HYPERLINK("https://patents.google.com/patent/CN101196551A/en")</f>
        <v>https://patents.google.com/patent/CN101196551A/en</v>
      </c>
    </row>
    <row r="9692" spans="3:5" x14ac:dyDescent="0.25">
      <c r="C9692" t="s">
        <v>17831</v>
      </c>
      <c r="D9692" t="s">
        <v>17832</v>
      </c>
      <c r="E9692" t="str">
        <f>HYPERLINK("https://patents.google.com/patent/CN203616653U/en")</f>
        <v>https://patents.google.com/patent/CN203616653U/en</v>
      </c>
    </row>
    <row r="9693" spans="3:5" x14ac:dyDescent="0.25">
      <c r="C9693" t="s">
        <v>17833</v>
      </c>
      <c r="D9693" t="s">
        <v>17834</v>
      </c>
      <c r="E9693" t="str">
        <f>HYPERLINK("https://patents.google.com/patent/CN103413313A/en")</f>
        <v>https://patents.google.com/patent/CN103413313A/en</v>
      </c>
    </row>
    <row r="9694" spans="3:5" x14ac:dyDescent="0.25">
      <c r="C9694" t="s">
        <v>17835</v>
      </c>
      <c r="D9694" t="s">
        <v>17836</v>
      </c>
      <c r="E9694" t="str">
        <f>HYPERLINK("https://patents.google.com/patent/JP2005103679A/en")</f>
        <v>https://patents.google.com/patent/JP2005103679A/en</v>
      </c>
    </row>
    <row r="9695" spans="3:5" x14ac:dyDescent="0.25">
      <c r="C9695" t="s">
        <v>17837</v>
      </c>
      <c r="D9695" t="s">
        <v>17838</v>
      </c>
      <c r="E9695" t="str">
        <f>HYPERLINK("https://patents.google.com/patent/WO2005106543A1/en")</f>
        <v>https://patents.google.com/patent/WO2005106543A1/en</v>
      </c>
    </row>
    <row r="9696" spans="3:5" x14ac:dyDescent="0.25">
      <c r="C9696" t="s">
        <v>17839</v>
      </c>
      <c r="D9696" t="s">
        <v>17840</v>
      </c>
      <c r="E9696" t="str">
        <f>HYPERLINK("https://patents.google.com/patent/WO2001033464A1/en")</f>
        <v>https://patents.google.com/patent/WO2001033464A1/en</v>
      </c>
    </row>
    <row r="9697" spans="3:5" x14ac:dyDescent="0.25">
      <c r="C9697" t="s">
        <v>17841</v>
      </c>
      <c r="D9697" t="s">
        <v>17842</v>
      </c>
      <c r="E9697" t="str">
        <f>HYPERLINK("https://patents.google.com/patent/JP2002504744A/en")</f>
        <v>https://patents.google.com/patent/JP2002504744A/en</v>
      </c>
    </row>
    <row r="9698" spans="3:5" x14ac:dyDescent="0.25">
      <c r="C9698" t="s">
        <v>17843</v>
      </c>
      <c r="D9698" t="s">
        <v>17844</v>
      </c>
      <c r="E9698" t="str">
        <f>HYPERLINK("https://patents.google.com/patent/US7441190B2/en")</f>
        <v>https://patents.google.com/patent/US7441190B2/en</v>
      </c>
    </row>
    <row r="9699" spans="3:5" x14ac:dyDescent="0.25">
      <c r="C9699" t="s">
        <v>17845</v>
      </c>
      <c r="D9699" t="s">
        <v>17846</v>
      </c>
      <c r="E9699" t="str">
        <f>HYPERLINK("https://patents.google.com/patent/US20070217042A1/en")</f>
        <v>https://patents.google.com/patent/US20070217042A1/en</v>
      </c>
    </row>
    <row r="9700" spans="3:5" x14ac:dyDescent="0.25">
      <c r="C9700" t="s">
        <v>17847</v>
      </c>
      <c r="D9700" t="s">
        <v>17848</v>
      </c>
      <c r="E9700" t="str">
        <f>HYPERLINK("https://patents.google.com/patent/US20110190931A1/en")</f>
        <v>https://patents.google.com/patent/US20110190931A1/en</v>
      </c>
    </row>
    <row r="9701" spans="3:5" x14ac:dyDescent="0.25">
      <c r="C9701" t="s">
        <v>17849</v>
      </c>
      <c r="D9701" t="s">
        <v>17850</v>
      </c>
      <c r="E9701" t="str">
        <f>HYPERLINK("https://patents.google.com/patent/US20130092730A1/en")</f>
        <v>https://patents.google.com/patent/US20130092730A1/en</v>
      </c>
    </row>
    <row r="9702" spans="3:5" x14ac:dyDescent="0.25">
      <c r="C9702" t="s">
        <v>17851</v>
      </c>
      <c r="D9702" t="s">
        <v>17852</v>
      </c>
      <c r="E9702" t="str">
        <f>HYPERLINK("https://patents.google.com/patent/JP2004515231A/en")</f>
        <v>https://patents.google.com/patent/JP2004515231A/en</v>
      </c>
    </row>
    <row r="9703" spans="3:5" x14ac:dyDescent="0.25">
      <c r="C9703" t="s">
        <v>17853</v>
      </c>
      <c r="D9703" t="s">
        <v>17854</v>
      </c>
      <c r="E9703" t="str">
        <f>HYPERLINK("https://patents.google.com/patent/CN2246054Y/en")</f>
        <v>https://patents.google.com/patent/CN2246054Y/en</v>
      </c>
    </row>
    <row r="9704" spans="3:5" x14ac:dyDescent="0.25">
      <c r="C9704" t="s">
        <v>17855</v>
      </c>
      <c r="D9704" t="s">
        <v>17856</v>
      </c>
      <c r="E9704" t="str">
        <f>HYPERLINK("https://patents.google.com/patent/CN103823438A/en")</f>
        <v>https://patents.google.com/patent/CN103823438A/en</v>
      </c>
    </row>
    <row r="9705" spans="3:5" x14ac:dyDescent="0.25">
      <c r="C9705" t="s">
        <v>17857</v>
      </c>
      <c r="D9705" t="s">
        <v>17858</v>
      </c>
      <c r="E9705" t="str">
        <f>HYPERLINK("https://patents.google.com/patent/US7457515B1/en")</f>
        <v>https://patents.google.com/patent/US7457515B1/en</v>
      </c>
    </row>
    <row r="9706" spans="3:5" x14ac:dyDescent="0.25">
      <c r="C9706" t="s">
        <v>17859</v>
      </c>
      <c r="D9706" t="s">
        <v>17860</v>
      </c>
      <c r="E9706" t="str">
        <f>HYPERLINK("https://patents.google.com/patent/CN101353063A/en")</f>
        <v>https://patents.google.com/patent/CN101353063A/en</v>
      </c>
    </row>
    <row r="9707" spans="3:5" x14ac:dyDescent="0.25">
      <c r="C9707" t="s">
        <v>17861</v>
      </c>
      <c r="D9707" t="s">
        <v>17862</v>
      </c>
      <c r="E9707" t="str">
        <f>HYPERLINK("https://patents.google.com/patent/US20150276237A1/en")</f>
        <v>https://patents.google.com/patent/US20150276237A1/en</v>
      </c>
    </row>
    <row r="9708" spans="3:5" x14ac:dyDescent="0.25">
      <c r="C9708" t="s">
        <v>17863</v>
      </c>
      <c r="D9708" t="s">
        <v>17864</v>
      </c>
      <c r="E9708" t="str">
        <f>HYPERLINK("https://patents.google.com/patent/CN102565625A/en")</f>
        <v>https://patents.google.com/patent/CN102565625A/en</v>
      </c>
    </row>
    <row r="9709" spans="3:5" x14ac:dyDescent="0.25">
      <c r="C9709" t="s">
        <v>17865</v>
      </c>
      <c r="D9709" t="s">
        <v>17866</v>
      </c>
      <c r="E9709" t="str">
        <f>HYPERLINK("https://patents.google.com/patent/US20100070351A1/en")</f>
        <v>https://patents.google.com/patent/US20100070351A1/en</v>
      </c>
    </row>
    <row r="9710" spans="3:5" x14ac:dyDescent="0.25">
      <c r="C9710" t="s">
        <v>17867</v>
      </c>
      <c r="D9710" t="s">
        <v>17868</v>
      </c>
      <c r="E9710" t="str">
        <f>HYPERLINK("https://patents.google.com/patent/CN102255259A/en")</f>
        <v>https://patents.google.com/patent/CN102255259A/en</v>
      </c>
    </row>
    <row r="9711" spans="3:5" x14ac:dyDescent="0.25">
      <c r="C9711" t="s">
        <v>17869</v>
      </c>
      <c r="D9711" t="s">
        <v>17870</v>
      </c>
      <c r="E9711" t="str">
        <f>HYPERLINK("https://patents.google.com/patent/EP1018862A1/en")</f>
        <v>https://patents.google.com/patent/EP1018862A1/en</v>
      </c>
    </row>
    <row r="9712" spans="3:5" x14ac:dyDescent="0.25">
      <c r="C9712" t="s">
        <v>17871</v>
      </c>
      <c r="D9712" t="s">
        <v>17872</v>
      </c>
      <c r="E9712" t="str">
        <f>HYPERLINK("https://patents.google.com/patent/CN102420392A/en")</f>
        <v>https://patents.google.com/patent/CN102420392A/en</v>
      </c>
    </row>
    <row r="9713" spans="3:5" x14ac:dyDescent="0.25">
      <c r="C9713" t="s">
        <v>17873</v>
      </c>
      <c r="D9713" t="s">
        <v>17874</v>
      </c>
      <c r="E9713" t="str">
        <f>HYPERLINK("https://patents.google.com/patent/CN102191923A/en")</f>
        <v>https://patents.google.com/patent/CN102191923A/en</v>
      </c>
    </row>
    <row r="9714" spans="3:5" x14ac:dyDescent="0.25">
      <c r="C9714" t="s">
        <v>17875</v>
      </c>
      <c r="D9714" t="s">
        <v>17876</v>
      </c>
      <c r="E9714" t="str">
        <f>HYPERLINK("https://patents.google.com/patent/JP2007011391A/en")</f>
        <v>https://patents.google.com/patent/JP2007011391A/en</v>
      </c>
    </row>
    <row r="9715" spans="3:5" x14ac:dyDescent="0.25">
      <c r="C9715" t="s">
        <v>17877</v>
      </c>
      <c r="D9715" t="s">
        <v>17878</v>
      </c>
      <c r="E9715" t="str">
        <f>HYPERLINK("https://patents.google.com/patent/CN202178515U/en")</f>
        <v>https://patents.google.com/patent/CN202178515U/en</v>
      </c>
    </row>
    <row r="9716" spans="3:5" x14ac:dyDescent="0.25">
      <c r="C9716" t="s">
        <v>17879</v>
      </c>
      <c r="D9716" t="s">
        <v>17880</v>
      </c>
      <c r="E9716" t="str">
        <f>HYPERLINK("https://patents.google.com/patent/CN201035117Y/en")</f>
        <v>https://patents.google.com/patent/CN201035117Y/en</v>
      </c>
    </row>
    <row r="9717" spans="3:5" x14ac:dyDescent="0.25">
      <c r="C9717" t="s">
        <v>17881</v>
      </c>
      <c r="D9717" t="s">
        <v>17882</v>
      </c>
      <c r="E9717" t="str">
        <f>HYPERLINK("https://patents.google.com/patent/US20150362733A1/en")</f>
        <v>https://patents.google.com/patent/US20150362733A1/en</v>
      </c>
    </row>
    <row r="9718" spans="3:5" x14ac:dyDescent="0.25">
      <c r="C9718" t="s">
        <v>17883</v>
      </c>
      <c r="D9718" t="s">
        <v>17884</v>
      </c>
      <c r="E9718" t="str">
        <f>HYPERLINK("https://patents.google.com/patent/CN203422665U/en")</f>
        <v>https://patents.google.com/patent/CN203422665U/en</v>
      </c>
    </row>
    <row r="9719" spans="3:5" x14ac:dyDescent="0.25">
      <c r="C9719" t="s">
        <v>17885</v>
      </c>
      <c r="D9719" t="s">
        <v>17886</v>
      </c>
      <c r="E9719" t="str">
        <f>HYPERLINK("https://patents.google.com/patent/CN202238711U/en")</f>
        <v>https://patents.google.com/patent/CN202238711U/en</v>
      </c>
    </row>
    <row r="9720" spans="3:5" x14ac:dyDescent="0.25">
      <c r="C9720" t="s">
        <v>17887</v>
      </c>
      <c r="D9720" t="s">
        <v>17888</v>
      </c>
      <c r="E9720" t="str">
        <f>HYPERLINK("https://patents.google.com/patent/JPH10185609A/en")</f>
        <v>https://patents.google.com/patent/JPH10185609A/en</v>
      </c>
    </row>
    <row r="9721" spans="3:5" x14ac:dyDescent="0.25">
      <c r="C9721" t="s">
        <v>17889</v>
      </c>
      <c r="D9721" t="s">
        <v>17890</v>
      </c>
      <c r="E9721" t="str">
        <f>HYPERLINK("https://patents.google.com/patent/WO2002067210A1/en")</f>
        <v>https://patents.google.com/patent/WO2002067210A1/en</v>
      </c>
    </row>
    <row r="9722" spans="3:5" x14ac:dyDescent="0.25">
      <c r="C9722" t="s">
        <v>17891</v>
      </c>
      <c r="D9722" t="s">
        <v>17892</v>
      </c>
      <c r="E9722" t="str">
        <f>HYPERLINK("https://patents.google.com/patent/CN101483806A/en")</f>
        <v>https://patents.google.com/patent/CN101483806A/en</v>
      </c>
    </row>
    <row r="9723" spans="3:5" x14ac:dyDescent="0.25">
      <c r="C9723" t="s">
        <v>17893</v>
      </c>
      <c r="D9723" t="s">
        <v>17894</v>
      </c>
      <c r="E9723" t="str">
        <f>HYPERLINK("https://patents.google.com/patent/CN202083961U/en")</f>
        <v>https://patents.google.com/patent/CN202083961U/en</v>
      </c>
    </row>
    <row r="9724" spans="3:5" x14ac:dyDescent="0.25">
      <c r="C9724" t="s">
        <v>17895</v>
      </c>
      <c r="D9724" t="s">
        <v>17896</v>
      </c>
      <c r="E9724" t="str">
        <f>HYPERLINK("https://patents.google.com/patent/CN101973027A/en")</f>
        <v>https://patents.google.com/patent/CN101973027A/en</v>
      </c>
    </row>
    <row r="9725" spans="3:5" x14ac:dyDescent="0.25">
      <c r="C9725" t="s">
        <v>17897</v>
      </c>
      <c r="D9725" t="s">
        <v>17898</v>
      </c>
      <c r="E9725" t="str">
        <f>HYPERLINK("https://patents.google.com/patent/CN102405029A/en")</f>
        <v>https://patents.google.com/patent/CN102405029A/en</v>
      </c>
    </row>
    <row r="9726" spans="3:5" x14ac:dyDescent="0.25">
      <c r="C9726" t="s">
        <v>17899</v>
      </c>
      <c r="D9726" t="s">
        <v>17900</v>
      </c>
      <c r="E9726" t="str">
        <f>HYPERLINK("https://patents.google.com/patent/CN101434268A/en")</f>
        <v>https://patents.google.com/patent/CN101434268A/en</v>
      </c>
    </row>
    <row r="9727" spans="3:5" x14ac:dyDescent="0.25">
      <c r="C9727" t="s">
        <v>17901</v>
      </c>
      <c r="D9727" t="s">
        <v>17902</v>
      </c>
      <c r="E9727" t="str">
        <f>HYPERLINK("https://patents.google.com/patent/JP2012215959A/en")</f>
        <v>https://patents.google.com/patent/JP2012215959A/en</v>
      </c>
    </row>
    <row r="9728" spans="3:5" x14ac:dyDescent="0.25">
      <c r="C9728" t="s">
        <v>14262</v>
      </c>
      <c r="D9728" t="s">
        <v>17903</v>
      </c>
      <c r="E9728" t="str">
        <f>HYPERLINK("https://patents.google.com/patent/JP2004098233A/en")</f>
        <v>https://patents.google.com/patent/JP2004098233A/en</v>
      </c>
    </row>
    <row r="9729" spans="3:5" x14ac:dyDescent="0.25">
      <c r="C9729" t="s">
        <v>17904</v>
      </c>
      <c r="D9729" t="s">
        <v>17905</v>
      </c>
      <c r="E9729" t="str">
        <f>HYPERLINK("https://patents.google.com/patent/US20130204874A1/en")</f>
        <v>https://patents.google.com/patent/US20130204874A1/en</v>
      </c>
    </row>
    <row r="9730" spans="3:5" x14ac:dyDescent="0.25">
      <c r="C9730" t="s">
        <v>17906</v>
      </c>
      <c r="D9730" t="s">
        <v>17907</v>
      </c>
      <c r="E9730" t="str">
        <f>HYPERLINK("https://patents.google.com/patent/US20040261723A1/en")</f>
        <v>https://patents.google.com/patent/US20040261723A1/en</v>
      </c>
    </row>
    <row r="9731" spans="3:5" x14ac:dyDescent="0.25">
      <c r="C9731" t="s">
        <v>17827</v>
      </c>
      <c r="D9731" t="s">
        <v>17908</v>
      </c>
      <c r="E9731" t="str">
        <f>HYPERLINK("https://patents.google.com/patent/US20050260141A1/en")</f>
        <v>https://patents.google.com/patent/US20050260141A1/en</v>
      </c>
    </row>
    <row r="9732" spans="3:5" x14ac:dyDescent="0.25">
      <c r="C9732" t="s">
        <v>15371</v>
      </c>
      <c r="D9732" t="s">
        <v>17909</v>
      </c>
      <c r="E9732" t="str">
        <f>HYPERLINK("https://patents.google.com/patent/US20110098132A1/en")</f>
        <v>https://patents.google.com/patent/US20110098132A1/en</v>
      </c>
    </row>
    <row r="9733" spans="3:5" x14ac:dyDescent="0.25">
      <c r="C9733" t="s">
        <v>17910</v>
      </c>
      <c r="D9733" t="s">
        <v>17911</v>
      </c>
      <c r="E9733" t="str">
        <f>HYPERLINK("https://patents.google.com/patent/CN102357487A/en")</f>
        <v>https://patents.google.com/patent/CN102357487A/en</v>
      </c>
    </row>
    <row r="9734" spans="3:5" x14ac:dyDescent="0.25">
      <c r="C9734" t="s">
        <v>17912</v>
      </c>
      <c r="D9734" t="s">
        <v>17913</v>
      </c>
      <c r="E9734" t="str">
        <f>HYPERLINK("https://patents.google.com/patent/KR20000072818A/en")</f>
        <v>https://patents.google.com/patent/KR20000072818A/en</v>
      </c>
    </row>
    <row r="9735" spans="3:5" x14ac:dyDescent="0.25">
      <c r="C9735" t="s">
        <v>8008</v>
      </c>
      <c r="D9735" t="s">
        <v>17914</v>
      </c>
      <c r="E9735" t="str">
        <f>HYPERLINK("https://patents.google.com/patent/CN101578625A/en")</f>
        <v>https://patents.google.com/patent/CN101578625A/en</v>
      </c>
    </row>
    <row r="9736" spans="3:5" x14ac:dyDescent="0.25">
      <c r="C9736" t="s">
        <v>7861</v>
      </c>
      <c r="D9736" t="s">
        <v>17915</v>
      </c>
      <c r="E9736" t="str">
        <f>HYPERLINK("https://patents.google.com/patent/CN101578626A/en")</f>
        <v>https://patents.google.com/patent/CN101578626A/en</v>
      </c>
    </row>
    <row r="9737" spans="3:5" x14ac:dyDescent="0.25">
      <c r="C9737" t="s">
        <v>17916</v>
      </c>
      <c r="D9737" t="s">
        <v>17917</v>
      </c>
      <c r="E9737" t="str">
        <f>HYPERLINK("https://patents.google.com/patent/CN202316365U/en")</f>
        <v>https://patents.google.com/patent/CN202316365U/en</v>
      </c>
    </row>
    <row r="9738" spans="3:5" x14ac:dyDescent="0.25">
      <c r="C9738" t="s">
        <v>17918</v>
      </c>
      <c r="D9738" t="s">
        <v>17919</v>
      </c>
      <c r="E9738" t="str">
        <f>HYPERLINK("https://patents.google.com/patent/JP2004312393A/en")</f>
        <v>https://patents.google.com/patent/JP2004312393A/en</v>
      </c>
    </row>
    <row r="9739" spans="3:5" x14ac:dyDescent="0.25">
      <c r="C9739" t="s">
        <v>14262</v>
      </c>
      <c r="D9739" t="s">
        <v>17920</v>
      </c>
      <c r="E9739" t="str">
        <f>HYPERLINK("https://patents.google.com/patent/CN207804199U/en")</f>
        <v>https://patents.google.com/patent/CN207804199U/en</v>
      </c>
    </row>
    <row r="9740" spans="3:5" x14ac:dyDescent="0.25">
      <c r="C9740" t="s">
        <v>17921</v>
      </c>
      <c r="D9740" t="s">
        <v>17922</v>
      </c>
      <c r="E9740" t="str">
        <f>HYPERLINK("https://patents.google.com/patent/CN203312911U/en")</f>
        <v>https://patents.google.com/patent/CN203312911U/en</v>
      </c>
    </row>
    <row r="9741" spans="3:5" x14ac:dyDescent="0.25">
      <c r="C9741" t="s">
        <v>17923</v>
      </c>
      <c r="D9741" t="s">
        <v>17924</v>
      </c>
      <c r="E9741" t="str">
        <f>HYPERLINK("https://patents.google.com/patent/CN106599760A/en")</f>
        <v>https://patents.google.com/patent/CN106599760A/en</v>
      </c>
    </row>
    <row r="9742" spans="3:5" x14ac:dyDescent="0.25">
      <c r="C9742" t="s">
        <v>17925</v>
      </c>
      <c r="D9742" t="s">
        <v>17926</v>
      </c>
      <c r="E9742" t="str">
        <f>HYPERLINK("https://patents.google.com/patent/CN107992089A/en")</f>
        <v>https://patents.google.com/patent/CN107992089A/en</v>
      </c>
    </row>
    <row r="9743" spans="3:5" x14ac:dyDescent="0.25">
      <c r="C9743" t="s">
        <v>17927</v>
      </c>
      <c r="D9743" t="s">
        <v>17928</v>
      </c>
      <c r="E9743" t="str">
        <f>HYPERLINK("https://patents.google.com/patent/CN107918888A/en")</f>
        <v>https://patents.google.com/patent/CN107918888A/en</v>
      </c>
    </row>
    <row r="9744" spans="3:5" x14ac:dyDescent="0.25">
      <c r="C9744" t="s">
        <v>17929</v>
      </c>
      <c r="D9744" t="s">
        <v>17930</v>
      </c>
      <c r="E9744" t="str">
        <f>HYPERLINK("https://patents.google.com/patent/JPH08124066A/en")</f>
        <v>https://patents.google.com/patent/JPH08124066A/en</v>
      </c>
    </row>
    <row r="9745" spans="3:5" x14ac:dyDescent="0.25">
      <c r="C9745" t="s">
        <v>17931</v>
      </c>
      <c r="D9745" t="s">
        <v>17932</v>
      </c>
      <c r="E9745" t="str">
        <f>HYPERLINK("https://patents.google.com/patent/JPH11205772A/en")</f>
        <v>https://patents.google.com/patent/JPH11205772A/en</v>
      </c>
    </row>
    <row r="9746" spans="3:5" x14ac:dyDescent="0.25">
      <c r="C9746" t="s">
        <v>17933</v>
      </c>
      <c r="D9746" t="s">
        <v>17934</v>
      </c>
      <c r="E9746" t="str">
        <f>HYPERLINK("https://patents.google.com/patent/CN1794124A/en")</f>
        <v>https://patents.google.com/patent/CN1794124A/en</v>
      </c>
    </row>
    <row r="9747" spans="3:5" x14ac:dyDescent="0.25">
      <c r="C9747" t="s">
        <v>17935</v>
      </c>
      <c r="D9747" t="s">
        <v>17936</v>
      </c>
      <c r="E9747" t="str">
        <f>HYPERLINK("https://patents.google.com/patent/JP2003288118A/en")</f>
        <v>https://patents.google.com/patent/JP2003288118A/en</v>
      </c>
    </row>
    <row r="9748" spans="3:5" x14ac:dyDescent="0.25">
      <c r="C9748" t="s">
        <v>17937</v>
      </c>
      <c r="D9748" t="s">
        <v>17938</v>
      </c>
      <c r="E9748" t="str">
        <f>HYPERLINK("https://patents.google.com/patent/CN105108728A/en")</f>
        <v>https://patents.google.com/patent/CN105108728A/en</v>
      </c>
    </row>
    <row r="9749" spans="3:5" x14ac:dyDescent="0.25">
      <c r="C9749" t="s">
        <v>17939</v>
      </c>
      <c r="D9749" t="s">
        <v>17940</v>
      </c>
      <c r="E9749" t="str">
        <f>HYPERLINK("https://patents.google.com/patent/RU2271502C2/en")</f>
        <v>https://patents.google.com/patent/RU2271502C2/en</v>
      </c>
    </row>
    <row r="9750" spans="3:5" x14ac:dyDescent="0.25">
      <c r="C9750" t="s">
        <v>17941</v>
      </c>
      <c r="D9750" t="s">
        <v>17942</v>
      </c>
      <c r="E9750" t="str">
        <f>HYPERLINK("https://patents.google.com/patent/CN104407545A/en")</f>
        <v>https://patents.google.com/patent/CN104407545A/en</v>
      </c>
    </row>
    <row r="9751" spans="3:5" x14ac:dyDescent="0.25">
      <c r="C9751" t="s">
        <v>17943</v>
      </c>
      <c r="D9751" t="s">
        <v>17944</v>
      </c>
      <c r="E9751" t="str">
        <f>HYPERLINK("https://patents.google.com/patent/JP2007216363A/en")</f>
        <v>https://patents.google.com/patent/JP2007216363A/en</v>
      </c>
    </row>
    <row r="9752" spans="3:5" x14ac:dyDescent="0.25">
      <c r="C9752" t="s">
        <v>17945</v>
      </c>
      <c r="D9752" t="s">
        <v>17946</v>
      </c>
      <c r="E9752" t="str">
        <f>HYPERLINK("https://patents.google.com/patent/DE10322765B4/en")</f>
        <v>https://patents.google.com/patent/DE10322765B4/en</v>
      </c>
    </row>
    <row r="9753" spans="3:5" x14ac:dyDescent="0.25">
      <c r="C9753" t="s">
        <v>17947</v>
      </c>
      <c r="D9753" t="s">
        <v>17948</v>
      </c>
      <c r="E9753" t="str">
        <f>HYPERLINK("https://patents.google.com/patent/CN201319202Y/en")</f>
        <v>https://patents.google.com/patent/CN201319202Y/en</v>
      </c>
    </row>
    <row r="9754" spans="3:5" x14ac:dyDescent="0.25">
      <c r="C9754" t="s">
        <v>17949</v>
      </c>
      <c r="D9754" t="s">
        <v>17950</v>
      </c>
      <c r="E9754" t="str">
        <f>HYPERLINK("https://patents.google.com/patent/JP2004051074A/en")</f>
        <v>https://patents.google.com/patent/JP2004051074A/en</v>
      </c>
    </row>
    <row r="9755" spans="3:5" x14ac:dyDescent="0.25">
      <c r="C9755" t="s">
        <v>17951</v>
      </c>
      <c r="D9755" t="s">
        <v>17952</v>
      </c>
      <c r="E9755" t="str">
        <f>HYPERLINK("https://patents.google.com/patent/JP2004061252A/en")</f>
        <v>https://patents.google.com/patent/JP2004061252A/en</v>
      </c>
    </row>
    <row r="9756" spans="3:5" x14ac:dyDescent="0.25">
      <c r="C9756" t="s">
        <v>17953</v>
      </c>
      <c r="D9756" t="s">
        <v>17954</v>
      </c>
      <c r="E9756" t="str">
        <f>HYPERLINK("https://patents.google.com/patent/JP2004037953A/en")</f>
        <v>https://patents.google.com/patent/JP2004037953A/en</v>
      </c>
    </row>
    <row r="9757" spans="3:5" x14ac:dyDescent="0.25">
      <c r="C9757" t="s">
        <v>17955</v>
      </c>
      <c r="D9757" t="s">
        <v>17956</v>
      </c>
      <c r="E9757" t="str">
        <f>HYPERLINK("https://patents.google.com/patent/JP2004163232A/en")</f>
        <v>https://patents.google.com/patent/JP2004163232A/en</v>
      </c>
    </row>
    <row r="9758" spans="3:5" x14ac:dyDescent="0.25">
      <c r="C9758" t="s">
        <v>17957</v>
      </c>
      <c r="D9758" t="s">
        <v>17958</v>
      </c>
      <c r="E9758" t="str">
        <f>HYPERLINK("https://patents.google.com/patent/CN202025365U/en")</f>
        <v>https://patents.google.com/patent/CN202025365U/en</v>
      </c>
    </row>
    <row r="9759" spans="3:5" x14ac:dyDescent="0.25">
      <c r="C9759" t="s">
        <v>17855</v>
      </c>
      <c r="D9759" t="s">
        <v>17959</v>
      </c>
      <c r="E9759" t="str">
        <f>HYPERLINK("https://patents.google.com/patent/CN203812055U/en")</f>
        <v>https://patents.google.com/patent/CN203812055U/en</v>
      </c>
    </row>
    <row r="9760" spans="3:5" x14ac:dyDescent="0.25">
      <c r="C9760" t="s">
        <v>17960</v>
      </c>
      <c r="D9760" t="s">
        <v>17961</v>
      </c>
      <c r="E9760" t="str">
        <f>HYPERLINK("https://patents.google.com/patent/JP2003295951A/en")</f>
        <v>https://patents.google.com/patent/JP2003295951A/en</v>
      </c>
    </row>
    <row r="9761" spans="3:5" x14ac:dyDescent="0.25">
      <c r="C9761" t="s">
        <v>17962</v>
      </c>
      <c r="D9761" t="s">
        <v>17963</v>
      </c>
      <c r="E9761" t="str">
        <f>HYPERLINK("https://patents.google.com/patent/JPH10304339A/en")</f>
        <v>https://patents.google.com/patent/JPH10304339A/en</v>
      </c>
    </row>
    <row r="9762" spans="3:5" x14ac:dyDescent="0.25">
      <c r="C9762" t="s">
        <v>17964</v>
      </c>
      <c r="D9762" t="s">
        <v>17965</v>
      </c>
      <c r="E9762" t="str">
        <f>HYPERLINK("https://patents.google.com/patent/WO2016026059A1/en")</f>
        <v>https://patents.google.com/patent/WO2016026059A1/en</v>
      </c>
    </row>
    <row r="9763" spans="3:5" x14ac:dyDescent="0.25">
      <c r="C9763" t="s">
        <v>17966</v>
      </c>
      <c r="D9763" t="s">
        <v>17967</v>
      </c>
      <c r="E9763" t="str">
        <f>HYPERLINK("https://patents.google.com/patent/JP2004045616A/en")</f>
        <v>https://patents.google.com/patent/JP2004045616A/en</v>
      </c>
    </row>
    <row r="9764" spans="3:5" x14ac:dyDescent="0.25">
      <c r="C9764" t="s">
        <v>17968</v>
      </c>
      <c r="D9764" t="s">
        <v>17969</v>
      </c>
      <c r="E9764" t="str">
        <f>HYPERLINK("https://patents.google.com/patent/US9306880B1/en")</f>
        <v>https://patents.google.com/patent/US9306880B1/en</v>
      </c>
    </row>
    <row r="9765" spans="3:5" x14ac:dyDescent="0.25">
      <c r="C9765" t="s">
        <v>17970</v>
      </c>
      <c r="D9765" t="s">
        <v>17971</v>
      </c>
      <c r="E9765" t="str">
        <f>HYPERLINK("https://patents.google.com/patent/CN203772421U/en")</f>
        <v>https://patents.google.com/patent/CN203772421U/en</v>
      </c>
    </row>
    <row r="9766" spans="3:5" x14ac:dyDescent="0.25">
      <c r="C9766" t="s">
        <v>17972</v>
      </c>
      <c r="D9766" t="s">
        <v>17973</v>
      </c>
      <c r="E9766" t="str">
        <f>HYPERLINK("https://patents.google.com/patent/CN105881555A/en")</f>
        <v>https://patents.google.com/patent/CN105881555A/en</v>
      </c>
    </row>
    <row r="9767" spans="3:5" x14ac:dyDescent="0.25">
      <c r="C9767" t="s">
        <v>17974</v>
      </c>
      <c r="D9767" t="s">
        <v>17975</v>
      </c>
      <c r="E9767" t="str">
        <f>HYPERLINK("https://patents.google.com/patent/CN204012935U/en")</f>
        <v>https://patents.google.com/patent/CN204012935U/en</v>
      </c>
    </row>
    <row r="9768" spans="3:5" x14ac:dyDescent="0.25">
      <c r="C9768" t="s">
        <v>17976</v>
      </c>
      <c r="D9768" t="s">
        <v>17977</v>
      </c>
      <c r="E9768" t="str">
        <f>HYPERLINK("https://patents.google.com/patent/CN105704247A/en")</f>
        <v>https://patents.google.com/patent/CN105704247A/en</v>
      </c>
    </row>
    <row r="9769" spans="3:5" x14ac:dyDescent="0.25">
      <c r="C9769" t="s">
        <v>17978</v>
      </c>
      <c r="D9769" t="s">
        <v>17979</v>
      </c>
      <c r="E9769" t="str">
        <f>HYPERLINK("https://patents.google.com/patent/JP2004054883A/en")</f>
        <v>https://patents.google.com/patent/JP2004054883A/en</v>
      </c>
    </row>
    <row r="9770" spans="3:5" x14ac:dyDescent="0.25">
      <c r="C9770" t="s">
        <v>17980</v>
      </c>
      <c r="D9770" t="s">
        <v>17981</v>
      </c>
      <c r="E9770" t="str">
        <f>HYPERLINK("https://patents.google.com/patent/JP2003058571A/en")</f>
        <v>https://patents.google.com/patent/JP2003058571A/en</v>
      </c>
    </row>
    <row r="9771" spans="3:5" x14ac:dyDescent="0.25">
      <c r="C9771" t="s">
        <v>15595</v>
      </c>
      <c r="D9771" t="s">
        <v>17982</v>
      </c>
      <c r="E9771" t="str">
        <f>HYPERLINK("https://patents.google.com/patent/WO2011005024A2/en")</f>
        <v>https://patents.google.com/patent/WO2011005024A2/en</v>
      </c>
    </row>
    <row r="9772" spans="3:5" x14ac:dyDescent="0.25">
      <c r="C9772" t="s">
        <v>17983</v>
      </c>
      <c r="D9772" t="s">
        <v>17984</v>
      </c>
      <c r="E9772" t="str">
        <f>HYPERLINK("https://patents.google.com/patent/JP2005288628A/en")</f>
        <v>https://patents.google.com/patent/JP2005288628A/en</v>
      </c>
    </row>
    <row r="9773" spans="3:5" x14ac:dyDescent="0.25">
      <c r="C9773" t="s">
        <v>17985</v>
      </c>
      <c r="D9773" t="s">
        <v>17986</v>
      </c>
      <c r="E9773" t="str">
        <f>HYPERLINK("https://patents.google.com/patent/JP2008065763A/en")</f>
        <v>https://patents.google.com/patent/JP2008065763A/en</v>
      </c>
    </row>
    <row r="9774" spans="3:5" x14ac:dyDescent="0.25">
      <c r="C9774" t="s">
        <v>17987</v>
      </c>
      <c r="D9774" t="s">
        <v>17988</v>
      </c>
      <c r="E9774" t="str">
        <f>HYPERLINK("https://patents.google.com/patent/JP6393377B1/en")</f>
        <v>https://patents.google.com/patent/JP6393377B1/en</v>
      </c>
    </row>
    <row r="9775" spans="3:5" x14ac:dyDescent="0.25">
      <c r="C9775" t="s">
        <v>6200</v>
      </c>
      <c r="D9775" t="s">
        <v>17989</v>
      </c>
      <c r="E9775" t="str">
        <f>HYPERLINK("https://patents.google.com/patent/JP4963394B2/en")</f>
        <v>https://patents.google.com/patent/JP4963394B2/en</v>
      </c>
    </row>
    <row r="9776" spans="3:5" x14ac:dyDescent="0.25">
      <c r="C9776" t="s">
        <v>6200</v>
      </c>
      <c r="D9776" t="s">
        <v>17990</v>
      </c>
      <c r="E9776" t="str">
        <f>HYPERLINK("https://patents.google.com/patent/JP4684976B2/en")</f>
        <v>https://patents.google.com/patent/JP4684976B2/en</v>
      </c>
    </row>
    <row r="9777" spans="3:5" x14ac:dyDescent="0.25">
      <c r="C9777" t="s">
        <v>17991</v>
      </c>
      <c r="D9777" t="s">
        <v>17992</v>
      </c>
      <c r="E9777" t="str">
        <f>HYPERLINK("https://patents.google.com/patent/CN202083757U/en")</f>
        <v>https://patents.google.com/patent/CN202083757U/en</v>
      </c>
    </row>
    <row r="9778" spans="3:5" x14ac:dyDescent="0.25">
      <c r="C9778" t="s">
        <v>17993</v>
      </c>
      <c r="D9778" t="s">
        <v>17994</v>
      </c>
      <c r="E9778" t="str">
        <f>HYPERLINK("https://patents.google.com/patent/CN204215204U/en")</f>
        <v>https://patents.google.com/patent/CN204215204U/en</v>
      </c>
    </row>
    <row r="9779" spans="3:5" x14ac:dyDescent="0.25">
      <c r="C9779" t="s">
        <v>17995</v>
      </c>
      <c r="D9779" t="s">
        <v>17996</v>
      </c>
      <c r="E9779" t="str">
        <f>HYPERLINK("https://patents.google.com/patent/CN203455444U/en")</f>
        <v>https://patents.google.com/patent/CN203455444U/en</v>
      </c>
    </row>
    <row r="9780" spans="3:5" x14ac:dyDescent="0.25">
      <c r="C9780" t="s">
        <v>17997</v>
      </c>
      <c r="D9780" t="s">
        <v>17998</v>
      </c>
      <c r="E9780" t="str">
        <f>HYPERLINK("https://patents.google.com/patent/CN204577979U/en")</f>
        <v>https://patents.google.com/patent/CN204577979U/en</v>
      </c>
    </row>
    <row r="9781" spans="3:5" x14ac:dyDescent="0.25">
      <c r="C9781" t="s">
        <v>17999</v>
      </c>
      <c r="D9781" t="s">
        <v>18000</v>
      </c>
      <c r="E9781" t="str">
        <f>HYPERLINK("https://patents.google.com/patent/CN203386241U/en")</f>
        <v>https://patents.google.com/patent/CN203386241U/en</v>
      </c>
    </row>
    <row r="9782" spans="3:5" x14ac:dyDescent="0.25">
      <c r="C9782" t="s">
        <v>18001</v>
      </c>
      <c r="D9782" t="s">
        <v>18002</v>
      </c>
      <c r="E9782" t="str">
        <f>HYPERLINK("https://patents.google.com/patent/KR101247213B1/en")</f>
        <v>https://patents.google.com/patent/KR101247213B1/en</v>
      </c>
    </row>
    <row r="9783" spans="3:5" x14ac:dyDescent="0.25">
      <c r="C9783" t="s">
        <v>18003</v>
      </c>
      <c r="D9783" t="s">
        <v>18004</v>
      </c>
      <c r="E9783" t="str">
        <f>HYPERLINK("https://patents.google.com/patent/JP4732023B2/en")</f>
        <v>https://patents.google.com/patent/JP4732023B2/en</v>
      </c>
    </row>
    <row r="9784" spans="3:5" x14ac:dyDescent="0.25">
      <c r="C9784" t="s">
        <v>18005</v>
      </c>
      <c r="D9784" t="s">
        <v>18006</v>
      </c>
      <c r="E9784" t="str">
        <f>HYPERLINK("https://patents.google.com/patent/CN202177817U/en")</f>
        <v>https://patents.google.com/patent/CN202177817U/en</v>
      </c>
    </row>
    <row r="9785" spans="3:5" x14ac:dyDescent="0.25">
      <c r="C9785" t="s">
        <v>18007</v>
      </c>
      <c r="D9785" t="s">
        <v>18008</v>
      </c>
      <c r="E9785" t="str">
        <f>HYPERLINK("https://patents.google.com/patent/CN205680195U/en")</f>
        <v>https://patents.google.com/patent/CN205680195U/en</v>
      </c>
    </row>
    <row r="9786" spans="3:5" x14ac:dyDescent="0.25">
      <c r="C9786" t="s">
        <v>18009</v>
      </c>
      <c r="D9786" t="s">
        <v>18010</v>
      </c>
      <c r="E9786" t="str">
        <f>HYPERLINK("https://patents.google.com/patent/JP2004028702A/en")</f>
        <v>https://patents.google.com/patent/JP2004028702A/en</v>
      </c>
    </row>
    <row r="9787" spans="3:5" x14ac:dyDescent="0.25">
      <c r="C9787" t="s">
        <v>18011</v>
      </c>
      <c r="D9787" t="s">
        <v>18012</v>
      </c>
      <c r="E9787" t="str">
        <f>HYPERLINK("https://patents.google.com/patent/CN107618671A/en")</f>
        <v>https://patents.google.com/patent/CN107618671A/en</v>
      </c>
    </row>
    <row r="9788" spans="3:5" x14ac:dyDescent="0.25">
      <c r="C9788" t="s">
        <v>18013</v>
      </c>
      <c r="D9788" t="s">
        <v>18014</v>
      </c>
      <c r="E9788" t="str">
        <f>HYPERLINK("https://patents.google.com/patent/CN106936085A/en")</f>
        <v>https://patents.google.com/patent/CN106936085A/en</v>
      </c>
    </row>
    <row r="9789" spans="3:5" x14ac:dyDescent="0.25">
      <c r="C9789" t="s">
        <v>18015</v>
      </c>
      <c r="D9789" t="s">
        <v>18016</v>
      </c>
      <c r="E9789" t="str">
        <f>HYPERLINK("https://patents.google.com/patent/CN106654941A/en")</f>
        <v>https://patents.google.com/patent/CN106654941A/en</v>
      </c>
    </row>
    <row r="9790" spans="3:5" x14ac:dyDescent="0.25">
      <c r="C9790" t="s">
        <v>18017</v>
      </c>
      <c r="D9790" t="s">
        <v>18018</v>
      </c>
      <c r="E9790" t="str">
        <f>HYPERLINK("https://patents.google.com/patent/CA2642458A1/en")</f>
        <v>https://patents.google.com/patent/CA2642458A1/en</v>
      </c>
    </row>
    <row r="9791" spans="3:5" x14ac:dyDescent="0.25">
      <c r="C9791" t="s">
        <v>18019</v>
      </c>
      <c r="D9791" t="s">
        <v>18020</v>
      </c>
      <c r="E9791" t="str">
        <f>HYPERLINK("https://patents.google.com/patent/CA2636886A1/en")</f>
        <v>https://patents.google.com/patent/CA2636886A1/en</v>
      </c>
    </row>
    <row r="9792" spans="3:5" x14ac:dyDescent="0.25">
      <c r="C9792" t="s">
        <v>18021</v>
      </c>
      <c r="D9792" t="s">
        <v>18022</v>
      </c>
      <c r="E9792" t="str">
        <f>HYPERLINK("https://patents.google.com/patent/JP2000280189A/en")</f>
        <v>https://patents.google.com/patent/JP2000280189A/en</v>
      </c>
    </row>
    <row r="9793" spans="3:5" x14ac:dyDescent="0.25">
      <c r="C9793" t="s">
        <v>18023</v>
      </c>
      <c r="D9793" t="s">
        <v>18024</v>
      </c>
      <c r="E9793" t="str">
        <f>HYPERLINK("https://patents.google.com/patent/CN107680195A/en")</f>
        <v>https://patents.google.com/patent/CN107680195A/en</v>
      </c>
    </row>
    <row r="9794" spans="3:5" x14ac:dyDescent="0.25">
      <c r="C9794" t="s">
        <v>18025</v>
      </c>
      <c r="D9794" t="s">
        <v>18026</v>
      </c>
      <c r="E9794" t="str">
        <f>HYPERLINK("https://patents.google.com/patent/US20170244472A1/en")</f>
        <v>https://patents.google.com/patent/US20170244472A1/en</v>
      </c>
    </row>
    <row r="9795" spans="3:5" x14ac:dyDescent="0.25">
      <c r="C9795" t="s">
        <v>18027</v>
      </c>
      <c r="D9795" t="s">
        <v>18028</v>
      </c>
      <c r="E9795" t="str">
        <f>HYPERLINK("https://patents.google.com/patent/CN205685347U/en")</f>
        <v>https://patents.google.com/patent/CN205685347U/en</v>
      </c>
    </row>
    <row r="9796" spans="3:5" x14ac:dyDescent="0.25">
      <c r="C9796" t="s">
        <v>18029</v>
      </c>
      <c r="D9796" t="s">
        <v>18030</v>
      </c>
      <c r="E9796" t="str">
        <f>HYPERLINK("https://patents.google.com/patent/US20150127405A1/en")</f>
        <v>https://patents.google.com/patent/US20150127405A1/en</v>
      </c>
    </row>
    <row r="9797" spans="3:5" x14ac:dyDescent="0.25">
      <c r="C9797" t="s">
        <v>18031</v>
      </c>
      <c r="D9797" t="s">
        <v>18032</v>
      </c>
      <c r="E9797" t="str">
        <f>HYPERLINK("https://patents.google.com/patent/US20170372514A1/en")</f>
        <v>https://patents.google.com/patent/US20170372514A1/en</v>
      </c>
    </row>
    <row r="9798" spans="3:5" x14ac:dyDescent="0.25">
      <c r="C9798" t="s">
        <v>18033</v>
      </c>
      <c r="D9798" t="s">
        <v>18034</v>
      </c>
      <c r="E9798" t="str">
        <f>HYPERLINK("https://patents.google.com/patent/CN205736997U/en")</f>
        <v>https://patents.google.com/patent/CN205736997U/en</v>
      </c>
    </row>
    <row r="9799" spans="3:5" x14ac:dyDescent="0.25">
      <c r="C9799" t="s">
        <v>18035</v>
      </c>
      <c r="D9799" t="s">
        <v>18036</v>
      </c>
      <c r="E9799" t="str">
        <f>HYPERLINK("https://patents.google.com/patent/CN108133441A/en")</f>
        <v>https://patents.google.com/patent/CN108133441A/en</v>
      </c>
    </row>
    <row r="9800" spans="3:5" x14ac:dyDescent="0.25">
      <c r="C9800" t="s">
        <v>18037</v>
      </c>
      <c r="D9800" t="s">
        <v>18038</v>
      </c>
      <c r="E9800" t="str">
        <f>HYPERLINK("https://patents.google.com/patent/CN104165636A/en")</f>
        <v>https://patents.google.com/patent/CN104165636A/en</v>
      </c>
    </row>
    <row r="9801" spans="3:5" x14ac:dyDescent="0.25">
      <c r="C9801" t="s">
        <v>18039</v>
      </c>
      <c r="D9801" t="s">
        <v>18040</v>
      </c>
      <c r="E9801" t="str">
        <f>HYPERLINK("https://patents.google.com/patent/CN206249417U/en")</f>
        <v>https://patents.google.com/patent/CN206249417U/en</v>
      </c>
    </row>
    <row r="9802" spans="3:5" x14ac:dyDescent="0.25">
      <c r="C9802" t="s">
        <v>16014</v>
      </c>
      <c r="D9802" t="s">
        <v>18041</v>
      </c>
      <c r="E9802" t="str">
        <f>HYPERLINK("https://patents.google.com/patent/CA2859622C/en")</f>
        <v>https://patents.google.com/patent/CA2859622C/en</v>
      </c>
    </row>
    <row r="9803" spans="3:5" x14ac:dyDescent="0.25">
      <c r="C9803" t="s">
        <v>18042</v>
      </c>
      <c r="D9803" t="s">
        <v>18043</v>
      </c>
      <c r="E9803" t="str">
        <f>HYPERLINK("https://patents.google.com/patent/CA2288428C/en")</f>
        <v>https://patents.google.com/patent/CA2288428C/en</v>
      </c>
    </row>
    <row r="9804" spans="3:5" x14ac:dyDescent="0.25">
      <c r="C9804" t="s">
        <v>18044</v>
      </c>
      <c r="D9804" t="s">
        <v>18045</v>
      </c>
      <c r="E9804" t="str">
        <f>HYPERLINK("https://patents.google.com/patent/CN100451897C/en")</f>
        <v>https://patents.google.com/patent/CN100451897C/en</v>
      </c>
    </row>
    <row r="9805" spans="3:5" x14ac:dyDescent="0.25">
      <c r="C9805" t="s">
        <v>18046</v>
      </c>
      <c r="D9805" t="s">
        <v>18047</v>
      </c>
      <c r="E9805" t="str">
        <f>HYPERLINK("https://patents.google.com/patent/JP2004291154A/en")</f>
        <v>https://patents.google.com/patent/JP2004291154A/en</v>
      </c>
    </row>
    <row r="9806" spans="3:5" x14ac:dyDescent="0.25">
      <c r="C9806" t="s">
        <v>18048</v>
      </c>
      <c r="D9806" t="s">
        <v>18049</v>
      </c>
      <c r="E9806" t="str">
        <f>HYPERLINK("https://patents.google.com/patent/CN104868547A/en")</f>
        <v>https://patents.google.com/patent/CN104868547A/en</v>
      </c>
    </row>
    <row r="9807" spans="3:5" x14ac:dyDescent="0.25">
      <c r="C9807" t="s">
        <v>18050</v>
      </c>
      <c r="D9807" t="s">
        <v>18051</v>
      </c>
      <c r="E9807" t="str">
        <f>HYPERLINK("https://patents.google.com/patent/WO2018051349A1/en")</f>
        <v>https://patents.google.com/patent/WO2018051349A1/en</v>
      </c>
    </row>
    <row r="9808" spans="3:5" x14ac:dyDescent="0.25">
      <c r="C9808" t="s">
        <v>18052</v>
      </c>
      <c r="D9808" t="s">
        <v>18053</v>
      </c>
      <c r="E9808" t="str">
        <f>HYPERLINK("https://patents.google.com/patent/JP2000266728A/en")</f>
        <v>https://patents.google.com/patent/JP2000266728A/en</v>
      </c>
    </row>
    <row r="9809" spans="3:5" x14ac:dyDescent="0.25">
      <c r="C9809" t="s">
        <v>18054</v>
      </c>
      <c r="D9809" t="s">
        <v>18055</v>
      </c>
      <c r="E9809" t="str">
        <f>HYPERLINK("https://patents.google.com/patent/CN106324619A/en")</f>
        <v>https://patents.google.com/patent/CN106324619A/en</v>
      </c>
    </row>
    <row r="9810" spans="3:5" x14ac:dyDescent="0.25">
      <c r="C9810" t="s">
        <v>18056</v>
      </c>
      <c r="D9810" t="s">
        <v>18057</v>
      </c>
      <c r="E9810" t="str">
        <f>HYPERLINK("https://patents.google.com/patent/CN107934419A/en")</f>
        <v>https://patents.google.com/patent/CN107934419A/en</v>
      </c>
    </row>
    <row r="9811" spans="3:5" x14ac:dyDescent="0.25">
      <c r="C9811" t="s">
        <v>18058</v>
      </c>
      <c r="D9811" t="s">
        <v>18059</v>
      </c>
      <c r="E9811" t="str">
        <f>HYPERLINK("https://patents.google.com/patent/WO2015024407A1/en")</f>
        <v>https://patents.google.com/patent/WO2015024407A1/en</v>
      </c>
    </row>
    <row r="9812" spans="3:5" x14ac:dyDescent="0.25">
      <c r="C9812" t="s">
        <v>18060</v>
      </c>
      <c r="D9812" t="s">
        <v>18061</v>
      </c>
      <c r="E9812" t="str">
        <f>HYPERLINK("https://patents.google.com/patent/CN207096814U/en")</f>
        <v>https://patents.google.com/patent/CN207096814U/en</v>
      </c>
    </row>
    <row r="9813" spans="3:5" x14ac:dyDescent="0.25">
      <c r="C9813" t="s">
        <v>18062</v>
      </c>
      <c r="D9813" t="s">
        <v>18063</v>
      </c>
      <c r="E9813" t="str">
        <f>HYPERLINK("https://patents.google.com/patent/JPWO2017029982A1/en")</f>
        <v>https://patents.google.com/patent/JPWO2017029982A1/en</v>
      </c>
    </row>
    <row r="9814" spans="3:5" x14ac:dyDescent="0.25">
      <c r="C9814" t="s">
        <v>18064</v>
      </c>
      <c r="D9814" t="s">
        <v>18065</v>
      </c>
      <c r="E9814" t="str">
        <f>HYPERLINK("https://patents.google.com/patent/CN105137998A/en")</f>
        <v>https://patents.google.com/patent/CN105137998A/en</v>
      </c>
    </row>
    <row r="9815" spans="3:5" x14ac:dyDescent="0.25">
      <c r="C9815" t="s">
        <v>18066</v>
      </c>
      <c r="D9815" t="s">
        <v>18067</v>
      </c>
      <c r="E9815" t="str">
        <f>HYPERLINK("https://patents.google.com/patent/CN105913095A/en")</f>
        <v>https://patents.google.com/patent/CN105913095A/en</v>
      </c>
    </row>
    <row r="9816" spans="3:5" x14ac:dyDescent="0.25">
      <c r="C9816" t="s">
        <v>18068</v>
      </c>
      <c r="D9816" t="s">
        <v>18069</v>
      </c>
      <c r="E9816" t="str">
        <f>HYPERLINK("https://patents.google.com/patent/ES2389821T3/en")</f>
        <v>https://patents.google.com/patent/ES2389821T3/en</v>
      </c>
    </row>
    <row r="9817" spans="3:5" x14ac:dyDescent="0.25">
      <c r="C9817" t="s">
        <v>18070</v>
      </c>
      <c r="D9817" t="s">
        <v>18071</v>
      </c>
      <c r="E9817" t="str">
        <f>HYPERLINK("https://patents.google.com/patent/JP2007128488A/en")</f>
        <v>https://patents.google.com/patent/JP2007128488A/en</v>
      </c>
    </row>
    <row r="9818" spans="3:5" x14ac:dyDescent="0.25">
      <c r="C9818" t="s">
        <v>18072</v>
      </c>
      <c r="D9818" t="s">
        <v>18073</v>
      </c>
      <c r="E9818" t="str">
        <f>HYPERLINK("https://patents.google.com/patent/CN106556826A/en")</f>
        <v>https://patents.google.com/patent/CN106556826A/en</v>
      </c>
    </row>
    <row r="9819" spans="3:5" x14ac:dyDescent="0.25">
      <c r="C9819" t="s">
        <v>18074</v>
      </c>
      <c r="D9819" t="s">
        <v>18075</v>
      </c>
      <c r="E9819" t="str">
        <f>HYPERLINK("https://patents.google.com/patent/CN106737564A/en")</f>
        <v>https://patents.google.com/patent/CN106737564A/en</v>
      </c>
    </row>
    <row r="9820" spans="3:5" x14ac:dyDescent="0.25">
      <c r="C9820" t="s">
        <v>18076</v>
      </c>
      <c r="D9820" t="s">
        <v>18077</v>
      </c>
      <c r="E9820" t="str">
        <f>HYPERLINK("https://patents.google.com/patent/DE102016219049A1/en")</f>
        <v>https://patents.google.com/patent/DE102016219049A1/en</v>
      </c>
    </row>
    <row r="9821" spans="3:5" x14ac:dyDescent="0.25">
      <c r="C9821" t="s">
        <v>18078</v>
      </c>
      <c r="D9821" t="s">
        <v>18079</v>
      </c>
      <c r="E9821" t="str">
        <f>HYPERLINK("https://patents.google.com/patent/CN108349607A/en")</f>
        <v>https://patents.google.com/patent/CN108349607A/en</v>
      </c>
    </row>
    <row r="9822" spans="3:5" x14ac:dyDescent="0.25">
      <c r="C9822" t="s">
        <v>18080</v>
      </c>
      <c r="D9822" t="s">
        <v>18081</v>
      </c>
      <c r="E9822" t="str">
        <f>HYPERLINK("https://patents.google.com/patent/CN107534677A/en")</f>
        <v>https://patents.google.com/patent/CN107534677A/en</v>
      </c>
    </row>
    <row r="9823" spans="3:5" x14ac:dyDescent="0.25">
      <c r="C9823" t="s">
        <v>15955</v>
      </c>
      <c r="D9823" t="s">
        <v>18082</v>
      </c>
      <c r="E9823" t="str">
        <f>HYPERLINK("https://patents.google.com/patent/CN105549612A/en")</f>
        <v>https://patents.google.com/patent/CN105549612A/en</v>
      </c>
    </row>
    <row r="9824" spans="3:5" x14ac:dyDescent="0.25">
      <c r="C9824" t="s">
        <v>18042</v>
      </c>
      <c r="D9824" t="s">
        <v>18083</v>
      </c>
      <c r="E9824" t="str">
        <f>HYPERLINK("https://patents.google.com/patent/CA2357064A1/en")</f>
        <v>https://patents.google.com/patent/CA2357064A1/en</v>
      </c>
    </row>
    <row r="9825" spans="3:5" x14ac:dyDescent="0.25">
      <c r="C9825" t="s">
        <v>18084</v>
      </c>
      <c r="D9825" t="s">
        <v>18085</v>
      </c>
      <c r="E9825" t="str">
        <f>HYPERLINK("https://patents.google.com/patent/CN205242189U/en")</f>
        <v>https://patents.google.com/patent/CN205242189U/en</v>
      </c>
    </row>
    <row r="9826" spans="3:5" x14ac:dyDescent="0.25">
      <c r="C9826" t="s">
        <v>18086</v>
      </c>
      <c r="D9826" t="s">
        <v>18087</v>
      </c>
      <c r="E9826" t="str">
        <f>HYPERLINK("https://patents.google.com/patent/CN205193591U/en")</f>
        <v>https://patents.google.com/patent/CN205193591U/en</v>
      </c>
    </row>
    <row r="9827" spans="3:5" x14ac:dyDescent="0.25">
      <c r="C9827" t="s">
        <v>18088</v>
      </c>
      <c r="D9827" t="s">
        <v>18089</v>
      </c>
      <c r="E9827" t="str">
        <f>HYPERLINK("https://patents.google.com/patent/CN105922884B/en")</f>
        <v>https://patents.google.com/patent/CN105922884B/en</v>
      </c>
    </row>
    <row r="9828" spans="3:5" x14ac:dyDescent="0.25">
      <c r="C9828" t="s">
        <v>18090</v>
      </c>
      <c r="D9828" t="s">
        <v>18091</v>
      </c>
      <c r="E9828" t="str">
        <f>HYPERLINK("https://patents.google.com/patent/CN206543402U/en")</f>
        <v>https://patents.google.com/patent/CN206543402U/en</v>
      </c>
    </row>
    <row r="9829" spans="3:5" x14ac:dyDescent="0.25">
      <c r="C9829" t="s">
        <v>18092</v>
      </c>
      <c r="D9829" t="s">
        <v>18093</v>
      </c>
      <c r="E9829" t="str">
        <f>HYPERLINK("https://patents.google.com/patent/CN104851144B/en")</f>
        <v>https://patents.google.com/patent/CN104851144B/en</v>
      </c>
    </row>
    <row r="9830" spans="3:5" x14ac:dyDescent="0.25">
      <c r="C9830" t="s">
        <v>16185</v>
      </c>
      <c r="D9830" t="s">
        <v>18094</v>
      </c>
      <c r="E9830" t="str">
        <f>HYPERLINK("https://patents.google.com/patent/WO2015056177A1/en")</f>
        <v>https://patents.google.com/patent/WO2015056177A1/en</v>
      </c>
    </row>
    <row r="9831" spans="3:5" x14ac:dyDescent="0.25">
      <c r="C9831" t="s">
        <v>18095</v>
      </c>
      <c r="D9831" t="s">
        <v>18096</v>
      </c>
      <c r="E9831" t="str">
        <f>HYPERLINK("https://patents.google.com/patent/WO2017030188A1/en")</f>
        <v>https://patents.google.com/patent/WO2017030188A1/en</v>
      </c>
    </row>
    <row r="9832" spans="3:5" x14ac:dyDescent="0.25">
      <c r="C9832" t="s">
        <v>18097</v>
      </c>
      <c r="D9832" t="s">
        <v>18098</v>
      </c>
      <c r="E9832" t="str">
        <f>HYPERLINK("https://patents.google.com/patent/FR2639774A1/en")</f>
        <v>https://patents.google.com/patent/FR2639774A1/en</v>
      </c>
    </row>
    <row r="9833" spans="3:5" x14ac:dyDescent="0.25">
      <c r="C9833" t="s">
        <v>18099</v>
      </c>
      <c r="D9833" t="s">
        <v>18100</v>
      </c>
      <c r="E9833" t="str">
        <f>HYPERLINK("https://patents.google.com/patent/CN106208395A/en")</f>
        <v>https://patents.google.com/patent/CN106208395A/en</v>
      </c>
    </row>
    <row r="9834" spans="3:5" x14ac:dyDescent="0.25">
      <c r="C9834" t="s">
        <v>18101</v>
      </c>
      <c r="D9834" t="s">
        <v>18102</v>
      </c>
      <c r="E9834" t="str">
        <f>HYPERLINK("https://patents.google.com/patent/CN207340060U/en")</f>
        <v>https://patents.google.com/patent/CN207340060U/en</v>
      </c>
    </row>
    <row r="9835" spans="3:5" x14ac:dyDescent="0.25">
      <c r="C9835" t="s">
        <v>18103</v>
      </c>
      <c r="D9835" t="s">
        <v>18104</v>
      </c>
      <c r="E9835" t="str">
        <f>HYPERLINK("https://patents.google.com/patent/NL1038381C/en")</f>
        <v>https://patents.google.com/patent/NL1038381C/en</v>
      </c>
    </row>
    <row r="9836" spans="3:5" x14ac:dyDescent="0.25">
      <c r="C9836" t="s">
        <v>18105</v>
      </c>
      <c r="D9836" t="s">
        <v>18106</v>
      </c>
      <c r="E9836" t="str">
        <f>HYPERLINK("https://patents.google.com/patent/CN206455652U/en")</f>
        <v>https://patents.google.com/patent/CN206455652U/en</v>
      </c>
    </row>
    <row r="9837" spans="3:5" x14ac:dyDescent="0.25">
      <c r="C9837" t="s">
        <v>18107</v>
      </c>
      <c r="D9837" t="s">
        <v>18108</v>
      </c>
      <c r="E9837" t="str">
        <f>HYPERLINK("https://patents.google.com/patent/CN1219283C/en")</f>
        <v>https://patents.google.com/patent/CN1219283C/en</v>
      </c>
    </row>
    <row r="9838" spans="3:5" x14ac:dyDescent="0.25">
      <c r="C9838" t="s">
        <v>18109</v>
      </c>
      <c r="D9838" t="s">
        <v>18110</v>
      </c>
      <c r="E9838" t="str">
        <f>HYPERLINK("https://patents.google.com/patent/JP2009093429A/en")</f>
        <v>https://patents.google.com/patent/JP2009093429A/en</v>
      </c>
    </row>
    <row r="9839" spans="3:5" x14ac:dyDescent="0.25">
      <c r="C9839" t="s">
        <v>18111</v>
      </c>
      <c r="D9839" t="s">
        <v>18112</v>
      </c>
      <c r="E9839" t="str">
        <f>HYPERLINK("https://patents.google.com/patent/ES2407980T3/en")</f>
        <v>https://patents.google.com/patent/ES2407980T3/en</v>
      </c>
    </row>
    <row r="9840" spans="3:5" x14ac:dyDescent="0.25">
      <c r="C9840" t="s">
        <v>18113</v>
      </c>
      <c r="D9840" t="s">
        <v>18114</v>
      </c>
      <c r="E9840" t="str">
        <f>HYPERLINK("https://patents.google.com/patent/JP2017531811A/en")</f>
        <v>https://patents.google.com/patent/JP2017531811A/en</v>
      </c>
    </row>
    <row r="9841" spans="1:5" x14ac:dyDescent="0.25">
      <c r="C9841" t="s">
        <v>18115</v>
      </c>
      <c r="D9841" t="s">
        <v>18116</v>
      </c>
      <c r="E9841" t="str">
        <f>HYPERLINK("https://patents.google.com/patent/LU82388A1/en")</f>
        <v>https://patents.google.com/patent/LU82388A1/en</v>
      </c>
    </row>
    <row r="9842" spans="1:5" x14ac:dyDescent="0.25">
      <c r="C9842" t="s">
        <v>18117</v>
      </c>
      <c r="D9842" t="s">
        <v>18118</v>
      </c>
      <c r="E9842" t="str">
        <f>HYPERLINK("https://patents.google.com/patent/WO2018098046A2/en")</f>
        <v>https://patents.google.com/patent/WO2018098046A2/en</v>
      </c>
    </row>
    <row r="9843" spans="1:5" x14ac:dyDescent="0.25">
      <c r="C9843" t="s">
        <v>18119</v>
      </c>
      <c r="D9843" t="s">
        <v>18120</v>
      </c>
      <c r="E9843" t="str">
        <f>HYPERLINK("https://patents.google.com/patent/CN206406063U/en")</f>
        <v>https://patents.google.com/patent/CN206406063U/en</v>
      </c>
    </row>
    <row r="9844" spans="1:5" x14ac:dyDescent="0.25">
      <c r="C9844" t="s">
        <v>18121</v>
      </c>
      <c r="D9844" t="s">
        <v>18122</v>
      </c>
      <c r="E9844" t="str">
        <f>HYPERLINK("https://patents.google.com/patent/CN205486332U/en")</f>
        <v>https://patents.google.com/patent/CN205486332U/en</v>
      </c>
    </row>
    <row r="9845" spans="1:5" x14ac:dyDescent="0.25">
      <c r="C9845" t="s">
        <v>18123</v>
      </c>
      <c r="D9845" t="s">
        <v>18124</v>
      </c>
      <c r="E9845" t="str">
        <f>HYPERLINK("https://patents.google.com/patent/CN108098763A/en")</f>
        <v>https://patents.google.com/patent/CN108098763A/en</v>
      </c>
    </row>
    <row r="9846" spans="1:5" x14ac:dyDescent="0.25">
      <c r="C9846" t="s">
        <v>18125</v>
      </c>
      <c r="D9846" t="s">
        <v>18126</v>
      </c>
      <c r="E9846" t="str">
        <f>HYPERLINK("https://patents.google.com/patent/CN103198722A/en")</f>
        <v>https://patents.google.com/patent/CN103198722A/en</v>
      </c>
    </row>
    <row r="9847" spans="1:5" x14ac:dyDescent="0.25">
      <c r="C9847" t="s">
        <v>18127</v>
      </c>
      <c r="D9847" t="s">
        <v>18128</v>
      </c>
      <c r="E9847" t="str">
        <f>HYPERLINK("https://patents.google.com/patent/WO1997021501A1/en")</f>
        <v>https://patents.google.com/patent/WO1997021501A1/en</v>
      </c>
    </row>
    <row r="9848" spans="1:5" x14ac:dyDescent="0.25">
      <c r="A9848" t="s">
        <v>1379</v>
      </c>
      <c r="B9848">
        <v>640</v>
      </c>
    </row>
    <row r="9849" spans="1:5" x14ac:dyDescent="0.25">
      <c r="C9849" t="s">
        <v>18129</v>
      </c>
      <c r="D9849" t="s">
        <v>18130</v>
      </c>
      <c r="E9849" t="str">
        <f>HYPERLINK("https://patents.google.com/patent/CN103197642B/en")</f>
        <v>https://patents.google.com/patent/CN103197642B/en</v>
      </c>
    </row>
    <row r="9850" spans="1:5" x14ac:dyDescent="0.25">
      <c r="C9850" t="s">
        <v>18131</v>
      </c>
      <c r="D9850" t="s">
        <v>18132</v>
      </c>
      <c r="E9850" t="str">
        <f>HYPERLINK("https://patents.google.com/patent/CN206158239U/en")</f>
        <v>https://patents.google.com/patent/CN206158239U/en</v>
      </c>
    </row>
    <row r="9851" spans="1:5" x14ac:dyDescent="0.25">
      <c r="C9851" t="s">
        <v>18133</v>
      </c>
      <c r="D9851" t="s">
        <v>18134</v>
      </c>
      <c r="E9851" t="str">
        <f>HYPERLINK("https://patents.google.com/patent/CN103345716A/en")</f>
        <v>https://patents.google.com/patent/CN103345716A/en</v>
      </c>
    </row>
    <row r="9852" spans="1:5" x14ac:dyDescent="0.25">
      <c r="C9852" t="s">
        <v>18135</v>
      </c>
      <c r="D9852" t="s">
        <v>18136</v>
      </c>
      <c r="E9852" t="str">
        <f>HYPERLINK("https://patents.google.com/patent/CN104835085A/en")</f>
        <v>https://patents.google.com/patent/CN104835085A/en</v>
      </c>
    </row>
    <row r="9853" spans="1:5" x14ac:dyDescent="0.25">
      <c r="C9853" t="s">
        <v>18137</v>
      </c>
      <c r="D9853" t="s">
        <v>18138</v>
      </c>
      <c r="E9853" t="str">
        <f>HYPERLINK("https://patents.google.com/patent/US6845321B1/en")</f>
        <v>https://patents.google.com/patent/US6845321B1/en</v>
      </c>
    </row>
    <row r="9854" spans="1:5" x14ac:dyDescent="0.25">
      <c r="C9854" t="s">
        <v>18139</v>
      </c>
      <c r="D9854" t="s">
        <v>18140</v>
      </c>
      <c r="E9854" t="str">
        <f>HYPERLINK("https://patents.google.com/patent/US8814691B2/en")</f>
        <v>https://patents.google.com/patent/US8814691B2/en</v>
      </c>
    </row>
    <row r="9855" spans="1:5" x14ac:dyDescent="0.25">
      <c r="C9855" t="s">
        <v>17155</v>
      </c>
      <c r="D9855" t="s">
        <v>18141</v>
      </c>
      <c r="E9855" t="str">
        <f>HYPERLINK("https://patents.google.com/patent/US6456234B1/en")</f>
        <v>https://patents.google.com/patent/US6456234B1/en</v>
      </c>
    </row>
    <row r="9856" spans="1:5" x14ac:dyDescent="0.25">
      <c r="C9856" t="s">
        <v>18142</v>
      </c>
      <c r="D9856" t="s">
        <v>18143</v>
      </c>
      <c r="E9856" t="str">
        <f>HYPERLINK("https://patents.google.com/patent/US6775371B2/en")</f>
        <v>https://patents.google.com/patent/US6775371B2/en</v>
      </c>
    </row>
    <row r="9857" spans="3:5" x14ac:dyDescent="0.25">
      <c r="C9857" t="s">
        <v>18144</v>
      </c>
      <c r="D9857" t="s">
        <v>18145</v>
      </c>
      <c r="E9857" t="str">
        <f>HYPERLINK("https://patents.google.com/patent/US6317718B1/en")</f>
        <v>https://patents.google.com/patent/US6317718B1/en</v>
      </c>
    </row>
    <row r="9858" spans="3:5" x14ac:dyDescent="0.25">
      <c r="C9858" t="s">
        <v>18146</v>
      </c>
      <c r="D9858" t="s">
        <v>18147</v>
      </c>
      <c r="E9858" t="str">
        <f>HYPERLINK("https://patents.google.com/patent/US7237123B2/en")</f>
        <v>https://patents.google.com/patent/US7237123B2/en</v>
      </c>
    </row>
    <row r="9859" spans="3:5" x14ac:dyDescent="0.25">
      <c r="C9859" t="s">
        <v>18148</v>
      </c>
      <c r="D9859" t="s">
        <v>18149</v>
      </c>
      <c r="E9859" t="str">
        <f>HYPERLINK("https://patents.google.com/patent/US5948040A/en")</f>
        <v>https://patents.google.com/patent/US5948040A/en</v>
      </c>
    </row>
    <row r="9860" spans="3:5" x14ac:dyDescent="0.25">
      <c r="C9860" t="s">
        <v>18150</v>
      </c>
      <c r="D9860" t="s">
        <v>18151</v>
      </c>
      <c r="E9860" t="str">
        <f>HYPERLINK("https://patents.google.com/patent/US8635164B2/en")</f>
        <v>https://patents.google.com/patent/US8635164B2/en</v>
      </c>
    </row>
    <row r="9861" spans="3:5" x14ac:dyDescent="0.25">
      <c r="C9861" t="s">
        <v>18152</v>
      </c>
      <c r="D9861" t="s">
        <v>18153</v>
      </c>
      <c r="E9861" t="str">
        <f>HYPERLINK("https://patents.google.com/patent/US8326319B2/en")</f>
        <v>https://patents.google.com/patent/US8326319B2/en</v>
      </c>
    </row>
    <row r="9862" spans="3:5" x14ac:dyDescent="0.25">
      <c r="C9862" t="s">
        <v>18154</v>
      </c>
      <c r="D9862" t="s">
        <v>18155</v>
      </c>
      <c r="E9862" t="str">
        <f>HYPERLINK("https://patents.google.com/patent/US8135413B2/en")</f>
        <v>https://patents.google.com/patent/US8135413B2/en</v>
      </c>
    </row>
    <row r="9863" spans="3:5" x14ac:dyDescent="0.25">
      <c r="C9863" t="s">
        <v>18156</v>
      </c>
      <c r="D9863" t="s">
        <v>18157</v>
      </c>
      <c r="E9863" t="str">
        <f>HYPERLINK("https://patents.google.com/patent/US8140658B1/en")</f>
        <v>https://patents.google.com/patent/US8140658B1/en</v>
      </c>
    </row>
    <row r="9864" spans="3:5" x14ac:dyDescent="0.25">
      <c r="C9864" t="s">
        <v>18158</v>
      </c>
      <c r="D9864" t="s">
        <v>18159</v>
      </c>
      <c r="E9864" t="str">
        <f>HYPERLINK("https://patents.google.com/patent/US7263032B2/en")</f>
        <v>https://patents.google.com/patent/US7263032B2/en</v>
      </c>
    </row>
    <row r="9865" spans="3:5" x14ac:dyDescent="0.25">
      <c r="C9865" t="s">
        <v>18160</v>
      </c>
      <c r="D9865" t="s">
        <v>18161</v>
      </c>
      <c r="E9865" t="str">
        <f>HYPERLINK("https://patents.google.com/patent/US7359724B2/en")</f>
        <v>https://patents.google.com/patent/US7359724B2/en</v>
      </c>
    </row>
    <row r="9866" spans="3:5" x14ac:dyDescent="0.25">
      <c r="C9866" t="s">
        <v>18162</v>
      </c>
      <c r="D9866" t="s">
        <v>18163</v>
      </c>
      <c r="E9866" t="str">
        <f>HYPERLINK("https://patents.google.com/patent/US7239871B2/en")</f>
        <v>https://patents.google.com/patent/US7239871B2/en</v>
      </c>
    </row>
    <row r="9867" spans="3:5" x14ac:dyDescent="0.25">
      <c r="C9867" t="s">
        <v>18164</v>
      </c>
      <c r="D9867" t="s">
        <v>18165</v>
      </c>
      <c r="E9867" t="str">
        <f>HYPERLINK("https://patents.google.com/patent/US7535799B2/en")</f>
        <v>https://patents.google.com/patent/US7535799B2/en</v>
      </c>
    </row>
    <row r="9868" spans="3:5" x14ac:dyDescent="0.25">
      <c r="C9868" t="s">
        <v>16290</v>
      </c>
      <c r="D9868" t="s">
        <v>18166</v>
      </c>
      <c r="E9868" t="str">
        <f>HYPERLINK("https://patents.google.com/patent/US7065242B2/en")</f>
        <v>https://patents.google.com/patent/US7065242B2/en</v>
      </c>
    </row>
    <row r="9869" spans="3:5" x14ac:dyDescent="0.25">
      <c r="C9869" t="s">
        <v>18167</v>
      </c>
      <c r="D9869" t="s">
        <v>18168</v>
      </c>
      <c r="E9869" t="str">
        <f>HYPERLINK("https://patents.google.com/patent/US7185044B2/en")</f>
        <v>https://patents.google.com/patent/US7185044B2/en</v>
      </c>
    </row>
    <row r="9870" spans="3:5" x14ac:dyDescent="0.25">
      <c r="C9870" t="s">
        <v>18169</v>
      </c>
      <c r="D9870" t="s">
        <v>18170</v>
      </c>
      <c r="E9870" t="str">
        <f>HYPERLINK("https://patents.google.com/patent/US9413794B1/en")</f>
        <v>https://patents.google.com/patent/US9413794B1/en</v>
      </c>
    </row>
    <row r="9871" spans="3:5" x14ac:dyDescent="0.25">
      <c r="C9871" t="s">
        <v>18171</v>
      </c>
      <c r="D9871" t="s">
        <v>18172</v>
      </c>
      <c r="E9871" t="str">
        <f>HYPERLINK("https://patents.google.com/patent/US7364068B1/en")</f>
        <v>https://patents.google.com/patent/US7364068B1/en</v>
      </c>
    </row>
    <row r="9872" spans="3:5" x14ac:dyDescent="0.25">
      <c r="C9872" t="s">
        <v>18173</v>
      </c>
      <c r="D9872" t="s">
        <v>18174</v>
      </c>
      <c r="E9872" t="str">
        <f>HYPERLINK("https://patents.google.com/patent/US7755975B2/en")</f>
        <v>https://patents.google.com/patent/US7755975B2/en</v>
      </c>
    </row>
    <row r="9873" spans="3:5" x14ac:dyDescent="0.25">
      <c r="C9873" t="s">
        <v>18175</v>
      </c>
      <c r="D9873" t="s">
        <v>18176</v>
      </c>
      <c r="E9873" t="str">
        <f>HYPERLINK("https://patents.google.com/patent/CN206971818U/en")</f>
        <v>https://patents.google.com/patent/CN206971818U/en</v>
      </c>
    </row>
    <row r="9874" spans="3:5" x14ac:dyDescent="0.25">
      <c r="C9874" t="s">
        <v>18177</v>
      </c>
      <c r="D9874" t="s">
        <v>18178</v>
      </c>
      <c r="E9874" t="str">
        <f>HYPERLINK("https://patents.google.com/patent/CN101169872A/en")</f>
        <v>https://patents.google.com/patent/CN101169872A/en</v>
      </c>
    </row>
    <row r="9875" spans="3:5" x14ac:dyDescent="0.25">
      <c r="C9875" t="s">
        <v>18179</v>
      </c>
      <c r="D9875" t="s">
        <v>18180</v>
      </c>
      <c r="E9875" t="str">
        <f>HYPERLINK("https://patents.google.com/patent/US6615762B1/en")</f>
        <v>https://patents.google.com/patent/US6615762B1/en</v>
      </c>
    </row>
    <row r="9876" spans="3:5" x14ac:dyDescent="0.25">
      <c r="C9876" t="s">
        <v>18169</v>
      </c>
      <c r="D9876" t="s">
        <v>18181</v>
      </c>
      <c r="E9876" t="str">
        <f>HYPERLINK("https://patents.google.com/patent/US9413710B1/en")</f>
        <v>https://patents.google.com/patent/US9413710B1/en</v>
      </c>
    </row>
    <row r="9877" spans="3:5" x14ac:dyDescent="0.25">
      <c r="C9877" t="s">
        <v>18182</v>
      </c>
      <c r="D9877" t="s">
        <v>18183</v>
      </c>
      <c r="E9877" t="str">
        <f>HYPERLINK("https://patents.google.com/patent/US8814688B2/en")</f>
        <v>https://patents.google.com/patent/US8814688B2/en</v>
      </c>
    </row>
    <row r="9878" spans="3:5" x14ac:dyDescent="0.25">
      <c r="C9878" t="s">
        <v>18184</v>
      </c>
      <c r="D9878" t="s">
        <v>18185</v>
      </c>
      <c r="E9878" t="str">
        <f>HYPERLINK("https://patents.google.com/patent/US6162134A/en")</f>
        <v>https://patents.google.com/patent/US6162134A/en</v>
      </c>
    </row>
    <row r="9879" spans="3:5" x14ac:dyDescent="0.25">
      <c r="C9879" t="s">
        <v>18186</v>
      </c>
      <c r="D9879" t="s">
        <v>18187</v>
      </c>
      <c r="E9879" t="str">
        <f>HYPERLINK("https://patents.google.com/patent/US7647166B1/en")</f>
        <v>https://patents.google.com/patent/US7647166B1/en</v>
      </c>
    </row>
    <row r="9880" spans="3:5" x14ac:dyDescent="0.25">
      <c r="C9880" t="s">
        <v>18188</v>
      </c>
      <c r="D9880" t="s">
        <v>18189</v>
      </c>
      <c r="E9880" t="str">
        <f>HYPERLINK("https://patents.google.com/patent/US8702515B2/en")</f>
        <v>https://patents.google.com/patent/US8702515B2/en</v>
      </c>
    </row>
    <row r="9881" spans="3:5" x14ac:dyDescent="0.25">
      <c r="C9881" t="s">
        <v>18190</v>
      </c>
      <c r="D9881" t="s">
        <v>18191</v>
      </c>
      <c r="E9881" t="str">
        <f>HYPERLINK("https://patents.google.com/patent/CN105710255A/en")</f>
        <v>https://patents.google.com/patent/CN105710255A/en</v>
      </c>
    </row>
    <row r="9882" spans="3:5" x14ac:dyDescent="0.25">
      <c r="C9882" t="s">
        <v>18192</v>
      </c>
      <c r="D9882" t="s">
        <v>18193</v>
      </c>
      <c r="E9882" t="str">
        <f>HYPERLINK("https://patents.google.com/patent/CN105697507A/en")</f>
        <v>https://patents.google.com/patent/CN105697507A/en</v>
      </c>
    </row>
    <row r="9883" spans="3:5" x14ac:dyDescent="0.25">
      <c r="C9883" t="s">
        <v>18194</v>
      </c>
      <c r="D9883" t="s">
        <v>18195</v>
      </c>
      <c r="E9883" t="str">
        <f>HYPERLINK("https://patents.google.com/patent/US20050149443A1/en")</f>
        <v>https://patents.google.com/patent/US20050149443A1/en</v>
      </c>
    </row>
    <row r="9884" spans="3:5" x14ac:dyDescent="0.25">
      <c r="C9884" t="s">
        <v>18196</v>
      </c>
      <c r="D9884" t="s">
        <v>18197</v>
      </c>
      <c r="E9884" t="str">
        <f>HYPERLINK("https://patents.google.com/patent/US20050222906A1/en")</f>
        <v>https://patents.google.com/patent/US20050222906A1/en</v>
      </c>
    </row>
    <row r="9885" spans="3:5" x14ac:dyDescent="0.25">
      <c r="C9885" t="s">
        <v>18198</v>
      </c>
      <c r="D9885" t="s">
        <v>18199</v>
      </c>
      <c r="E9885" t="str">
        <f>HYPERLINK("https://patents.google.com/patent/US20090019061A1/en")</f>
        <v>https://patents.google.com/patent/US20090019061A1/en</v>
      </c>
    </row>
    <row r="9886" spans="3:5" x14ac:dyDescent="0.25">
      <c r="C9886" t="s">
        <v>18200</v>
      </c>
      <c r="D9886" t="s">
        <v>18201</v>
      </c>
      <c r="E9886" t="str">
        <f>HYPERLINK("https://patents.google.com/patent/US20110214082A1/en")</f>
        <v>https://patents.google.com/patent/US20110214082A1/en</v>
      </c>
    </row>
    <row r="9887" spans="3:5" x14ac:dyDescent="0.25">
      <c r="C9887" t="s">
        <v>18202</v>
      </c>
      <c r="D9887" t="s">
        <v>18203</v>
      </c>
      <c r="E9887" t="str">
        <f>HYPERLINK("https://patents.google.com/patent/US20080045236A1/en")</f>
        <v>https://patents.google.com/patent/US20080045236A1/en</v>
      </c>
    </row>
    <row r="9888" spans="3:5" x14ac:dyDescent="0.25">
      <c r="C9888" t="s">
        <v>18204</v>
      </c>
      <c r="D9888" t="s">
        <v>18205</v>
      </c>
      <c r="E9888" t="str">
        <f>HYPERLINK("https://patents.google.com/patent/US20050041793A1/en")</f>
        <v>https://patents.google.com/patent/US20050041793A1/en</v>
      </c>
    </row>
    <row r="9889" spans="3:5" x14ac:dyDescent="0.25">
      <c r="C9889" t="s">
        <v>18206</v>
      </c>
      <c r="D9889" t="s">
        <v>18207</v>
      </c>
      <c r="E9889" t="str">
        <f>HYPERLINK("https://patents.google.com/patent/US20060166738A1/en")</f>
        <v>https://patents.google.com/patent/US20060166738A1/en</v>
      </c>
    </row>
    <row r="9890" spans="3:5" x14ac:dyDescent="0.25">
      <c r="C9890" t="s">
        <v>8292</v>
      </c>
      <c r="D9890" t="s">
        <v>18208</v>
      </c>
      <c r="E9890" t="str">
        <f>HYPERLINK("https://patents.google.com/patent/US20110213664A1/en")</f>
        <v>https://patents.google.com/patent/US20110213664A1/en</v>
      </c>
    </row>
    <row r="9891" spans="3:5" x14ac:dyDescent="0.25">
      <c r="C9891" t="s">
        <v>18209</v>
      </c>
      <c r="D9891" t="s">
        <v>18210</v>
      </c>
      <c r="E9891" t="str">
        <f>HYPERLINK("https://patents.google.com/patent/US20040158494A1/en")</f>
        <v>https://patents.google.com/patent/US20040158494A1/en</v>
      </c>
    </row>
    <row r="9892" spans="3:5" x14ac:dyDescent="0.25">
      <c r="C9892" t="s">
        <v>18211</v>
      </c>
      <c r="D9892" t="s">
        <v>18212</v>
      </c>
      <c r="E9892" t="str">
        <f>HYPERLINK("https://patents.google.com/patent/US20120190386A1/en")</f>
        <v>https://patents.google.com/patent/US20120190386A1/en</v>
      </c>
    </row>
    <row r="9893" spans="3:5" x14ac:dyDescent="0.25">
      <c r="C9893" t="s">
        <v>18213</v>
      </c>
      <c r="D9893" t="s">
        <v>18214</v>
      </c>
      <c r="E9893" t="str">
        <f>HYPERLINK("https://patents.google.com/patent/US20110264527A1/en")</f>
        <v>https://patents.google.com/patent/US20110264527A1/en</v>
      </c>
    </row>
    <row r="9894" spans="3:5" x14ac:dyDescent="0.25">
      <c r="C9894" t="s">
        <v>18215</v>
      </c>
      <c r="D9894" t="s">
        <v>18216</v>
      </c>
      <c r="E9894" t="str">
        <f>HYPERLINK("https://patents.google.com/patent/US20050037708A1/en")</f>
        <v>https://patents.google.com/patent/US20050037708A1/en</v>
      </c>
    </row>
    <row r="9895" spans="3:5" x14ac:dyDescent="0.25">
      <c r="C9895" t="s">
        <v>16494</v>
      </c>
      <c r="D9895" t="s">
        <v>18217</v>
      </c>
      <c r="E9895" t="str">
        <f>HYPERLINK("https://patents.google.com/patent/US20090319348A1/en")</f>
        <v>https://patents.google.com/patent/US20090319348A1/en</v>
      </c>
    </row>
    <row r="9896" spans="3:5" x14ac:dyDescent="0.25">
      <c r="C9896" t="s">
        <v>18218</v>
      </c>
      <c r="D9896" t="s">
        <v>18219</v>
      </c>
      <c r="E9896" t="str">
        <f>HYPERLINK("https://patents.google.com/patent/US20090104956A1/en")</f>
        <v>https://patents.google.com/patent/US20090104956A1/en</v>
      </c>
    </row>
    <row r="9897" spans="3:5" x14ac:dyDescent="0.25">
      <c r="C9897" t="s">
        <v>18220</v>
      </c>
      <c r="D9897" t="s">
        <v>18221</v>
      </c>
      <c r="E9897" t="str">
        <f>HYPERLINK("https://patents.google.com/patent/US20100153848A1/en")</f>
        <v>https://patents.google.com/patent/US20100153848A1/en</v>
      </c>
    </row>
    <row r="9898" spans="3:5" x14ac:dyDescent="0.25">
      <c r="C9898" t="s">
        <v>18222</v>
      </c>
      <c r="D9898" t="s">
        <v>18223</v>
      </c>
      <c r="E9898" t="str">
        <f>HYPERLINK("https://patents.google.com/patent/US20100094548A1/en")</f>
        <v>https://patents.google.com/patent/US20100094548A1/en</v>
      </c>
    </row>
    <row r="9899" spans="3:5" x14ac:dyDescent="0.25">
      <c r="C9899" t="s">
        <v>18224</v>
      </c>
      <c r="D9899" t="s">
        <v>18225</v>
      </c>
      <c r="E9899" t="str">
        <f>HYPERLINK("https://patents.google.com/patent/US20030187802A1/en")</f>
        <v>https://patents.google.com/patent/US20030187802A1/en</v>
      </c>
    </row>
    <row r="9900" spans="3:5" x14ac:dyDescent="0.25">
      <c r="C9900" t="s">
        <v>18226</v>
      </c>
      <c r="D9900" t="s">
        <v>18227</v>
      </c>
      <c r="E9900" t="str">
        <f>HYPERLINK("https://patents.google.com/patent/US20090119172A1/en")</f>
        <v>https://patents.google.com/patent/US20090119172A1/en</v>
      </c>
    </row>
    <row r="9901" spans="3:5" x14ac:dyDescent="0.25">
      <c r="C9901" t="s">
        <v>18228</v>
      </c>
      <c r="D9901" t="s">
        <v>18229</v>
      </c>
      <c r="E9901" t="str">
        <f>HYPERLINK("https://patents.google.com/patent/US20060046807A1/en")</f>
        <v>https://patents.google.com/patent/US20060046807A1/en</v>
      </c>
    </row>
    <row r="9902" spans="3:5" x14ac:dyDescent="0.25">
      <c r="C9902" t="s">
        <v>18230</v>
      </c>
      <c r="D9902" t="s">
        <v>18231</v>
      </c>
      <c r="E9902" t="str">
        <f>HYPERLINK("https://patents.google.com/patent/US20140184471A1/en")</f>
        <v>https://patents.google.com/patent/US20140184471A1/en</v>
      </c>
    </row>
    <row r="9903" spans="3:5" x14ac:dyDescent="0.25">
      <c r="C9903" t="s">
        <v>18232</v>
      </c>
      <c r="D9903" t="s">
        <v>18233</v>
      </c>
      <c r="E9903" t="str">
        <f>HYPERLINK("https://patents.google.com/patent/US20120284256A1/en")</f>
        <v>https://patents.google.com/patent/US20120284256A1/en</v>
      </c>
    </row>
    <row r="9904" spans="3:5" x14ac:dyDescent="0.25">
      <c r="C9904" t="s">
        <v>18234</v>
      </c>
      <c r="D9904" t="s">
        <v>18235</v>
      </c>
      <c r="E9904" t="str">
        <f>HYPERLINK("https://patents.google.com/patent/US20060190290A1/en")</f>
        <v>https://patents.google.com/patent/US20060190290A1/en</v>
      </c>
    </row>
    <row r="9905" spans="3:5" x14ac:dyDescent="0.25">
      <c r="C9905" t="s">
        <v>18236</v>
      </c>
      <c r="D9905" t="s">
        <v>18237</v>
      </c>
      <c r="E9905" t="str">
        <f>HYPERLINK("https://patents.google.com/patent/US20130185368A1/en")</f>
        <v>https://patents.google.com/patent/US20130185368A1/en</v>
      </c>
    </row>
    <row r="9906" spans="3:5" x14ac:dyDescent="0.25">
      <c r="C9906" t="s">
        <v>18238</v>
      </c>
      <c r="D9906" t="s">
        <v>18239</v>
      </c>
      <c r="E9906" t="str">
        <f>HYPERLINK("https://patents.google.com/patent/US20120086727A1/en")</f>
        <v>https://patents.google.com/patent/US20120086727A1/en</v>
      </c>
    </row>
    <row r="9907" spans="3:5" x14ac:dyDescent="0.25">
      <c r="C9907" t="s">
        <v>18240</v>
      </c>
      <c r="D9907" t="s">
        <v>18241</v>
      </c>
      <c r="E9907" t="str">
        <f>HYPERLINK("https://patents.google.com/patent/US20030120826A1/en")</f>
        <v>https://patents.google.com/patent/US20030120826A1/en</v>
      </c>
    </row>
    <row r="9908" spans="3:5" x14ac:dyDescent="0.25">
      <c r="C9908" t="s">
        <v>18242</v>
      </c>
      <c r="D9908" t="s">
        <v>18243</v>
      </c>
      <c r="E9908" t="str">
        <f>HYPERLINK("https://patents.google.com/patent/US20130103814A1/en")</f>
        <v>https://patents.google.com/patent/US20130103814A1/en</v>
      </c>
    </row>
    <row r="9909" spans="3:5" x14ac:dyDescent="0.25">
      <c r="C9909" t="s">
        <v>18244</v>
      </c>
      <c r="D9909" t="s">
        <v>18245</v>
      </c>
      <c r="E9909" t="str">
        <f>HYPERLINK("https://patents.google.com/patent/US20090319306A1/en")</f>
        <v>https://patents.google.com/patent/US20090319306A1/en</v>
      </c>
    </row>
    <row r="9910" spans="3:5" x14ac:dyDescent="0.25">
      <c r="C9910" t="s">
        <v>18246</v>
      </c>
      <c r="D9910" t="s">
        <v>18247</v>
      </c>
      <c r="E9910" t="str">
        <f>HYPERLINK("https://patents.google.com/patent/US20120151320A1/en")</f>
        <v>https://patents.google.com/patent/US20120151320A1/en</v>
      </c>
    </row>
    <row r="9911" spans="3:5" x14ac:dyDescent="0.25">
      <c r="C9911" t="s">
        <v>18248</v>
      </c>
      <c r="D9911" t="s">
        <v>18249</v>
      </c>
      <c r="E9911" t="str">
        <f>HYPERLINK("https://patents.google.com/patent/US20020006787A1/en")</f>
        <v>https://patents.google.com/patent/US20020006787A1/en</v>
      </c>
    </row>
    <row r="9912" spans="3:5" x14ac:dyDescent="0.25">
      <c r="C9912" t="s">
        <v>18250</v>
      </c>
      <c r="D9912" t="s">
        <v>18251</v>
      </c>
      <c r="E9912" t="str">
        <f>HYPERLINK("https://patents.google.com/patent/US20120202428A1/en")</f>
        <v>https://patents.google.com/patent/US20120202428A1/en</v>
      </c>
    </row>
    <row r="9913" spans="3:5" x14ac:dyDescent="0.25">
      <c r="C9913" t="s">
        <v>18252</v>
      </c>
      <c r="D9913" t="s">
        <v>18253</v>
      </c>
      <c r="E9913" t="str">
        <f>HYPERLINK("https://patents.google.com/patent/CN108596794A/en")</f>
        <v>https://patents.google.com/patent/CN108596794A/en</v>
      </c>
    </row>
    <row r="9914" spans="3:5" x14ac:dyDescent="0.25">
      <c r="C9914" t="s">
        <v>18254</v>
      </c>
      <c r="D9914" t="s">
        <v>18255</v>
      </c>
      <c r="E9914" t="str">
        <f>HYPERLINK("https://patents.google.com/patent/US20120323704A1/en")</f>
        <v>https://patents.google.com/patent/US20120323704A1/en</v>
      </c>
    </row>
    <row r="9915" spans="3:5" x14ac:dyDescent="0.25">
      <c r="C9915" t="s">
        <v>18256</v>
      </c>
      <c r="D9915" t="s">
        <v>18257</v>
      </c>
      <c r="E9915" t="str">
        <f>HYPERLINK("https://patents.google.com/patent/US20130116051A1/en")</f>
        <v>https://patents.google.com/patent/US20130116051A1/en</v>
      </c>
    </row>
    <row r="9916" spans="3:5" x14ac:dyDescent="0.25">
      <c r="C9916" t="s">
        <v>18258</v>
      </c>
      <c r="D9916" t="s">
        <v>18259</v>
      </c>
      <c r="E9916" t="str">
        <f>HYPERLINK("https://patents.google.com/patent/US20130096819A1/en")</f>
        <v>https://patents.google.com/patent/US20130096819A1/en</v>
      </c>
    </row>
    <row r="9917" spans="3:5" x14ac:dyDescent="0.25">
      <c r="C9917" t="s">
        <v>18260</v>
      </c>
      <c r="D9917" t="s">
        <v>18261</v>
      </c>
      <c r="E9917" t="str">
        <f>HYPERLINK("https://patents.google.com/patent/CN205754869U/en")</f>
        <v>https://patents.google.com/patent/CN205754869U/en</v>
      </c>
    </row>
    <row r="9918" spans="3:5" x14ac:dyDescent="0.25">
      <c r="C9918" t="s">
        <v>18262</v>
      </c>
      <c r="D9918" t="s">
        <v>18263</v>
      </c>
      <c r="E9918" t="str">
        <f>HYPERLINK("https://patents.google.com/patent/US20090030787A1/en")</f>
        <v>https://patents.google.com/patent/US20090030787A1/en</v>
      </c>
    </row>
    <row r="9919" spans="3:5" x14ac:dyDescent="0.25">
      <c r="C9919" t="s">
        <v>18264</v>
      </c>
      <c r="D9919" t="s">
        <v>18265</v>
      </c>
      <c r="E9919" t="str">
        <f>HYPERLINK("https://patents.google.com/patent/US20110164562A1/en")</f>
        <v>https://patents.google.com/patent/US20110164562A1/en</v>
      </c>
    </row>
    <row r="9920" spans="3:5" x14ac:dyDescent="0.25">
      <c r="C9920" t="s">
        <v>18266</v>
      </c>
      <c r="D9920" t="s">
        <v>18267</v>
      </c>
      <c r="E9920" t="str">
        <f>HYPERLINK("https://patents.google.com/patent/US20090016504A1/en")</f>
        <v>https://patents.google.com/patent/US20090016504A1/en</v>
      </c>
    </row>
    <row r="9921" spans="3:5" x14ac:dyDescent="0.25">
      <c r="C9921" t="s">
        <v>18268</v>
      </c>
      <c r="D9921" t="s">
        <v>18269</v>
      </c>
      <c r="E9921" t="str">
        <f>HYPERLINK("https://patents.google.com/patent/US20040114571A1/en")</f>
        <v>https://patents.google.com/patent/US20040114571A1/en</v>
      </c>
    </row>
    <row r="9922" spans="3:5" x14ac:dyDescent="0.25">
      <c r="C9922" t="s">
        <v>18270</v>
      </c>
      <c r="D9922" t="s">
        <v>18271</v>
      </c>
      <c r="E9922" t="str">
        <f>HYPERLINK("https://patents.google.com/patent/CN207453078U/en")</f>
        <v>https://patents.google.com/patent/CN207453078U/en</v>
      </c>
    </row>
    <row r="9923" spans="3:5" x14ac:dyDescent="0.25">
      <c r="C9923" t="s">
        <v>18272</v>
      </c>
      <c r="D9923" t="s">
        <v>18273</v>
      </c>
      <c r="E9923" t="str">
        <f>HYPERLINK("https://patents.google.com/patent/CN107908162A/en")</f>
        <v>https://patents.google.com/patent/CN107908162A/en</v>
      </c>
    </row>
    <row r="9924" spans="3:5" x14ac:dyDescent="0.25">
      <c r="C9924" t="s">
        <v>18274</v>
      </c>
      <c r="D9924" t="s">
        <v>18275</v>
      </c>
      <c r="E9924" t="str">
        <f>HYPERLINK("https://patents.google.com/patent/CN203241793U/en")</f>
        <v>https://patents.google.com/patent/CN203241793U/en</v>
      </c>
    </row>
    <row r="9925" spans="3:5" x14ac:dyDescent="0.25">
      <c r="C9925" t="s">
        <v>18276</v>
      </c>
      <c r="D9925" t="s">
        <v>18277</v>
      </c>
      <c r="E9925" t="str">
        <f>HYPERLINK("https://patents.google.com/patent/CN206015866U/en")</f>
        <v>https://patents.google.com/patent/CN206015866U/en</v>
      </c>
    </row>
    <row r="9926" spans="3:5" x14ac:dyDescent="0.25">
      <c r="C9926" t="s">
        <v>18278</v>
      </c>
      <c r="D9926" t="s">
        <v>18279</v>
      </c>
      <c r="E9926" t="str">
        <f>HYPERLINK("https://patents.google.com/patent/CN206015868U/en")</f>
        <v>https://patents.google.com/patent/CN206015868U/en</v>
      </c>
    </row>
    <row r="9927" spans="3:5" x14ac:dyDescent="0.25">
      <c r="C9927" t="s">
        <v>18280</v>
      </c>
      <c r="D9927" t="s">
        <v>18281</v>
      </c>
      <c r="E9927" t="str">
        <f>HYPERLINK("https://patents.google.com/patent/CN206016352U/en")</f>
        <v>https://patents.google.com/patent/CN206016352U/en</v>
      </c>
    </row>
    <row r="9928" spans="3:5" x14ac:dyDescent="0.25">
      <c r="C9928" t="s">
        <v>18282</v>
      </c>
      <c r="D9928" t="s">
        <v>18283</v>
      </c>
      <c r="E9928" t="str">
        <f>HYPERLINK("https://patents.google.com/patent/CN206015867U/en")</f>
        <v>https://patents.google.com/patent/CN206015867U/en</v>
      </c>
    </row>
    <row r="9929" spans="3:5" x14ac:dyDescent="0.25">
      <c r="C9929" t="s">
        <v>18284</v>
      </c>
      <c r="D9929" t="s">
        <v>18285</v>
      </c>
      <c r="E9929" t="str">
        <f>HYPERLINK("https://patents.google.com/patent/CN206016349U/en")</f>
        <v>https://patents.google.com/patent/CN206016349U/en</v>
      </c>
    </row>
    <row r="9930" spans="3:5" x14ac:dyDescent="0.25">
      <c r="C9930" t="s">
        <v>18286</v>
      </c>
      <c r="D9930" t="s">
        <v>18287</v>
      </c>
      <c r="E9930" t="str">
        <f>HYPERLINK("https://patents.google.com/patent/CN106205432B/en")</f>
        <v>https://patents.google.com/patent/CN106205432B/en</v>
      </c>
    </row>
    <row r="9931" spans="3:5" x14ac:dyDescent="0.25">
      <c r="C9931" t="s">
        <v>18288</v>
      </c>
      <c r="D9931" t="s">
        <v>18289</v>
      </c>
      <c r="E9931" t="str">
        <f>HYPERLINK("https://patents.google.com/patent/CN207499508U/en")</f>
        <v>https://patents.google.com/patent/CN207499508U/en</v>
      </c>
    </row>
    <row r="9932" spans="3:5" x14ac:dyDescent="0.25">
      <c r="C9932" t="s">
        <v>18290</v>
      </c>
      <c r="D9932" t="s">
        <v>18291</v>
      </c>
      <c r="E9932" t="str">
        <f>HYPERLINK("https://patents.google.com/patent/CN206016351U/en")</f>
        <v>https://patents.google.com/patent/CN206016351U/en</v>
      </c>
    </row>
    <row r="9933" spans="3:5" x14ac:dyDescent="0.25">
      <c r="C9933" t="s">
        <v>18292</v>
      </c>
      <c r="D9933" t="s">
        <v>18293</v>
      </c>
      <c r="E9933" t="str">
        <f>HYPERLINK("https://patents.google.com/patent/US20080221745A1/en")</f>
        <v>https://patents.google.com/patent/US20080221745A1/en</v>
      </c>
    </row>
    <row r="9934" spans="3:5" x14ac:dyDescent="0.25">
      <c r="C9934" t="s">
        <v>18294</v>
      </c>
      <c r="D9934" t="s">
        <v>18295</v>
      </c>
      <c r="E9934" t="str">
        <f>HYPERLINK("https://patents.google.com/patent/CN106942095A/en")</f>
        <v>https://patents.google.com/patent/CN106942095A/en</v>
      </c>
    </row>
    <row r="9935" spans="3:5" x14ac:dyDescent="0.25">
      <c r="C9935" t="s">
        <v>18296</v>
      </c>
      <c r="D9935" t="s">
        <v>18297</v>
      </c>
      <c r="E9935" t="str">
        <f>HYPERLINK("https://patents.google.com/patent/WO2018148274A1/en")</f>
        <v>https://patents.google.com/patent/WO2018148274A1/en</v>
      </c>
    </row>
    <row r="9936" spans="3:5" x14ac:dyDescent="0.25">
      <c r="C9936" t="s">
        <v>18298</v>
      </c>
      <c r="D9936" t="s">
        <v>18299</v>
      </c>
      <c r="E9936" t="str">
        <f>HYPERLINK("https://patents.google.com/patent/US9361392B1/en")</f>
        <v>https://patents.google.com/patent/US9361392B1/en</v>
      </c>
    </row>
    <row r="9937" spans="3:5" x14ac:dyDescent="0.25">
      <c r="C9937" t="s">
        <v>18300</v>
      </c>
      <c r="D9937" t="s">
        <v>18301</v>
      </c>
      <c r="E9937" t="str">
        <f>HYPERLINK("https://patents.google.com/patent/US20120202485A1/en")</f>
        <v>https://patents.google.com/patent/US20120202485A1/en</v>
      </c>
    </row>
    <row r="9938" spans="3:5" x14ac:dyDescent="0.25">
      <c r="C9938" t="s">
        <v>18302</v>
      </c>
      <c r="D9938" t="s">
        <v>18303</v>
      </c>
      <c r="E9938" t="str">
        <f>HYPERLINK("https://patents.google.com/patent/US20060089793A1/en")</f>
        <v>https://patents.google.com/patent/US20060089793A1/en</v>
      </c>
    </row>
    <row r="9939" spans="3:5" x14ac:dyDescent="0.25">
      <c r="C9939" t="s">
        <v>18304</v>
      </c>
      <c r="D9939" t="s">
        <v>18305</v>
      </c>
      <c r="E9939" t="str">
        <f>HYPERLINK("https://patents.google.com/patent/US20060269264A1/en")</f>
        <v>https://patents.google.com/patent/US20060269264A1/en</v>
      </c>
    </row>
    <row r="9940" spans="3:5" x14ac:dyDescent="0.25">
      <c r="C9940" t="s">
        <v>18306</v>
      </c>
      <c r="D9940" t="s">
        <v>18307</v>
      </c>
      <c r="E9940" t="str">
        <f>HYPERLINK("https://patents.google.com/patent/US20120023131A1/en")</f>
        <v>https://patents.google.com/patent/US20120023131A1/en</v>
      </c>
    </row>
    <row r="9941" spans="3:5" x14ac:dyDescent="0.25">
      <c r="C9941" t="s">
        <v>18308</v>
      </c>
      <c r="D9941" t="s">
        <v>18309</v>
      </c>
      <c r="E9941" t="str">
        <f>HYPERLINK("https://patents.google.com/patent/US20040026280A1/en")</f>
        <v>https://patents.google.com/patent/US20040026280A1/en</v>
      </c>
    </row>
    <row r="9942" spans="3:5" x14ac:dyDescent="0.25">
      <c r="C9942" t="s">
        <v>18310</v>
      </c>
      <c r="D9942" t="s">
        <v>18311</v>
      </c>
      <c r="E9942" t="str">
        <f>HYPERLINK("https://patents.google.com/patent/US20140344062A1/en")</f>
        <v>https://patents.google.com/patent/US20140344062A1/en</v>
      </c>
    </row>
    <row r="9943" spans="3:5" x14ac:dyDescent="0.25">
      <c r="C9943" t="s">
        <v>18312</v>
      </c>
      <c r="D9943" t="s">
        <v>18313</v>
      </c>
      <c r="E9943" t="str">
        <f>HYPERLINK("https://patents.google.com/patent/US20020166493A1/en")</f>
        <v>https://patents.google.com/patent/US20020166493A1/en</v>
      </c>
    </row>
    <row r="9944" spans="3:5" x14ac:dyDescent="0.25">
      <c r="C9944" t="s">
        <v>18314</v>
      </c>
      <c r="D9944" t="s">
        <v>18315</v>
      </c>
      <c r="E9944" t="str">
        <f>HYPERLINK("https://patents.google.com/patent/US6880987B2/en")</f>
        <v>https://patents.google.com/patent/US6880987B2/en</v>
      </c>
    </row>
    <row r="9945" spans="3:5" x14ac:dyDescent="0.25">
      <c r="C9945" t="s">
        <v>18316</v>
      </c>
      <c r="D9945" t="s">
        <v>18317</v>
      </c>
      <c r="E9945" t="str">
        <f>HYPERLINK("https://patents.google.com/patent/US20070087828A1/en")</f>
        <v>https://patents.google.com/patent/US20070087828A1/en</v>
      </c>
    </row>
    <row r="9946" spans="3:5" x14ac:dyDescent="0.25">
      <c r="C9946" t="s">
        <v>16270</v>
      </c>
      <c r="D9946" t="s">
        <v>18318</v>
      </c>
      <c r="E9946" t="str">
        <f>HYPERLINK("https://patents.google.com/patent/US6102816A/en")</f>
        <v>https://patents.google.com/patent/US6102816A/en</v>
      </c>
    </row>
    <row r="9947" spans="3:5" x14ac:dyDescent="0.25">
      <c r="C9947" t="s">
        <v>18319</v>
      </c>
      <c r="D9947" t="s">
        <v>18320</v>
      </c>
      <c r="E9947" t="str">
        <f>HYPERLINK("https://patents.google.com/patent/US3883142A/en")</f>
        <v>https://patents.google.com/patent/US3883142A/en</v>
      </c>
    </row>
    <row r="9948" spans="3:5" x14ac:dyDescent="0.25">
      <c r="C9948" t="s">
        <v>18321</v>
      </c>
      <c r="D9948" t="s">
        <v>18322</v>
      </c>
      <c r="E9948" t="str">
        <f>HYPERLINK("https://patents.google.com/patent/US2141181A/en")</f>
        <v>https://patents.google.com/patent/US2141181A/en</v>
      </c>
    </row>
    <row r="9949" spans="3:5" x14ac:dyDescent="0.25">
      <c r="C9949" t="s">
        <v>18323</v>
      </c>
      <c r="D9949" t="s">
        <v>18324</v>
      </c>
      <c r="E9949" t="str">
        <f>HYPERLINK("https://patents.google.com/patent/CN201903695U/en")</f>
        <v>https://patents.google.com/patent/CN201903695U/en</v>
      </c>
    </row>
    <row r="9950" spans="3:5" x14ac:dyDescent="0.25">
      <c r="C9950" t="s">
        <v>18325</v>
      </c>
      <c r="D9950" t="s">
        <v>18326</v>
      </c>
      <c r="E9950" t="str">
        <f>HYPERLINK("https://patents.google.com/patent/US20060028430A1/en")</f>
        <v>https://patents.google.com/patent/US20060028430A1/en</v>
      </c>
    </row>
    <row r="9951" spans="3:5" x14ac:dyDescent="0.25">
      <c r="C9951" t="s">
        <v>18327</v>
      </c>
      <c r="D9951" t="s">
        <v>18328</v>
      </c>
      <c r="E9951" t="str">
        <f>HYPERLINK("https://patents.google.com/patent/US20100096491A1/en")</f>
        <v>https://patents.google.com/patent/US20100096491A1/en</v>
      </c>
    </row>
    <row r="9952" spans="3:5" x14ac:dyDescent="0.25">
      <c r="C9952" t="s">
        <v>18329</v>
      </c>
      <c r="D9952" t="s">
        <v>18330</v>
      </c>
      <c r="E9952" t="str">
        <f>HYPERLINK("https://patents.google.com/patent/US8265864B1/en")</f>
        <v>https://patents.google.com/patent/US8265864B1/en</v>
      </c>
    </row>
    <row r="9953" spans="3:5" x14ac:dyDescent="0.25">
      <c r="C9953" t="s">
        <v>18331</v>
      </c>
      <c r="D9953" t="s">
        <v>18332</v>
      </c>
      <c r="E9953" t="str">
        <f>HYPERLINK("https://patents.google.com/patent/US20130060640A1/en")</f>
        <v>https://patents.google.com/patent/US20130060640A1/en</v>
      </c>
    </row>
    <row r="9954" spans="3:5" x14ac:dyDescent="0.25">
      <c r="C9954" t="s">
        <v>18333</v>
      </c>
      <c r="D9954" t="s">
        <v>18334</v>
      </c>
      <c r="E9954" t="str">
        <f>HYPERLINK("https://patents.google.com/patent/WO2009105866A1/en")</f>
        <v>https://patents.google.com/patent/WO2009105866A1/en</v>
      </c>
    </row>
    <row r="9955" spans="3:5" x14ac:dyDescent="0.25">
      <c r="C9955" t="s">
        <v>18335</v>
      </c>
      <c r="D9955" t="s">
        <v>18336</v>
      </c>
      <c r="E9955" t="str">
        <f>HYPERLINK("https://patents.google.com/patent/JP2003014488A/en")</f>
        <v>https://patents.google.com/patent/JP2003014488A/en</v>
      </c>
    </row>
    <row r="9956" spans="3:5" x14ac:dyDescent="0.25">
      <c r="C9956" t="s">
        <v>18337</v>
      </c>
      <c r="D9956" t="s">
        <v>18338</v>
      </c>
      <c r="E9956" t="str">
        <f>HYPERLINK("https://patents.google.com/patent/US20070225911A1/en")</f>
        <v>https://patents.google.com/patent/US20070225911A1/en</v>
      </c>
    </row>
    <row r="9957" spans="3:5" x14ac:dyDescent="0.25">
      <c r="C9957" t="s">
        <v>18339</v>
      </c>
      <c r="D9957" t="s">
        <v>18340</v>
      </c>
      <c r="E9957" t="str">
        <f>HYPERLINK("https://patents.google.com/patent/CN101765840A/en")</f>
        <v>https://patents.google.com/patent/CN101765840A/en</v>
      </c>
    </row>
    <row r="9958" spans="3:5" x14ac:dyDescent="0.25">
      <c r="C9958" t="s">
        <v>18341</v>
      </c>
      <c r="D9958" t="s">
        <v>18342</v>
      </c>
      <c r="E9958" t="str">
        <f>HYPERLINK("https://patents.google.com/patent/CN102622871A/en")</f>
        <v>https://patents.google.com/patent/CN102622871A/en</v>
      </c>
    </row>
    <row r="9959" spans="3:5" x14ac:dyDescent="0.25">
      <c r="C9959" t="s">
        <v>18343</v>
      </c>
      <c r="D9959" t="s">
        <v>18344</v>
      </c>
      <c r="E9959" t="str">
        <f>HYPERLINK("https://patents.google.com/patent/US20130124311A1/en")</f>
        <v>https://patents.google.com/patent/US20130124311A1/en</v>
      </c>
    </row>
    <row r="9960" spans="3:5" x14ac:dyDescent="0.25">
      <c r="C9960" t="s">
        <v>18206</v>
      </c>
      <c r="D9960" t="s">
        <v>18345</v>
      </c>
      <c r="E9960" t="str">
        <f>HYPERLINK("https://patents.google.com/patent/WO2006014459A2/en")</f>
        <v>https://patents.google.com/patent/WO2006014459A2/en</v>
      </c>
    </row>
    <row r="9961" spans="3:5" x14ac:dyDescent="0.25">
      <c r="C9961" t="s">
        <v>18346</v>
      </c>
      <c r="D9961" t="s">
        <v>18347</v>
      </c>
      <c r="E9961" t="str">
        <f>HYPERLINK("https://patents.google.com/patent/US20140046983A1/en")</f>
        <v>https://patents.google.com/patent/US20140046983A1/en</v>
      </c>
    </row>
    <row r="9962" spans="3:5" x14ac:dyDescent="0.25">
      <c r="C9962" t="s">
        <v>18348</v>
      </c>
      <c r="D9962" t="s">
        <v>18349</v>
      </c>
      <c r="E9962" t="str">
        <f>HYPERLINK("https://patents.google.com/patent/US5623786A/en")</f>
        <v>https://patents.google.com/patent/US5623786A/en</v>
      </c>
    </row>
    <row r="9963" spans="3:5" x14ac:dyDescent="0.25">
      <c r="C9963" t="s">
        <v>18350</v>
      </c>
      <c r="D9963" t="s">
        <v>18351</v>
      </c>
      <c r="E9963" t="str">
        <f>HYPERLINK("https://patents.google.com/patent/US20120202551A1/en")</f>
        <v>https://patents.google.com/patent/US20120202551A1/en</v>
      </c>
    </row>
    <row r="9964" spans="3:5" x14ac:dyDescent="0.25">
      <c r="C9964" t="s">
        <v>18352</v>
      </c>
      <c r="D9964" t="s">
        <v>18353</v>
      </c>
      <c r="E9964" t="str">
        <f>HYPERLINK("https://patents.google.com/patent/KR101048644B1/en")</f>
        <v>https://patents.google.com/patent/KR101048644B1/en</v>
      </c>
    </row>
    <row r="9965" spans="3:5" x14ac:dyDescent="0.25">
      <c r="C9965" t="s">
        <v>18354</v>
      </c>
      <c r="D9965" t="s">
        <v>18355</v>
      </c>
      <c r="E9965" t="str">
        <f>HYPERLINK("https://patents.google.com/patent/CN102063690A/en")</f>
        <v>https://patents.google.com/patent/CN102063690A/en</v>
      </c>
    </row>
    <row r="9966" spans="3:5" x14ac:dyDescent="0.25">
      <c r="C9966" t="s">
        <v>18356</v>
      </c>
      <c r="D9966" t="s">
        <v>18357</v>
      </c>
      <c r="E9966" t="str">
        <f>HYPERLINK("https://patents.google.com/patent/US20090267728A1/en")</f>
        <v>https://patents.google.com/patent/US20090267728A1/en</v>
      </c>
    </row>
    <row r="9967" spans="3:5" x14ac:dyDescent="0.25">
      <c r="C9967" t="s">
        <v>18358</v>
      </c>
      <c r="D9967" t="s">
        <v>18359</v>
      </c>
      <c r="E9967" t="str">
        <f>HYPERLINK("https://patents.google.com/patent/CN102156943A/en")</f>
        <v>https://patents.google.com/patent/CN102156943A/en</v>
      </c>
    </row>
    <row r="9968" spans="3:5" x14ac:dyDescent="0.25">
      <c r="C9968" t="s">
        <v>18360</v>
      </c>
      <c r="D9968" t="s">
        <v>18361</v>
      </c>
      <c r="E9968" t="str">
        <f>HYPERLINK("https://patents.google.com/patent/US20100287529A1/en")</f>
        <v>https://patents.google.com/patent/US20100287529A1/en</v>
      </c>
    </row>
    <row r="9969" spans="3:5" x14ac:dyDescent="0.25">
      <c r="C9969" t="s">
        <v>18362</v>
      </c>
      <c r="D9969" t="s">
        <v>18363</v>
      </c>
      <c r="E9969" t="str">
        <f>HYPERLINK("https://patents.google.com/patent/CN101583403A/en")</f>
        <v>https://patents.google.com/patent/CN101583403A/en</v>
      </c>
    </row>
    <row r="9970" spans="3:5" x14ac:dyDescent="0.25">
      <c r="C9970" t="s">
        <v>18364</v>
      </c>
      <c r="D9970" t="s">
        <v>18365</v>
      </c>
      <c r="E9970" t="str">
        <f>HYPERLINK("https://patents.google.com/patent/US4998736A/en")</f>
        <v>https://patents.google.com/patent/US4998736A/en</v>
      </c>
    </row>
    <row r="9971" spans="3:5" x14ac:dyDescent="0.25">
      <c r="C9971" t="s">
        <v>18366</v>
      </c>
      <c r="D9971" t="s">
        <v>18367</v>
      </c>
      <c r="E9971" t="str">
        <f>HYPERLINK("https://patents.google.com/patent/US20120144301A1/en")</f>
        <v>https://patents.google.com/patent/US20120144301A1/en</v>
      </c>
    </row>
    <row r="9972" spans="3:5" x14ac:dyDescent="0.25">
      <c r="C9972" t="s">
        <v>18368</v>
      </c>
      <c r="D9972" t="s">
        <v>18369</v>
      </c>
      <c r="E9972" t="str">
        <f>HYPERLINK("https://patents.google.com/patent/US20110191019A1/en")</f>
        <v>https://patents.google.com/patent/US20110191019A1/en</v>
      </c>
    </row>
    <row r="9973" spans="3:5" x14ac:dyDescent="0.25">
      <c r="C9973" t="s">
        <v>18370</v>
      </c>
      <c r="D9973" t="s">
        <v>18371</v>
      </c>
      <c r="E9973" t="str">
        <f>HYPERLINK("https://patents.google.com/patent/US20160321261A1/en")</f>
        <v>https://patents.google.com/patent/US20160321261A1/en</v>
      </c>
    </row>
    <row r="9974" spans="3:5" x14ac:dyDescent="0.25">
      <c r="C9974" t="s">
        <v>18372</v>
      </c>
      <c r="D9974" t="s">
        <v>18373</v>
      </c>
      <c r="E9974" t="str">
        <f>HYPERLINK("https://patents.google.com/patent/US20140324757A1/en")</f>
        <v>https://patents.google.com/patent/US20140324757A1/en</v>
      </c>
    </row>
    <row r="9975" spans="3:5" x14ac:dyDescent="0.25">
      <c r="C9975" t="s">
        <v>18374</v>
      </c>
      <c r="D9975" t="s">
        <v>18375</v>
      </c>
      <c r="E9975" t="str">
        <f>HYPERLINK("https://patents.google.com/patent/US20120157197A1/en")</f>
        <v>https://patents.google.com/patent/US20120157197A1/en</v>
      </c>
    </row>
    <row r="9976" spans="3:5" x14ac:dyDescent="0.25">
      <c r="C9976" t="s">
        <v>18376</v>
      </c>
      <c r="D9976" t="s">
        <v>18377</v>
      </c>
      <c r="E9976" t="str">
        <f>HYPERLINK("https://patents.google.com/patent/US20180032997A1/en")</f>
        <v>https://patents.google.com/patent/US20180032997A1/en</v>
      </c>
    </row>
    <row r="9977" spans="3:5" x14ac:dyDescent="0.25">
      <c r="C9977" t="s">
        <v>18378</v>
      </c>
      <c r="D9977" t="s">
        <v>18379</v>
      </c>
      <c r="E9977" t="str">
        <f>HYPERLINK("https://patents.google.com/patent/CN102509231A/en")</f>
        <v>https://patents.google.com/patent/CN102509231A/en</v>
      </c>
    </row>
    <row r="9978" spans="3:5" x14ac:dyDescent="0.25">
      <c r="C9978" t="s">
        <v>18380</v>
      </c>
      <c r="D9978" t="s">
        <v>18381</v>
      </c>
      <c r="E9978" t="str">
        <f>HYPERLINK("https://patents.google.com/patent/CN1547306A/en")</f>
        <v>https://patents.google.com/patent/CN1547306A/en</v>
      </c>
    </row>
    <row r="9979" spans="3:5" x14ac:dyDescent="0.25">
      <c r="C9979" t="s">
        <v>18382</v>
      </c>
      <c r="D9979" t="s">
        <v>18383</v>
      </c>
      <c r="E9979" t="str">
        <f>HYPERLINK("https://patents.google.com/patent/US20120158875A1/en")</f>
        <v>https://patents.google.com/patent/US20120158875A1/en</v>
      </c>
    </row>
    <row r="9980" spans="3:5" x14ac:dyDescent="0.25">
      <c r="C9980" t="s">
        <v>18384</v>
      </c>
      <c r="D9980" t="s">
        <v>18385</v>
      </c>
      <c r="E9980" t="str">
        <f>HYPERLINK("https://patents.google.com/patent/JP2007537614A/en")</f>
        <v>https://patents.google.com/patent/JP2007537614A/en</v>
      </c>
    </row>
    <row r="9981" spans="3:5" x14ac:dyDescent="0.25">
      <c r="C9981" t="s">
        <v>18386</v>
      </c>
      <c r="D9981" t="s">
        <v>18387</v>
      </c>
      <c r="E9981" t="str">
        <f>HYPERLINK("https://patents.google.com/patent/CN103578154A/en")</f>
        <v>https://patents.google.com/patent/CN103578154A/en</v>
      </c>
    </row>
    <row r="9982" spans="3:5" x14ac:dyDescent="0.25">
      <c r="C9982" t="s">
        <v>18388</v>
      </c>
      <c r="D9982" t="s">
        <v>18389</v>
      </c>
      <c r="E9982" t="str">
        <f>HYPERLINK("https://patents.google.com/patent/CN204562126U/en")</f>
        <v>https://patents.google.com/patent/CN204562126U/en</v>
      </c>
    </row>
    <row r="9983" spans="3:5" x14ac:dyDescent="0.25">
      <c r="C9983" t="s">
        <v>17267</v>
      </c>
      <c r="D9983" t="s">
        <v>18390</v>
      </c>
      <c r="E9983" t="str">
        <f>HYPERLINK("https://patents.google.com/patent/KR100564728B1/en")</f>
        <v>https://patents.google.com/patent/KR100564728B1/en</v>
      </c>
    </row>
    <row r="9984" spans="3:5" x14ac:dyDescent="0.25">
      <c r="C9984" t="s">
        <v>18391</v>
      </c>
      <c r="D9984" t="s">
        <v>18392</v>
      </c>
      <c r="E9984" t="str">
        <f>HYPERLINK("https://patents.google.com/patent/US20150066283A1/en")</f>
        <v>https://patents.google.com/patent/US20150066283A1/en</v>
      </c>
    </row>
    <row r="9985" spans="3:5" x14ac:dyDescent="0.25">
      <c r="C9985" t="s">
        <v>18393</v>
      </c>
      <c r="D9985" t="s">
        <v>18394</v>
      </c>
      <c r="E9985" t="str">
        <f>HYPERLINK("https://patents.google.com/patent/US20150070839A1/en")</f>
        <v>https://patents.google.com/patent/US20150070839A1/en</v>
      </c>
    </row>
    <row r="9986" spans="3:5" x14ac:dyDescent="0.25">
      <c r="C9986" t="s">
        <v>15406</v>
      </c>
      <c r="D9986" t="s">
        <v>18395</v>
      </c>
      <c r="E9986" t="str">
        <f>HYPERLINK("https://patents.google.com/patent/WO2012091814A2/en")</f>
        <v>https://patents.google.com/patent/WO2012091814A2/en</v>
      </c>
    </row>
    <row r="9987" spans="3:5" x14ac:dyDescent="0.25">
      <c r="C9987" t="s">
        <v>18396</v>
      </c>
      <c r="D9987" t="s">
        <v>18397</v>
      </c>
      <c r="E9987" t="str">
        <f>HYPERLINK("https://patents.google.com/patent/US20070033853A1/en")</f>
        <v>https://patents.google.com/patent/US20070033853A1/en</v>
      </c>
    </row>
    <row r="9988" spans="3:5" x14ac:dyDescent="0.25">
      <c r="C9988" t="s">
        <v>18398</v>
      </c>
      <c r="D9988" t="s">
        <v>18399</v>
      </c>
      <c r="E9988" t="str">
        <f>HYPERLINK("https://patents.google.com/patent/EP2353353A1/en")</f>
        <v>https://patents.google.com/patent/EP2353353A1/en</v>
      </c>
    </row>
    <row r="9989" spans="3:5" x14ac:dyDescent="0.25">
      <c r="C9989" t="s">
        <v>18400</v>
      </c>
      <c r="D9989" t="s">
        <v>18401</v>
      </c>
      <c r="E9989" t="str">
        <f>HYPERLINK("https://patents.google.com/patent/US6433094B1/en")</f>
        <v>https://patents.google.com/patent/US6433094B1/en</v>
      </c>
    </row>
    <row r="9990" spans="3:5" x14ac:dyDescent="0.25">
      <c r="C9990" t="s">
        <v>18402</v>
      </c>
      <c r="D9990" t="s">
        <v>18403</v>
      </c>
      <c r="E9990" t="str">
        <f>HYPERLINK("https://patents.google.com/patent/US7144070B2/en")</f>
        <v>https://patents.google.com/patent/US7144070B2/en</v>
      </c>
    </row>
    <row r="9991" spans="3:5" x14ac:dyDescent="0.25">
      <c r="C9991" t="s">
        <v>18404</v>
      </c>
      <c r="D9991" t="s">
        <v>18405</v>
      </c>
      <c r="E9991" t="str">
        <f>HYPERLINK("https://patents.google.com/patent/US20140130370A1/en")</f>
        <v>https://patents.google.com/patent/US20140130370A1/en</v>
      </c>
    </row>
    <row r="9992" spans="3:5" x14ac:dyDescent="0.25">
      <c r="C9992" t="s">
        <v>18406</v>
      </c>
      <c r="D9992" t="s">
        <v>18407</v>
      </c>
      <c r="E9992" t="str">
        <f>HYPERLINK("https://patents.google.com/patent/WO2001026378A1/en")</f>
        <v>https://patents.google.com/patent/WO2001026378A1/en</v>
      </c>
    </row>
    <row r="9993" spans="3:5" x14ac:dyDescent="0.25">
      <c r="C9993" t="s">
        <v>18408</v>
      </c>
      <c r="D9993" t="s">
        <v>18409</v>
      </c>
      <c r="E9993" t="str">
        <f>HYPERLINK("https://patents.google.com/patent/US20080109433A1/en")</f>
        <v>https://patents.google.com/patent/US20080109433A1/en</v>
      </c>
    </row>
    <row r="9994" spans="3:5" x14ac:dyDescent="0.25">
      <c r="C9994" t="s">
        <v>18410</v>
      </c>
      <c r="D9994" t="s">
        <v>18411</v>
      </c>
      <c r="E9994" t="str">
        <f>HYPERLINK("https://patents.google.com/patent/JP2004033321A/en")</f>
        <v>https://patents.google.com/patent/JP2004033321A/en</v>
      </c>
    </row>
    <row r="9995" spans="3:5" x14ac:dyDescent="0.25">
      <c r="C9995" t="s">
        <v>18412</v>
      </c>
      <c r="D9995" t="s">
        <v>18413</v>
      </c>
      <c r="E9995" t="str">
        <f>HYPERLINK("https://patents.google.com/patent/US20060273624A1/en")</f>
        <v>https://patents.google.com/patent/US20060273624A1/en</v>
      </c>
    </row>
    <row r="9996" spans="3:5" x14ac:dyDescent="0.25">
      <c r="C9996" t="s">
        <v>18414</v>
      </c>
      <c r="D9996" t="s">
        <v>18415</v>
      </c>
      <c r="E9996" t="str">
        <f>HYPERLINK("https://patents.google.com/patent/CN101510208A/en")</f>
        <v>https://patents.google.com/patent/CN101510208A/en</v>
      </c>
    </row>
    <row r="9997" spans="3:5" x14ac:dyDescent="0.25">
      <c r="C9997" t="s">
        <v>18416</v>
      </c>
      <c r="D9997" t="s">
        <v>18417</v>
      </c>
      <c r="E9997" t="str">
        <f>HYPERLINK("https://patents.google.com/patent/CN103556843A/en")</f>
        <v>https://patents.google.com/patent/CN103556843A/en</v>
      </c>
    </row>
    <row r="9998" spans="3:5" x14ac:dyDescent="0.25">
      <c r="C9998" t="s">
        <v>18418</v>
      </c>
      <c r="D9998" t="s">
        <v>18419</v>
      </c>
      <c r="E9998" t="str">
        <f>HYPERLINK("https://patents.google.com/patent/CN1825347A/en")</f>
        <v>https://patents.google.com/patent/CN1825347A/en</v>
      </c>
    </row>
    <row r="9999" spans="3:5" x14ac:dyDescent="0.25">
      <c r="C9999" t="s">
        <v>18420</v>
      </c>
      <c r="D9999" t="s">
        <v>18421</v>
      </c>
      <c r="E9999" t="str">
        <f>HYPERLINK("https://patents.google.com/patent/CN1536775A/en")</f>
        <v>https://patents.google.com/patent/CN1536775A/en</v>
      </c>
    </row>
    <row r="10000" spans="3:5" x14ac:dyDescent="0.25">
      <c r="C10000" t="s">
        <v>18422</v>
      </c>
      <c r="D10000" t="s">
        <v>18423</v>
      </c>
      <c r="E10000" t="str">
        <f>HYPERLINK("https://patents.google.com/patent/US8185445B1/en")</f>
        <v>https://patents.google.com/patent/US8185445B1/en</v>
      </c>
    </row>
    <row r="10001" spans="3:5" x14ac:dyDescent="0.25">
      <c r="C10001" t="s">
        <v>18424</v>
      </c>
      <c r="D10001" t="s">
        <v>18425</v>
      </c>
      <c r="E10001" t="str">
        <f>HYPERLINK("https://patents.google.com/patent/US20030115215A1/en")</f>
        <v>https://patents.google.com/patent/US20030115215A1/en</v>
      </c>
    </row>
    <row r="10002" spans="3:5" x14ac:dyDescent="0.25">
      <c r="C10002" t="s">
        <v>18426</v>
      </c>
      <c r="D10002" t="s">
        <v>18427</v>
      </c>
      <c r="E10002" t="str">
        <f>HYPERLINK("https://patents.google.com/patent/CN202916443U/en")</f>
        <v>https://patents.google.com/patent/CN202916443U/en</v>
      </c>
    </row>
    <row r="10003" spans="3:5" x14ac:dyDescent="0.25">
      <c r="C10003" t="s">
        <v>18428</v>
      </c>
      <c r="D10003" t="s">
        <v>18429</v>
      </c>
      <c r="E10003" t="str">
        <f>HYPERLINK("https://patents.google.com/patent/CN101780321A/en")</f>
        <v>https://patents.google.com/patent/CN101780321A/en</v>
      </c>
    </row>
    <row r="10004" spans="3:5" x14ac:dyDescent="0.25">
      <c r="C10004" t="s">
        <v>18430</v>
      </c>
      <c r="D10004" t="s">
        <v>18431</v>
      </c>
      <c r="E10004" t="str">
        <f>HYPERLINK("https://patents.google.com/patent/US20170228689A1/en")</f>
        <v>https://patents.google.com/patent/US20170228689A1/en</v>
      </c>
    </row>
    <row r="10005" spans="3:5" x14ac:dyDescent="0.25">
      <c r="C10005" t="s">
        <v>18432</v>
      </c>
      <c r="D10005" t="s">
        <v>18433</v>
      </c>
      <c r="E10005" t="str">
        <f>HYPERLINK("https://patents.google.com/patent/CN203594244U/en")</f>
        <v>https://patents.google.com/patent/CN203594244U/en</v>
      </c>
    </row>
    <row r="10006" spans="3:5" x14ac:dyDescent="0.25">
      <c r="C10006" t="s">
        <v>18434</v>
      </c>
      <c r="D10006" t="s">
        <v>18435</v>
      </c>
      <c r="E10006" t="str">
        <f>HYPERLINK("https://patents.google.com/patent/US8678941B2/en")</f>
        <v>https://patents.google.com/patent/US8678941B2/en</v>
      </c>
    </row>
    <row r="10007" spans="3:5" x14ac:dyDescent="0.25">
      <c r="C10007" t="s">
        <v>18436</v>
      </c>
      <c r="D10007" t="s">
        <v>18437</v>
      </c>
      <c r="E10007" t="str">
        <f>HYPERLINK("https://patents.google.com/patent/US7184074B1/en")</f>
        <v>https://patents.google.com/patent/US7184074B1/en</v>
      </c>
    </row>
    <row r="10008" spans="3:5" x14ac:dyDescent="0.25">
      <c r="C10008" t="s">
        <v>18438</v>
      </c>
      <c r="D10008" t="s">
        <v>18439</v>
      </c>
      <c r="E10008" t="str">
        <f>HYPERLINK("https://patents.google.com/patent/EP0113305A1/en")</f>
        <v>https://patents.google.com/patent/EP0113305A1/en</v>
      </c>
    </row>
    <row r="10009" spans="3:5" x14ac:dyDescent="0.25">
      <c r="C10009" t="s">
        <v>18440</v>
      </c>
      <c r="D10009" t="s">
        <v>18441</v>
      </c>
      <c r="E10009" t="str">
        <f>HYPERLINK("https://patents.google.com/patent/CN206016350U/en")</f>
        <v>https://patents.google.com/patent/CN206016350U/en</v>
      </c>
    </row>
    <row r="10010" spans="3:5" x14ac:dyDescent="0.25">
      <c r="C10010" t="s">
        <v>18442</v>
      </c>
      <c r="D10010" t="s">
        <v>18443</v>
      </c>
      <c r="E10010" t="str">
        <f>HYPERLINK("https://patents.google.com/patent/CN107481164A/en")</f>
        <v>https://patents.google.com/patent/CN107481164A/en</v>
      </c>
    </row>
    <row r="10011" spans="3:5" x14ac:dyDescent="0.25">
      <c r="C10011" t="s">
        <v>18444</v>
      </c>
      <c r="D10011" t="s">
        <v>18445</v>
      </c>
      <c r="E10011" t="str">
        <f>HYPERLINK("https://patents.google.com/patent/CN108222245A/en")</f>
        <v>https://patents.google.com/patent/CN108222245A/en</v>
      </c>
    </row>
    <row r="10012" spans="3:5" x14ac:dyDescent="0.25">
      <c r="C10012" t="s">
        <v>18446</v>
      </c>
      <c r="D10012" t="s">
        <v>18447</v>
      </c>
      <c r="E10012" t="str">
        <f>HYPERLINK("https://patents.google.com/patent/CN108537373A/en")</f>
        <v>https://patents.google.com/patent/CN108537373A/en</v>
      </c>
    </row>
    <row r="10013" spans="3:5" x14ac:dyDescent="0.25">
      <c r="C10013" t="s">
        <v>18448</v>
      </c>
      <c r="D10013" t="s">
        <v>18449</v>
      </c>
      <c r="E10013" t="str">
        <f>HYPERLINK("https://patents.google.com/patent/WO2018113043A1/en")</f>
        <v>https://patents.google.com/patent/WO2018113043A1/en</v>
      </c>
    </row>
    <row r="10014" spans="3:5" x14ac:dyDescent="0.25">
      <c r="C10014" t="s">
        <v>18450</v>
      </c>
      <c r="D10014" t="s">
        <v>18451</v>
      </c>
      <c r="E10014" t="str">
        <f>HYPERLINK("https://patents.google.com/patent/CN102054166A/en")</f>
        <v>https://patents.google.com/patent/CN102054166A/en</v>
      </c>
    </row>
    <row r="10015" spans="3:5" x14ac:dyDescent="0.25">
      <c r="C10015" t="s">
        <v>18452</v>
      </c>
      <c r="D10015" t="s">
        <v>18453</v>
      </c>
      <c r="E10015" t="str">
        <f>HYPERLINK("https://patents.google.com/patent/CN103136693A/en")</f>
        <v>https://patents.google.com/patent/CN103136693A/en</v>
      </c>
    </row>
    <row r="10016" spans="3:5" x14ac:dyDescent="0.25">
      <c r="C10016" t="s">
        <v>18454</v>
      </c>
      <c r="D10016" t="s">
        <v>18455</v>
      </c>
      <c r="E10016" t="str">
        <f>HYPERLINK("https://patents.google.com/patent/CN101004819A/en")</f>
        <v>https://patents.google.com/patent/CN101004819A/en</v>
      </c>
    </row>
    <row r="10017" spans="3:5" x14ac:dyDescent="0.25">
      <c r="C10017" t="s">
        <v>18456</v>
      </c>
      <c r="D10017" t="s">
        <v>18457</v>
      </c>
      <c r="E10017" t="str">
        <f>HYPERLINK("https://patents.google.com/patent/CN204020655U/en")</f>
        <v>https://patents.google.com/patent/CN204020655U/en</v>
      </c>
    </row>
    <row r="10018" spans="3:5" x14ac:dyDescent="0.25">
      <c r="C10018" t="s">
        <v>18458</v>
      </c>
      <c r="D10018" t="s">
        <v>18459</v>
      </c>
      <c r="E10018" t="str">
        <f>HYPERLINK("https://patents.google.com/patent/CN204498940U/en")</f>
        <v>https://patents.google.com/patent/CN204498940U/en</v>
      </c>
    </row>
    <row r="10019" spans="3:5" x14ac:dyDescent="0.25">
      <c r="C10019" t="s">
        <v>18460</v>
      </c>
      <c r="D10019" t="s">
        <v>18461</v>
      </c>
      <c r="E10019" t="str">
        <f>HYPERLINK("https://patents.google.com/patent/CN102681031A/en")</f>
        <v>https://patents.google.com/patent/CN102681031A/en</v>
      </c>
    </row>
    <row r="10020" spans="3:5" x14ac:dyDescent="0.25">
      <c r="C10020" t="s">
        <v>18462</v>
      </c>
      <c r="D10020" t="s">
        <v>18463</v>
      </c>
      <c r="E10020" t="str">
        <f>HYPERLINK("https://patents.google.com/patent/CN2715413Y/en")</f>
        <v>https://patents.google.com/patent/CN2715413Y/en</v>
      </c>
    </row>
    <row r="10021" spans="3:5" x14ac:dyDescent="0.25">
      <c r="C10021" t="s">
        <v>18464</v>
      </c>
      <c r="D10021" t="s">
        <v>18465</v>
      </c>
      <c r="E10021" t="str">
        <f>HYPERLINK("https://patents.google.com/patent/US20130012242A1/en")</f>
        <v>https://patents.google.com/patent/US20130012242A1/en</v>
      </c>
    </row>
    <row r="10022" spans="3:5" x14ac:dyDescent="0.25">
      <c r="C10022" t="s">
        <v>18466</v>
      </c>
      <c r="D10022" t="s">
        <v>18467</v>
      </c>
      <c r="E10022" t="str">
        <f>HYPERLINK("https://patents.google.com/patent/KR101805839B1/en")</f>
        <v>https://patents.google.com/patent/KR101805839B1/en</v>
      </c>
    </row>
    <row r="10023" spans="3:5" x14ac:dyDescent="0.25">
      <c r="C10023" t="s">
        <v>18468</v>
      </c>
      <c r="D10023" t="s">
        <v>18469</v>
      </c>
      <c r="E10023" t="str">
        <f>HYPERLINK("https://patents.google.com/patent/CN102878993A/en")</f>
        <v>https://patents.google.com/patent/CN102878993A/en</v>
      </c>
    </row>
    <row r="10024" spans="3:5" x14ac:dyDescent="0.25">
      <c r="C10024" t="s">
        <v>18470</v>
      </c>
      <c r="D10024" t="s">
        <v>18471</v>
      </c>
      <c r="E10024" t="str">
        <f>HYPERLINK("https://patents.google.com/patent/US9852599B1/en")</f>
        <v>https://patents.google.com/patent/US9852599B1/en</v>
      </c>
    </row>
    <row r="10025" spans="3:5" x14ac:dyDescent="0.25">
      <c r="C10025" t="s">
        <v>18472</v>
      </c>
      <c r="D10025" t="s">
        <v>18473</v>
      </c>
      <c r="E10025" t="str">
        <f>HYPERLINK("https://patents.google.com/patent/CN204498939U/en")</f>
        <v>https://patents.google.com/patent/CN204498939U/en</v>
      </c>
    </row>
    <row r="10026" spans="3:5" x14ac:dyDescent="0.25">
      <c r="C10026" t="s">
        <v>18474</v>
      </c>
      <c r="D10026" t="s">
        <v>18475</v>
      </c>
      <c r="E10026" t="str">
        <f>HYPERLINK("https://patents.google.com/patent/CN207106815U/en")</f>
        <v>https://patents.google.com/patent/CN207106815U/en</v>
      </c>
    </row>
    <row r="10027" spans="3:5" x14ac:dyDescent="0.25">
      <c r="C10027" t="s">
        <v>18476</v>
      </c>
      <c r="D10027" t="s">
        <v>18477</v>
      </c>
      <c r="E10027" t="str">
        <f>HYPERLINK("https://patents.google.com/patent/JP2014070791A/en")</f>
        <v>https://patents.google.com/patent/JP2014070791A/en</v>
      </c>
    </row>
    <row r="10028" spans="3:5" x14ac:dyDescent="0.25">
      <c r="C10028" t="s">
        <v>18478</v>
      </c>
      <c r="D10028" t="s">
        <v>18479</v>
      </c>
      <c r="E10028" t="str">
        <f>HYPERLINK("https://patents.google.com/patent/CN204856624U/en")</f>
        <v>https://patents.google.com/patent/CN204856624U/en</v>
      </c>
    </row>
    <row r="10029" spans="3:5" x14ac:dyDescent="0.25">
      <c r="C10029" t="s">
        <v>18480</v>
      </c>
      <c r="D10029" t="s">
        <v>18481</v>
      </c>
      <c r="E10029" t="str">
        <f>HYPERLINK("https://patents.google.com/patent/CN201907903U/en")</f>
        <v>https://patents.google.com/patent/CN201907903U/en</v>
      </c>
    </row>
    <row r="10030" spans="3:5" x14ac:dyDescent="0.25">
      <c r="C10030" t="s">
        <v>18482</v>
      </c>
      <c r="D10030" t="s">
        <v>18483</v>
      </c>
      <c r="E10030" t="str">
        <f>HYPERLINK("https://patents.google.com/patent/RU2258633C2/en")</f>
        <v>https://patents.google.com/patent/RU2258633C2/en</v>
      </c>
    </row>
    <row r="10031" spans="3:5" x14ac:dyDescent="0.25">
      <c r="C10031" t="s">
        <v>18484</v>
      </c>
      <c r="D10031" t="s">
        <v>18485</v>
      </c>
      <c r="E10031" t="str">
        <f>HYPERLINK("https://patents.google.com/patent/US20140182477A1/en")</f>
        <v>https://patents.google.com/patent/US20140182477A1/en</v>
      </c>
    </row>
    <row r="10032" spans="3:5" x14ac:dyDescent="0.25">
      <c r="C10032" t="s">
        <v>18486</v>
      </c>
      <c r="D10032" t="s">
        <v>18487</v>
      </c>
      <c r="E10032" t="str">
        <f>HYPERLINK("https://patents.google.com/patent/CN207842774U/en")</f>
        <v>https://patents.google.com/patent/CN207842774U/en</v>
      </c>
    </row>
    <row r="10033" spans="3:5" x14ac:dyDescent="0.25">
      <c r="C10033" t="s">
        <v>18488</v>
      </c>
      <c r="D10033" t="s">
        <v>18489</v>
      </c>
      <c r="E10033" t="str">
        <f>HYPERLINK("https://patents.google.com/patent/CN101635106A/en")</f>
        <v>https://patents.google.com/patent/CN101635106A/en</v>
      </c>
    </row>
    <row r="10034" spans="3:5" x14ac:dyDescent="0.25">
      <c r="C10034" t="s">
        <v>18490</v>
      </c>
      <c r="D10034" t="s">
        <v>18491</v>
      </c>
      <c r="E10034" t="str">
        <f>HYPERLINK("https://patents.google.com/patent/FR2692204A3/en")</f>
        <v>https://patents.google.com/patent/FR2692204A3/en</v>
      </c>
    </row>
    <row r="10035" spans="3:5" x14ac:dyDescent="0.25">
      <c r="C10035" t="s">
        <v>16947</v>
      </c>
      <c r="D10035" t="s">
        <v>18492</v>
      </c>
      <c r="E10035" t="str">
        <f>HYPERLINK("https://patents.google.com/patent/WO2017184646A1/en")</f>
        <v>https://patents.google.com/patent/WO2017184646A1/en</v>
      </c>
    </row>
    <row r="10036" spans="3:5" x14ac:dyDescent="0.25">
      <c r="C10036" t="s">
        <v>18493</v>
      </c>
      <c r="D10036" t="s">
        <v>18494</v>
      </c>
      <c r="E10036" t="str">
        <f>HYPERLINK("https://patents.google.com/patent/CN202903200U/en")</f>
        <v>https://patents.google.com/patent/CN202903200U/en</v>
      </c>
    </row>
    <row r="10037" spans="3:5" x14ac:dyDescent="0.25">
      <c r="C10037" t="s">
        <v>18495</v>
      </c>
      <c r="D10037" t="s">
        <v>18496</v>
      </c>
      <c r="E10037" t="str">
        <f>HYPERLINK("https://patents.google.com/patent/US20140108067A1/en")</f>
        <v>https://patents.google.com/patent/US20140108067A1/en</v>
      </c>
    </row>
    <row r="10038" spans="3:5" x14ac:dyDescent="0.25">
      <c r="C10038" t="s">
        <v>18497</v>
      </c>
      <c r="D10038" t="s">
        <v>18498</v>
      </c>
      <c r="E10038" t="str">
        <f>HYPERLINK("https://patents.google.com/patent/EP2093143B1/en")</f>
        <v>https://patents.google.com/patent/EP2093143B1/en</v>
      </c>
    </row>
    <row r="10039" spans="3:5" x14ac:dyDescent="0.25">
      <c r="C10039" t="s">
        <v>18499</v>
      </c>
      <c r="D10039" t="s">
        <v>18500</v>
      </c>
      <c r="E10039" t="str">
        <f>HYPERLINK("https://patents.google.com/patent/CN204808009U/en")</f>
        <v>https://patents.google.com/patent/CN204808009U/en</v>
      </c>
    </row>
    <row r="10040" spans="3:5" x14ac:dyDescent="0.25">
      <c r="C10040" t="s">
        <v>18501</v>
      </c>
      <c r="D10040" t="s">
        <v>18502</v>
      </c>
      <c r="E10040" t="str">
        <f>HYPERLINK("https://patents.google.com/patent/FR2874240A1/en")</f>
        <v>https://patents.google.com/patent/FR2874240A1/en</v>
      </c>
    </row>
    <row r="10041" spans="3:5" x14ac:dyDescent="0.25">
      <c r="C10041" t="s">
        <v>18503</v>
      </c>
      <c r="D10041" t="s">
        <v>18504</v>
      </c>
      <c r="E10041" t="str">
        <f>HYPERLINK("https://patents.google.com/patent/US20170083606A1/en")</f>
        <v>https://patents.google.com/patent/US20170083606A1/en</v>
      </c>
    </row>
    <row r="10042" spans="3:5" x14ac:dyDescent="0.25">
      <c r="C10042" t="s">
        <v>18505</v>
      </c>
      <c r="D10042" t="s">
        <v>18506</v>
      </c>
      <c r="E10042" t="str">
        <f>HYPERLINK("https://patents.google.com/patent/CN204287392U/en")</f>
        <v>https://patents.google.com/patent/CN204287392U/en</v>
      </c>
    </row>
    <row r="10043" spans="3:5" x14ac:dyDescent="0.25">
      <c r="C10043" t="s">
        <v>18507</v>
      </c>
      <c r="D10043" t="s">
        <v>18508</v>
      </c>
      <c r="E10043" t="str">
        <f>HYPERLINK("https://patents.google.com/patent/CN206664584U/en")</f>
        <v>https://patents.google.com/patent/CN206664584U/en</v>
      </c>
    </row>
    <row r="10044" spans="3:5" x14ac:dyDescent="0.25">
      <c r="C10044" t="s">
        <v>18509</v>
      </c>
      <c r="D10044" t="s">
        <v>18510</v>
      </c>
      <c r="E10044" t="str">
        <f>HYPERLINK("https://patents.google.com/patent/CN205800906U/en")</f>
        <v>https://patents.google.com/patent/CN205800906U/en</v>
      </c>
    </row>
    <row r="10045" spans="3:5" x14ac:dyDescent="0.25">
      <c r="C10045" t="s">
        <v>18511</v>
      </c>
      <c r="D10045" t="s">
        <v>18512</v>
      </c>
      <c r="E10045" t="str">
        <f>HYPERLINK("https://patents.google.com/patent/US20180278462A1/en")</f>
        <v>https://patents.google.com/patent/US20180278462A1/en</v>
      </c>
    </row>
    <row r="10046" spans="3:5" x14ac:dyDescent="0.25">
      <c r="C10046" t="s">
        <v>18513</v>
      </c>
      <c r="D10046" t="s">
        <v>18514</v>
      </c>
      <c r="E10046" t="str">
        <f>HYPERLINK("https://patents.google.com/patent/CN207519833U/en")</f>
        <v>https://patents.google.com/patent/CN207519833U/en</v>
      </c>
    </row>
    <row r="10047" spans="3:5" x14ac:dyDescent="0.25">
      <c r="C10047" t="s">
        <v>18515</v>
      </c>
      <c r="D10047" t="s">
        <v>18516</v>
      </c>
      <c r="E10047" t="str">
        <f>HYPERLINK("https://patents.google.com/patent/CN202670966U/en")</f>
        <v>https://patents.google.com/patent/CN202670966U/en</v>
      </c>
    </row>
    <row r="10048" spans="3:5" x14ac:dyDescent="0.25">
      <c r="C10048" t="s">
        <v>18517</v>
      </c>
      <c r="D10048" t="s">
        <v>18518</v>
      </c>
      <c r="E10048" t="str">
        <f>HYPERLINK("https://patents.google.com/patent/US20180165854A1/en")</f>
        <v>https://patents.google.com/patent/US20180165854A1/en</v>
      </c>
    </row>
    <row r="10049" spans="1:5" x14ac:dyDescent="0.25">
      <c r="C10049" t="s">
        <v>13043</v>
      </c>
      <c r="D10049" t="s">
        <v>18519</v>
      </c>
      <c r="E10049" t="str">
        <f>HYPERLINK("https://patents.google.com/patent/GB2498406A/en")</f>
        <v>https://patents.google.com/patent/GB2498406A/en</v>
      </c>
    </row>
    <row r="10050" spans="1:5" x14ac:dyDescent="0.25">
      <c r="C10050" t="s">
        <v>18520</v>
      </c>
      <c r="D10050" t="s">
        <v>18521</v>
      </c>
      <c r="E10050" t="str">
        <f>HYPERLINK("https://patents.google.com/patent/CN207060342U/en")</f>
        <v>https://patents.google.com/patent/CN207060342U/en</v>
      </c>
    </row>
    <row r="10051" spans="1:5" x14ac:dyDescent="0.25">
      <c r="C10051" t="s">
        <v>18522</v>
      </c>
      <c r="D10051" t="s">
        <v>18523</v>
      </c>
      <c r="E10051" t="str">
        <f>HYPERLINK("https://patents.google.com/patent/WO2012104725A2/en")</f>
        <v>https://patents.google.com/patent/WO2012104725A2/en</v>
      </c>
    </row>
    <row r="10052" spans="1:5" x14ac:dyDescent="0.25">
      <c r="C10052" t="s">
        <v>18524</v>
      </c>
      <c r="D10052" t="s">
        <v>18525</v>
      </c>
      <c r="E10052" t="str">
        <f>HYPERLINK("https://patents.google.com/patent/US20180143756A1/en")</f>
        <v>https://patents.google.com/patent/US20180143756A1/en</v>
      </c>
    </row>
    <row r="10053" spans="1:5" x14ac:dyDescent="0.25">
      <c r="C10053" t="s">
        <v>18526</v>
      </c>
      <c r="D10053" t="s">
        <v>18527</v>
      </c>
      <c r="E10053" t="str">
        <f>HYPERLINK("https://patents.google.com/patent/CN102625940A/en")</f>
        <v>https://patents.google.com/patent/CN102625940A/en</v>
      </c>
    </row>
    <row r="10054" spans="1:5" x14ac:dyDescent="0.25">
      <c r="C10054" t="s">
        <v>18528</v>
      </c>
      <c r="D10054" t="s">
        <v>18529</v>
      </c>
      <c r="E10054" t="str">
        <f>HYPERLINK("https://patents.google.com/patent/US20170123614A1/en")</f>
        <v>https://patents.google.com/patent/US20170123614A1/en</v>
      </c>
    </row>
    <row r="10055" spans="1:5" x14ac:dyDescent="0.25">
      <c r="C10055" t="s">
        <v>18530</v>
      </c>
      <c r="D10055" t="s">
        <v>18531</v>
      </c>
      <c r="E10055" t="str">
        <f>HYPERLINK("https://patents.google.com/patent/US20180249295A1/en")</f>
        <v>https://patents.google.com/patent/US20180249295A1/en</v>
      </c>
    </row>
    <row r="10056" spans="1:5" x14ac:dyDescent="0.25">
      <c r="C10056" t="s">
        <v>18532</v>
      </c>
      <c r="D10056" t="s">
        <v>18533</v>
      </c>
      <c r="E10056" t="str">
        <f>HYPERLINK("https://patents.google.com/patent/CN207802122U/en")</f>
        <v>https://patents.google.com/patent/CN207802122U/en</v>
      </c>
    </row>
    <row r="10057" spans="1:5" x14ac:dyDescent="0.25">
      <c r="C10057" t="s">
        <v>18534</v>
      </c>
      <c r="D10057" t="s">
        <v>18535</v>
      </c>
      <c r="E10057" t="str">
        <f>HYPERLINK("https://patents.google.com/patent/CN206141550U/en")</f>
        <v>https://patents.google.com/patent/CN206141550U/en</v>
      </c>
    </row>
    <row r="10058" spans="1:5" x14ac:dyDescent="0.25">
      <c r="A10058" t="s">
        <v>1388</v>
      </c>
      <c r="B10058">
        <v>611</v>
      </c>
    </row>
    <row r="10059" spans="1:5" x14ac:dyDescent="0.25">
      <c r="C10059" t="s">
        <v>18536</v>
      </c>
      <c r="D10059" t="s">
        <v>18537</v>
      </c>
      <c r="E10059" t="str">
        <f>HYPERLINK("https://patents.google.com/patent/CN107436608A/en")</f>
        <v>https://patents.google.com/patent/CN107436608A/en</v>
      </c>
    </row>
    <row r="10060" spans="1:5" x14ac:dyDescent="0.25">
      <c r="C10060" t="s">
        <v>18538</v>
      </c>
      <c r="D10060" t="s">
        <v>18539</v>
      </c>
      <c r="E10060" t="str">
        <f>HYPERLINK("https://patents.google.com/patent/JP2018144118A/en")</f>
        <v>https://patents.google.com/patent/JP2018144118A/en</v>
      </c>
    </row>
    <row r="10061" spans="1:5" x14ac:dyDescent="0.25">
      <c r="C10061" t="s">
        <v>18540</v>
      </c>
      <c r="D10061" t="s">
        <v>18541</v>
      </c>
      <c r="E10061" t="str">
        <f>HYPERLINK("https://patents.google.com/patent/US20070233367A1/en")</f>
        <v>https://patents.google.com/patent/US20070233367A1/en</v>
      </c>
    </row>
    <row r="10062" spans="1:5" x14ac:dyDescent="0.25">
      <c r="C10062" t="s">
        <v>18542</v>
      </c>
      <c r="D10062" t="s">
        <v>18543</v>
      </c>
      <c r="E10062" t="str">
        <f>HYPERLINK("https://patents.google.com/patent/CN103792905A/en")</f>
        <v>https://patents.google.com/patent/CN103792905A/en</v>
      </c>
    </row>
    <row r="10063" spans="1:5" x14ac:dyDescent="0.25">
      <c r="C10063" t="s">
        <v>18544</v>
      </c>
      <c r="D10063" t="s">
        <v>18545</v>
      </c>
      <c r="E10063" t="str">
        <f>HYPERLINK("https://patents.google.com/patent/US20090254836A1/en")</f>
        <v>https://patents.google.com/patent/US20090254836A1/en</v>
      </c>
    </row>
    <row r="10064" spans="1:5" x14ac:dyDescent="0.25">
      <c r="C10064" t="s">
        <v>18546</v>
      </c>
      <c r="D10064" t="s">
        <v>18547</v>
      </c>
      <c r="E10064" t="str">
        <f>HYPERLINK("https://patents.google.com/patent/CN203399142U/en")</f>
        <v>https://patents.google.com/patent/CN203399142U/en</v>
      </c>
    </row>
    <row r="10065" spans="3:5" x14ac:dyDescent="0.25">
      <c r="C10065" t="s">
        <v>18548</v>
      </c>
      <c r="D10065" t="s">
        <v>18549</v>
      </c>
      <c r="E10065" t="str">
        <f>HYPERLINK("https://patents.google.com/patent/CN104010014A/en")</f>
        <v>https://patents.google.com/patent/CN104010014A/en</v>
      </c>
    </row>
    <row r="10066" spans="3:5" x14ac:dyDescent="0.25">
      <c r="C10066" t="s">
        <v>18550</v>
      </c>
      <c r="D10066" t="s">
        <v>18551</v>
      </c>
      <c r="E10066" t="str">
        <f>HYPERLINK("https://patents.google.com/patent/US5745126A/en")</f>
        <v>https://patents.google.com/patent/US5745126A/en</v>
      </c>
    </row>
    <row r="10067" spans="3:5" x14ac:dyDescent="0.25">
      <c r="C10067" t="s">
        <v>18552</v>
      </c>
      <c r="D10067" t="s">
        <v>18553</v>
      </c>
      <c r="E10067" t="str">
        <f>HYPERLINK("https://patents.google.com/patent/US6199014B1/en")</f>
        <v>https://patents.google.com/patent/US6199014B1/en</v>
      </c>
    </row>
    <row r="10068" spans="3:5" x14ac:dyDescent="0.25">
      <c r="C10068" t="s">
        <v>18554</v>
      </c>
      <c r="D10068" t="s">
        <v>18555</v>
      </c>
      <c r="E10068" t="str">
        <f>HYPERLINK("https://patents.google.com/patent/US7027975B1/en")</f>
        <v>https://patents.google.com/patent/US7027975B1/en</v>
      </c>
    </row>
    <row r="10069" spans="3:5" x14ac:dyDescent="0.25">
      <c r="C10069" t="s">
        <v>18556</v>
      </c>
      <c r="D10069" t="s">
        <v>18557</v>
      </c>
      <c r="E10069" t="str">
        <f>HYPERLINK("https://patents.google.com/patent/US6201948B1/en")</f>
        <v>https://patents.google.com/patent/US6201948B1/en</v>
      </c>
    </row>
    <row r="10070" spans="3:5" x14ac:dyDescent="0.25">
      <c r="C10070" t="s">
        <v>18558</v>
      </c>
      <c r="D10070" t="s">
        <v>18559</v>
      </c>
      <c r="E10070" t="str">
        <f>HYPERLINK("https://patents.google.com/patent/US5982352A/en")</f>
        <v>https://patents.google.com/patent/US5982352A/en</v>
      </c>
    </row>
    <row r="10071" spans="3:5" x14ac:dyDescent="0.25">
      <c r="C10071" t="s">
        <v>18558</v>
      </c>
      <c r="D10071" t="s">
        <v>18560</v>
      </c>
      <c r="E10071" t="str">
        <f>HYPERLINK("https://patents.google.com/patent/US7098891B1/en")</f>
        <v>https://patents.google.com/patent/US7098891B1/en</v>
      </c>
    </row>
    <row r="10072" spans="3:5" x14ac:dyDescent="0.25">
      <c r="C10072" t="s">
        <v>18561</v>
      </c>
      <c r="D10072" t="s">
        <v>18562</v>
      </c>
      <c r="E10072" t="str">
        <f>HYPERLINK("https://patents.google.com/patent/US7242988B1/en")</f>
        <v>https://patents.google.com/patent/US7242988B1/en</v>
      </c>
    </row>
    <row r="10073" spans="3:5" x14ac:dyDescent="0.25">
      <c r="C10073" t="s">
        <v>18563</v>
      </c>
      <c r="D10073" t="s">
        <v>18564</v>
      </c>
      <c r="E10073" t="str">
        <f>HYPERLINK("https://patents.google.com/patent/US7000019B2/en")</f>
        <v>https://patents.google.com/patent/US7000019B2/en</v>
      </c>
    </row>
    <row r="10074" spans="3:5" x14ac:dyDescent="0.25">
      <c r="C10074" t="s">
        <v>18565</v>
      </c>
      <c r="D10074" t="s">
        <v>18566</v>
      </c>
      <c r="E10074" t="str">
        <f>HYPERLINK("https://patents.google.com/patent/US7925973B2/en")</f>
        <v>https://patents.google.com/patent/US7925973B2/en</v>
      </c>
    </row>
    <row r="10075" spans="3:5" x14ac:dyDescent="0.25">
      <c r="C10075" t="s">
        <v>18567</v>
      </c>
      <c r="D10075" t="s">
        <v>18568</v>
      </c>
      <c r="E10075" t="str">
        <f>HYPERLINK("https://patents.google.com/patent/US6487545B1/en")</f>
        <v>https://patents.google.com/patent/US6487545B1/en</v>
      </c>
    </row>
    <row r="10076" spans="3:5" x14ac:dyDescent="0.25">
      <c r="C10076" t="s">
        <v>18569</v>
      </c>
      <c r="D10076" t="s">
        <v>18570</v>
      </c>
      <c r="E10076" t="str">
        <f>HYPERLINK("https://patents.google.com/patent/US6370475B1/en")</f>
        <v>https://patents.google.com/patent/US6370475B1/en</v>
      </c>
    </row>
    <row r="10077" spans="3:5" x14ac:dyDescent="0.25">
      <c r="C10077" t="s">
        <v>18571</v>
      </c>
      <c r="D10077" t="s">
        <v>18572</v>
      </c>
      <c r="E10077" t="str">
        <f>HYPERLINK("https://patents.google.com/patent/US7730063B2/en")</f>
        <v>https://patents.google.com/patent/US7730063B2/en</v>
      </c>
    </row>
    <row r="10078" spans="3:5" x14ac:dyDescent="0.25">
      <c r="C10078" t="s">
        <v>18573</v>
      </c>
      <c r="D10078" t="s">
        <v>18574</v>
      </c>
      <c r="E10078" t="str">
        <f>HYPERLINK("https://patents.google.com/patent/US5903454A/en")</f>
        <v>https://patents.google.com/patent/US5903454A/en</v>
      </c>
    </row>
    <row r="10079" spans="3:5" x14ac:dyDescent="0.25">
      <c r="C10079" t="s">
        <v>18575</v>
      </c>
      <c r="D10079" t="s">
        <v>18576</v>
      </c>
      <c r="E10079" t="str">
        <f>HYPERLINK("https://patents.google.com/patent/US6031549A/en")</f>
        <v>https://patents.google.com/patent/US6031549A/en</v>
      </c>
    </row>
    <row r="10080" spans="3:5" x14ac:dyDescent="0.25">
      <c r="C10080" t="s">
        <v>18577</v>
      </c>
      <c r="D10080" t="s">
        <v>18578</v>
      </c>
      <c r="E10080" t="str">
        <f>HYPERLINK("https://patents.google.com/patent/US6535855B1/en")</f>
        <v>https://patents.google.com/patent/US6535855B1/en</v>
      </c>
    </row>
    <row r="10081" spans="3:5" x14ac:dyDescent="0.25">
      <c r="C10081" t="s">
        <v>18579</v>
      </c>
      <c r="D10081" t="s">
        <v>18580</v>
      </c>
      <c r="E10081" t="str">
        <f>HYPERLINK("https://patents.google.com/patent/US6801909B2/en")</f>
        <v>https://patents.google.com/patent/US6801909B2/en</v>
      </c>
    </row>
    <row r="10082" spans="3:5" x14ac:dyDescent="0.25">
      <c r="C10082" t="s">
        <v>18581</v>
      </c>
      <c r="D10082" t="s">
        <v>18582</v>
      </c>
      <c r="E10082" t="str">
        <f>HYPERLINK("https://patents.google.com/patent/US6321158B1/en")</f>
        <v>https://patents.google.com/patent/US6321158B1/en</v>
      </c>
    </row>
    <row r="10083" spans="3:5" x14ac:dyDescent="0.25">
      <c r="C10083" t="s">
        <v>18583</v>
      </c>
      <c r="D10083" t="s">
        <v>18584</v>
      </c>
      <c r="E10083" t="str">
        <f>HYPERLINK("https://patents.google.com/patent/US6303343B1/en")</f>
        <v>https://patents.google.com/patent/US6303343B1/en</v>
      </c>
    </row>
    <row r="10084" spans="3:5" x14ac:dyDescent="0.25">
      <c r="C10084" t="s">
        <v>18585</v>
      </c>
      <c r="D10084" t="s">
        <v>18586</v>
      </c>
      <c r="E10084" t="str">
        <f>HYPERLINK("https://patents.google.com/patent/US6008800A/en")</f>
        <v>https://patents.google.com/patent/US6008800A/en</v>
      </c>
    </row>
    <row r="10085" spans="3:5" x14ac:dyDescent="0.25">
      <c r="C10085" t="s">
        <v>18587</v>
      </c>
      <c r="D10085" t="s">
        <v>18588</v>
      </c>
      <c r="E10085" t="str">
        <f>HYPERLINK("https://patents.google.com/patent/US8885882B1/en")</f>
        <v>https://patents.google.com/patent/US8885882B1/en</v>
      </c>
    </row>
    <row r="10086" spans="3:5" x14ac:dyDescent="0.25">
      <c r="C10086" t="s">
        <v>18589</v>
      </c>
      <c r="D10086" t="s">
        <v>18590</v>
      </c>
      <c r="E10086" t="str">
        <f>HYPERLINK("https://patents.google.com/patent/US6108662A/en")</f>
        <v>https://patents.google.com/patent/US6108662A/en</v>
      </c>
    </row>
    <row r="10087" spans="3:5" x14ac:dyDescent="0.25">
      <c r="C10087" t="s">
        <v>18591</v>
      </c>
      <c r="D10087" t="s">
        <v>18592</v>
      </c>
      <c r="E10087" t="str">
        <f>HYPERLINK("https://patents.google.com/patent/US6161051A/en")</f>
        <v>https://patents.google.com/patent/US6161051A/en</v>
      </c>
    </row>
    <row r="10088" spans="3:5" x14ac:dyDescent="0.25">
      <c r="C10088" t="s">
        <v>18593</v>
      </c>
      <c r="D10088" t="s">
        <v>18594</v>
      </c>
      <c r="E10088" t="str">
        <f>HYPERLINK("https://patents.google.com/patent/US6157864A/en")</f>
        <v>https://patents.google.com/patent/US6157864A/en</v>
      </c>
    </row>
    <row r="10089" spans="3:5" x14ac:dyDescent="0.25">
      <c r="C10089" t="s">
        <v>18595</v>
      </c>
      <c r="D10089" t="s">
        <v>18596</v>
      </c>
      <c r="E10089" t="str">
        <f>HYPERLINK("https://patents.google.com/patent/US7330826B1/en")</f>
        <v>https://patents.google.com/patent/US7330826B1/en</v>
      </c>
    </row>
    <row r="10090" spans="3:5" x14ac:dyDescent="0.25">
      <c r="C10090" t="s">
        <v>18597</v>
      </c>
      <c r="D10090" t="s">
        <v>18598</v>
      </c>
      <c r="E10090" t="str">
        <f>HYPERLINK("https://patents.google.com/patent/US6909874B2/en")</f>
        <v>https://patents.google.com/patent/US6909874B2/en</v>
      </c>
    </row>
    <row r="10091" spans="3:5" x14ac:dyDescent="0.25">
      <c r="C10091" t="s">
        <v>18599</v>
      </c>
      <c r="D10091" t="s">
        <v>18600</v>
      </c>
      <c r="E10091" t="str">
        <f>HYPERLINK("https://patents.google.com/patent/US7685083B2/en")</f>
        <v>https://patents.google.com/patent/US7685083B2/en</v>
      </c>
    </row>
    <row r="10092" spans="3:5" x14ac:dyDescent="0.25">
      <c r="C10092" t="s">
        <v>15352</v>
      </c>
      <c r="D10092" t="s">
        <v>18601</v>
      </c>
      <c r="E10092" t="str">
        <f>HYPERLINK("https://patents.google.com/patent/US5172328A/en")</f>
        <v>https://patents.google.com/patent/US5172328A/en</v>
      </c>
    </row>
    <row r="10093" spans="3:5" x14ac:dyDescent="0.25">
      <c r="C10093" t="s">
        <v>18602</v>
      </c>
      <c r="D10093" t="s">
        <v>18603</v>
      </c>
      <c r="E10093" t="str">
        <f>HYPERLINK("https://patents.google.com/patent/US7025209B2/en")</f>
        <v>https://patents.google.com/patent/US7025209B2/en</v>
      </c>
    </row>
    <row r="10094" spans="3:5" x14ac:dyDescent="0.25">
      <c r="C10094" t="s">
        <v>18604</v>
      </c>
      <c r="D10094" t="s">
        <v>18605</v>
      </c>
      <c r="E10094" t="str">
        <f>HYPERLINK("https://patents.google.com/patent/US8165916B2/en")</f>
        <v>https://patents.google.com/patent/US8165916B2/en</v>
      </c>
    </row>
    <row r="10095" spans="3:5" x14ac:dyDescent="0.25">
      <c r="C10095" t="s">
        <v>18606</v>
      </c>
      <c r="D10095" t="s">
        <v>18607</v>
      </c>
      <c r="E10095" t="str">
        <f>HYPERLINK("https://patents.google.com/patent/US6760916B2/en")</f>
        <v>https://patents.google.com/patent/US6760916B2/en</v>
      </c>
    </row>
    <row r="10096" spans="3:5" x14ac:dyDescent="0.25">
      <c r="C10096" t="s">
        <v>18608</v>
      </c>
      <c r="D10096" t="s">
        <v>18609</v>
      </c>
      <c r="E10096" t="str">
        <f>HYPERLINK("https://patents.google.com/patent/US6640145B2/en")</f>
        <v>https://patents.google.com/patent/US6640145B2/en</v>
      </c>
    </row>
    <row r="10097" spans="3:5" x14ac:dyDescent="0.25">
      <c r="C10097" t="s">
        <v>18610</v>
      </c>
      <c r="D10097" t="s">
        <v>18611</v>
      </c>
      <c r="E10097" t="str">
        <f>HYPERLINK("https://patents.google.com/patent/US8261231B1/en")</f>
        <v>https://patents.google.com/patent/US8261231B1/en</v>
      </c>
    </row>
    <row r="10098" spans="3:5" x14ac:dyDescent="0.25">
      <c r="C10098" t="s">
        <v>18612</v>
      </c>
      <c r="D10098" t="s">
        <v>18613</v>
      </c>
      <c r="E10098" t="str">
        <f>HYPERLINK("https://patents.google.com/patent/US6850252B1/en")</f>
        <v>https://patents.google.com/patent/US6850252B1/en</v>
      </c>
    </row>
    <row r="10099" spans="3:5" x14ac:dyDescent="0.25">
      <c r="C10099" t="s">
        <v>18614</v>
      </c>
      <c r="D10099" t="s">
        <v>18615</v>
      </c>
      <c r="E10099" t="str">
        <f>HYPERLINK("https://patents.google.com/patent/US7006881B1/en")</f>
        <v>https://patents.google.com/patent/US7006881B1/en</v>
      </c>
    </row>
    <row r="10100" spans="3:5" x14ac:dyDescent="0.25">
      <c r="C10100" t="s">
        <v>18616</v>
      </c>
      <c r="D10100" t="s">
        <v>18617</v>
      </c>
      <c r="E10100" t="str">
        <f>HYPERLINK("https://patents.google.com/patent/US6952688B1/en")</f>
        <v>https://patents.google.com/patent/US6952688B1/en</v>
      </c>
    </row>
    <row r="10101" spans="3:5" x14ac:dyDescent="0.25">
      <c r="C10101" t="s">
        <v>18618</v>
      </c>
      <c r="D10101" t="s">
        <v>18619</v>
      </c>
      <c r="E10101" t="str">
        <f>HYPERLINK("https://patents.google.com/patent/US6167406A/en")</f>
        <v>https://patents.google.com/patent/US6167406A/en</v>
      </c>
    </row>
    <row r="10102" spans="3:5" x14ac:dyDescent="0.25">
      <c r="C10102" t="s">
        <v>18620</v>
      </c>
      <c r="D10102" t="s">
        <v>18621</v>
      </c>
      <c r="E10102" t="str">
        <f>HYPERLINK("https://patents.google.com/patent/US6744436B1/en")</f>
        <v>https://patents.google.com/patent/US6744436B1/en</v>
      </c>
    </row>
    <row r="10103" spans="3:5" x14ac:dyDescent="0.25">
      <c r="C10103" t="s">
        <v>18622</v>
      </c>
      <c r="D10103" t="s">
        <v>18623</v>
      </c>
      <c r="E10103" t="str">
        <f>HYPERLINK("https://patents.google.com/patent/US7660737B1/en")</f>
        <v>https://patents.google.com/patent/US7660737B1/en</v>
      </c>
    </row>
    <row r="10104" spans="3:5" x14ac:dyDescent="0.25">
      <c r="C10104" t="s">
        <v>18624</v>
      </c>
      <c r="D10104" t="s">
        <v>18625</v>
      </c>
      <c r="E10104" t="str">
        <f>HYPERLINK("https://patents.google.com/patent/CN108153169A/en")</f>
        <v>https://patents.google.com/patent/CN108153169A/en</v>
      </c>
    </row>
    <row r="10105" spans="3:5" x14ac:dyDescent="0.25">
      <c r="C10105" t="s">
        <v>18626</v>
      </c>
      <c r="D10105" t="s">
        <v>18627</v>
      </c>
      <c r="E10105" t="str">
        <f>HYPERLINK("https://patents.google.com/patent/US7949616B2/en")</f>
        <v>https://patents.google.com/patent/US7949616B2/en</v>
      </c>
    </row>
    <row r="10106" spans="3:5" x14ac:dyDescent="0.25">
      <c r="C10106" t="s">
        <v>12559</v>
      </c>
      <c r="D10106" t="s">
        <v>18628</v>
      </c>
      <c r="E10106" t="str">
        <f>HYPERLINK("https://patents.google.com/patent/US7492054B2/en")</f>
        <v>https://patents.google.com/patent/US7492054B2/en</v>
      </c>
    </row>
    <row r="10107" spans="3:5" x14ac:dyDescent="0.25">
      <c r="C10107" t="s">
        <v>7893</v>
      </c>
      <c r="D10107" t="s">
        <v>18629</v>
      </c>
      <c r="E10107" t="str">
        <f>HYPERLINK("https://patents.google.com/patent/US6181371B1/en")</f>
        <v>https://patents.google.com/patent/US6181371B1/en</v>
      </c>
    </row>
    <row r="10108" spans="3:5" x14ac:dyDescent="0.25">
      <c r="C10108" t="s">
        <v>18558</v>
      </c>
      <c r="D10108" t="s">
        <v>18630</v>
      </c>
      <c r="E10108" t="str">
        <f>HYPERLINK("https://patents.google.com/patent/US8228305B2/en")</f>
        <v>https://patents.google.com/patent/US8228305B2/en</v>
      </c>
    </row>
    <row r="10109" spans="3:5" x14ac:dyDescent="0.25">
      <c r="C10109" t="s">
        <v>18631</v>
      </c>
      <c r="D10109" t="s">
        <v>18632</v>
      </c>
      <c r="E10109" t="str">
        <f>HYPERLINK("https://patents.google.com/patent/US6965900B2/en")</f>
        <v>https://patents.google.com/patent/US6965900B2/en</v>
      </c>
    </row>
    <row r="10110" spans="3:5" x14ac:dyDescent="0.25">
      <c r="C10110" t="s">
        <v>18633</v>
      </c>
      <c r="D10110" t="s">
        <v>18634</v>
      </c>
      <c r="E10110" t="str">
        <f>HYPERLINK("https://patents.google.com/patent/US7970749B2/en")</f>
        <v>https://patents.google.com/patent/US7970749B2/en</v>
      </c>
    </row>
    <row r="10111" spans="3:5" x14ac:dyDescent="0.25">
      <c r="C10111" t="s">
        <v>18635</v>
      </c>
      <c r="D10111" t="s">
        <v>18636</v>
      </c>
      <c r="E10111" t="str">
        <f>HYPERLINK("https://patents.google.com/patent/US5793813A/en")</f>
        <v>https://patents.google.com/patent/US5793813A/en</v>
      </c>
    </row>
    <row r="10112" spans="3:5" x14ac:dyDescent="0.25">
      <c r="C10112" t="s">
        <v>18637</v>
      </c>
      <c r="D10112" t="s">
        <v>18638</v>
      </c>
      <c r="E10112" t="str">
        <f>HYPERLINK("https://patents.google.com/patent/US7973773B2/en")</f>
        <v>https://patents.google.com/patent/US7973773B2/en</v>
      </c>
    </row>
    <row r="10113" spans="3:5" x14ac:dyDescent="0.25">
      <c r="C10113" t="s">
        <v>18639</v>
      </c>
      <c r="D10113" t="s">
        <v>18640</v>
      </c>
      <c r="E10113" t="str">
        <f>HYPERLINK("https://patents.google.com/patent/US6754647B1/en")</f>
        <v>https://patents.google.com/patent/US6754647B1/en</v>
      </c>
    </row>
    <row r="10114" spans="3:5" x14ac:dyDescent="0.25">
      <c r="C10114" t="s">
        <v>18641</v>
      </c>
      <c r="D10114" t="s">
        <v>18642</v>
      </c>
      <c r="E10114" t="str">
        <f>HYPERLINK("https://patents.google.com/patent/US7334017B2/en")</f>
        <v>https://patents.google.com/patent/US7334017B2/en</v>
      </c>
    </row>
    <row r="10115" spans="3:5" x14ac:dyDescent="0.25">
      <c r="C10115" t="s">
        <v>18643</v>
      </c>
      <c r="D10115" t="s">
        <v>18644</v>
      </c>
      <c r="E10115" t="str">
        <f>HYPERLINK("https://patents.google.com/patent/US7113848B2/en")</f>
        <v>https://patents.google.com/patent/US7113848B2/en</v>
      </c>
    </row>
    <row r="10116" spans="3:5" x14ac:dyDescent="0.25">
      <c r="C10116" t="s">
        <v>18645</v>
      </c>
      <c r="D10116" t="s">
        <v>18646</v>
      </c>
      <c r="E10116" t="str">
        <f>HYPERLINK("https://patents.google.com/patent/US7769705B1/en")</f>
        <v>https://patents.google.com/patent/US7769705B1/en</v>
      </c>
    </row>
    <row r="10117" spans="3:5" x14ac:dyDescent="0.25">
      <c r="C10117" t="s">
        <v>18647</v>
      </c>
      <c r="D10117" t="s">
        <v>18648</v>
      </c>
      <c r="E10117" t="str">
        <f>HYPERLINK("https://patents.google.com/patent/US7859571B1/en")</f>
        <v>https://patents.google.com/patent/US7859571B1/en</v>
      </c>
    </row>
    <row r="10118" spans="3:5" x14ac:dyDescent="0.25">
      <c r="C10118" t="s">
        <v>18649</v>
      </c>
      <c r="D10118" t="s">
        <v>18650</v>
      </c>
      <c r="E10118" t="str">
        <f>HYPERLINK("https://patents.google.com/patent/US8364136B2/en")</f>
        <v>https://patents.google.com/patent/US8364136B2/en</v>
      </c>
    </row>
    <row r="10119" spans="3:5" x14ac:dyDescent="0.25">
      <c r="C10119" t="s">
        <v>18651</v>
      </c>
      <c r="D10119" t="s">
        <v>18652</v>
      </c>
      <c r="E10119" t="str">
        <f>HYPERLINK("https://patents.google.com/patent/US7312087B2/en")</f>
        <v>https://patents.google.com/patent/US7312087B2/en</v>
      </c>
    </row>
    <row r="10120" spans="3:5" x14ac:dyDescent="0.25">
      <c r="C10120" t="s">
        <v>18653</v>
      </c>
      <c r="D10120" t="s">
        <v>18654</v>
      </c>
      <c r="E10120" t="str">
        <f>HYPERLINK("https://patents.google.com/patent/RU2353068C2/en")</f>
        <v>https://patents.google.com/patent/RU2353068C2/en</v>
      </c>
    </row>
    <row r="10121" spans="3:5" x14ac:dyDescent="0.25">
      <c r="C10121" t="s">
        <v>18655</v>
      </c>
      <c r="D10121" t="s">
        <v>18656</v>
      </c>
      <c r="E10121" t="str">
        <f>HYPERLINK("https://patents.google.com/patent/US7828655B2/en")</f>
        <v>https://patents.google.com/patent/US7828655B2/en</v>
      </c>
    </row>
    <row r="10122" spans="3:5" x14ac:dyDescent="0.25">
      <c r="C10122" t="s">
        <v>18657</v>
      </c>
      <c r="D10122" t="s">
        <v>18658</v>
      </c>
      <c r="E10122" t="str">
        <f>HYPERLINK("https://patents.google.com/patent/US6143512A/en")</f>
        <v>https://patents.google.com/patent/US6143512A/en</v>
      </c>
    </row>
    <row r="10123" spans="3:5" x14ac:dyDescent="0.25">
      <c r="C10123" t="s">
        <v>18659</v>
      </c>
      <c r="D10123" t="s">
        <v>18660</v>
      </c>
      <c r="E10123" t="str">
        <f>HYPERLINK("https://patents.google.com/patent/US6877297B2/en")</f>
        <v>https://patents.google.com/patent/US6877297B2/en</v>
      </c>
    </row>
    <row r="10124" spans="3:5" x14ac:dyDescent="0.25">
      <c r="C10124" t="s">
        <v>18661</v>
      </c>
      <c r="D10124" t="s">
        <v>18662</v>
      </c>
      <c r="E10124" t="str">
        <f>HYPERLINK("https://patents.google.com/patent/US4908574A/en")</f>
        <v>https://patents.google.com/patent/US4908574A/en</v>
      </c>
    </row>
    <row r="10125" spans="3:5" x14ac:dyDescent="0.25">
      <c r="C10125" t="s">
        <v>18663</v>
      </c>
      <c r="D10125" t="s">
        <v>18664</v>
      </c>
      <c r="E10125" t="str">
        <f>HYPERLINK("https://patents.google.com/patent/CN100392562C/en")</f>
        <v>https://patents.google.com/patent/CN100392562C/en</v>
      </c>
    </row>
    <row r="10126" spans="3:5" x14ac:dyDescent="0.25">
      <c r="C10126" t="s">
        <v>8416</v>
      </c>
      <c r="D10126" t="s">
        <v>18665</v>
      </c>
      <c r="E10126" t="str">
        <f>HYPERLINK("https://patents.google.com/patent/US8037506B2/en")</f>
        <v>https://patents.google.com/patent/US8037506B2/en</v>
      </c>
    </row>
    <row r="10127" spans="3:5" x14ac:dyDescent="0.25">
      <c r="C10127" t="s">
        <v>18666</v>
      </c>
      <c r="D10127" t="s">
        <v>18667</v>
      </c>
      <c r="E10127" t="str">
        <f>HYPERLINK("https://patents.google.com/patent/US7215420B2/en")</f>
        <v>https://patents.google.com/patent/US7215420B2/en</v>
      </c>
    </row>
    <row r="10128" spans="3:5" x14ac:dyDescent="0.25">
      <c r="C10128" t="s">
        <v>18668</v>
      </c>
      <c r="D10128" t="s">
        <v>18669</v>
      </c>
      <c r="E10128" t="str">
        <f>HYPERLINK("https://patents.google.com/patent/US20060122917A1/en")</f>
        <v>https://patents.google.com/patent/US20060122917A1/en</v>
      </c>
    </row>
    <row r="10129" spans="3:5" x14ac:dyDescent="0.25">
      <c r="C10129" t="s">
        <v>18670</v>
      </c>
      <c r="D10129" t="s">
        <v>18671</v>
      </c>
      <c r="E10129" t="str">
        <f>HYPERLINK("https://patents.google.com/patent/US6543983B1/en")</f>
        <v>https://patents.google.com/patent/US6543983B1/en</v>
      </c>
    </row>
    <row r="10130" spans="3:5" x14ac:dyDescent="0.25">
      <c r="C10130" t="s">
        <v>18672</v>
      </c>
      <c r="D10130" t="s">
        <v>18673</v>
      </c>
      <c r="E10130" t="str">
        <f>HYPERLINK("https://patents.google.com/patent/US7912637B2/en")</f>
        <v>https://patents.google.com/patent/US7912637B2/en</v>
      </c>
    </row>
    <row r="10131" spans="3:5" x14ac:dyDescent="0.25">
      <c r="C10131" t="s">
        <v>18674</v>
      </c>
      <c r="D10131" t="s">
        <v>18675</v>
      </c>
      <c r="E10131" t="str">
        <f>HYPERLINK("https://patents.google.com/patent/US20030050927A1/en")</f>
        <v>https://patents.google.com/patent/US20030050927A1/en</v>
      </c>
    </row>
    <row r="10132" spans="3:5" x14ac:dyDescent="0.25">
      <c r="C10132" t="s">
        <v>18676</v>
      </c>
      <c r="D10132" t="s">
        <v>18677</v>
      </c>
      <c r="E10132" t="str">
        <f>HYPERLINK("https://patents.google.com/patent/US20080170982A1/en")</f>
        <v>https://patents.google.com/patent/US20080170982A1/en</v>
      </c>
    </row>
    <row r="10133" spans="3:5" x14ac:dyDescent="0.25">
      <c r="C10133" t="s">
        <v>18678</v>
      </c>
      <c r="D10133" t="s">
        <v>18679</v>
      </c>
      <c r="E10133" t="str">
        <f>HYPERLINK("https://patents.google.com/patent/US20060287783A1/en")</f>
        <v>https://patents.google.com/patent/US20060287783A1/en</v>
      </c>
    </row>
    <row r="10134" spans="3:5" x14ac:dyDescent="0.25">
      <c r="C10134" t="s">
        <v>18678</v>
      </c>
      <c r="D10134" t="s">
        <v>18680</v>
      </c>
      <c r="E10134" t="str">
        <f>HYPERLINK("https://patents.google.com/patent/US20030221118A1/en")</f>
        <v>https://patents.google.com/patent/US20030221118A1/en</v>
      </c>
    </row>
    <row r="10135" spans="3:5" x14ac:dyDescent="0.25">
      <c r="C10135" t="s">
        <v>18681</v>
      </c>
      <c r="D10135" t="s">
        <v>18682</v>
      </c>
      <c r="E10135" t="str">
        <f>HYPERLINK("https://patents.google.com/patent/US20130218721A1/en")</f>
        <v>https://patents.google.com/patent/US20130218721A1/en</v>
      </c>
    </row>
    <row r="10136" spans="3:5" x14ac:dyDescent="0.25">
      <c r="C10136" t="s">
        <v>18683</v>
      </c>
      <c r="D10136" t="s">
        <v>18684</v>
      </c>
      <c r="E10136" t="str">
        <f>HYPERLINK("https://patents.google.com/patent/US20080091692A1/en")</f>
        <v>https://patents.google.com/patent/US20080091692A1/en</v>
      </c>
    </row>
    <row r="10137" spans="3:5" x14ac:dyDescent="0.25">
      <c r="C10137" t="s">
        <v>18685</v>
      </c>
      <c r="D10137" t="s">
        <v>18686</v>
      </c>
      <c r="E10137" t="str">
        <f>HYPERLINK("https://patents.google.com/patent/US20030001880A1/en")</f>
        <v>https://patents.google.com/patent/US20030001880A1/en</v>
      </c>
    </row>
    <row r="10138" spans="3:5" x14ac:dyDescent="0.25">
      <c r="C10138" t="s">
        <v>18687</v>
      </c>
      <c r="D10138" t="s">
        <v>18688</v>
      </c>
      <c r="E10138" t="str">
        <f>HYPERLINK("https://patents.google.com/patent/US20060247968A1/en")</f>
        <v>https://patents.google.com/patent/US20060247968A1/en</v>
      </c>
    </row>
    <row r="10139" spans="3:5" x14ac:dyDescent="0.25">
      <c r="C10139" t="s">
        <v>18689</v>
      </c>
      <c r="D10139" t="s">
        <v>18690</v>
      </c>
      <c r="E10139" t="str">
        <f>HYPERLINK("https://patents.google.com/patent/US20030028498A1/en")</f>
        <v>https://patents.google.com/patent/US20030028498A1/en</v>
      </c>
    </row>
    <row r="10140" spans="3:5" x14ac:dyDescent="0.25">
      <c r="C10140" t="s">
        <v>18691</v>
      </c>
      <c r="D10140" t="s">
        <v>18692</v>
      </c>
      <c r="E10140" t="str">
        <f>HYPERLINK("https://patents.google.com/patent/US20100238161A1/en")</f>
        <v>https://patents.google.com/patent/US20100238161A1/en</v>
      </c>
    </row>
    <row r="10141" spans="3:5" x14ac:dyDescent="0.25">
      <c r="C10141" t="s">
        <v>18693</v>
      </c>
      <c r="D10141" t="s">
        <v>18694</v>
      </c>
      <c r="E10141" t="str">
        <f>HYPERLINK("https://patents.google.com/patent/US20070016563A1/en")</f>
        <v>https://patents.google.com/patent/US20070016563A1/en</v>
      </c>
    </row>
    <row r="10142" spans="3:5" x14ac:dyDescent="0.25">
      <c r="C10142" t="s">
        <v>18695</v>
      </c>
      <c r="D10142" t="s">
        <v>18696</v>
      </c>
      <c r="E10142" t="str">
        <f>HYPERLINK("https://patents.google.com/patent/US20050033582A1/en")</f>
        <v>https://patents.google.com/patent/US20050033582A1/en</v>
      </c>
    </row>
    <row r="10143" spans="3:5" x14ac:dyDescent="0.25">
      <c r="C10143" t="s">
        <v>18697</v>
      </c>
      <c r="D10143" t="s">
        <v>18698</v>
      </c>
      <c r="E10143" t="str">
        <f>HYPERLINK("https://patents.google.com/patent/US20010051881A1/en")</f>
        <v>https://patents.google.com/patent/US20010051881A1/en</v>
      </c>
    </row>
    <row r="10144" spans="3:5" x14ac:dyDescent="0.25">
      <c r="C10144" t="s">
        <v>18699</v>
      </c>
      <c r="D10144" t="s">
        <v>18700</v>
      </c>
      <c r="E10144" t="str">
        <f>HYPERLINK("https://patents.google.com/patent/US20040030741A1/en")</f>
        <v>https://patents.google.com/patent/US20040030741A1/en</v>
      </c>
    </row>
    <row r="10145" spans="3:5" x14ac:dyDescent="0.25">
      <c r="C10145" t="s">
        <v>18701</v>
      </c>
      <c r="D10145" t="s">
        <v>18702</v>
      </c>
      <c r="E10145" t="str">
        <f>HYPERLINK("https://patents.google.com/patent/US20030177187A1/en")</f>
        <v>https://patents.google.com/patent/US20030177187A1/en</v>
      </c>
    </row>
    <row r="10146" spans="3:5" x14ac:dyDescent="0.25">
      <c r="C10146" t="s">
        <v>18703</v>
      </c>
      <c r="D10146" t="s">
        <v>18704</v>
      </c>
      <c r="E10146" t="str">
        <f>HYPERLINK("https://patents.google.com/patent/US20020167484A1/en")</f>
        <v>https://patents.google.com/patent/US20020167484A1/en</v>
      </c>
    </row>
    <row r="10147" spans="3:5" x14ac:dyDescent="0.25">
      <c r="C10147" t="s">
        <v>18705</v>
      </c>
      <c r="D10147" t="s">
        <v>18706</v>
      </c>
      <c r="E10147" t="str">
        <f>HYPERLINK("https://patents.google.com/patent/US20040117451A1/en")</f>
        <v>https://patents.google.com/patent/US20040117451A1/en</v>
      </c>
    </row>
    <row r="10148" spans="3:5" x14ac:dyDescent="0.25">
      <c r="C10148" t="s">
        <v>18707</v>
      </c>
      <c r="D10148" t="s">
        <v>18708</v>
      </c>
      <c r="E10148" t="str">
        <f>HYPERLINK("https://patents.google.com/patent/US20040198637A1/en")</f>
        <v>https://patents.google.com/patent/US20040198637A1/en</v>
      </c>
    </row>
    <row r="10149" spans="3:5" x14ac:dyDescent="0.25">
      <c r="C10149" t="s">
        <v>18709</v>
      </c>
      <c r="D10149" t="s">
        <v>18710</v>
      </c>
      <c r="E10149" t="str">
        <f>HYPERLINK("https://patents.google.com/patent/US20130162632A1/en")</f>
        <v>https://patents.google.com/patent/US20130162632A1/en</v>
      </c>
    </row>
    <row r="10150" spans="3:5" x14ac:dyDescent="0.25">
      <c r="C10150" t="s">
        <v>18711</v>
      </c>
      <c r="D10150" t="s">
        <v>18712</v>
      </c>
      <c r="E10150" t="str">
        <f>HYPERLINK("https://patents.google.com/patent/US20040220926A1/en")</f>
        <v>https://patents.google.com/patent/US20040220926A1/en</v>
      </c>
    </row>
    <row r="10151" spans="3:5" x14ac:dyDescent="0.25">
      <c r="C10151" t="s">
        <v>18713</v>
      </c>
      <c r="D10151" t="s">
        <v>18714</v>
      </c>
      <c r="E10151" t="str">
        <f>HYPERLINK("https://patents.google.com/patent/US20070265089A1/en")</f>
        <v>https://patents.google.com/patent/US20070265089A1/en</v>
      </c>
    </row>
    <row r="10152" spans="3:5" x14ac:dyDescent="0.25">
      <c r="C10152" t="s">
        <v>18715</v>
      </c>
      <c r="D10152" t="s">
        <v>18716</v>
      </c>
      <c r="E10152" t="str">
        <f>HYPERLINK("https://patents.google.com/patent/US20020188689A1/en")</f>
        <v>https://patents.google.com/patent/US20020188689A1/en</v>
      </c>
    </row>
    <row r="10153" spans="3:5" x14ac:dyDescent="0.25">
      <c r="C10153" t="s">
        <v>18711</v>
      </c>
      <c r="D10153" t="s">
        <v>18717</v>
      </c>
      <c r="E10153" t="str">
        <f>HYPERLINK("https://patents.google.com/patent/US20040220791A1/en")</f>
        <v>https://patents.google.com/patent/US20040220791A1/en</v>
      </c>
    </row>
    <row r="10154" spans="3:5" x14ac:dyDescent="0.25">
      <c r="C10154" t="s">
        <v>18718</v>
      </c>
      <c r="D10154" t="s">
        <v>18719</v>
      </c>
      <c r="E10154" t="str">
        <f>HYPERLINK("https://patents.google.com/patent/US20010054064A1/en")</f>
        <v>https://patents.google.com/patent/US20010054064A1/en</v>
      </c>
    </row>
    <row r="10155" spans="3:5" x14ac:dyDescent="0.25">
      <c r="C10155" t="s">
        <v>18720</v>
      </c>
      <c r="D10155" t="s">
        <v>18721</v>
      </c>
      <c r="E10155" t="str">
        <f>HYPERLINK("https://patents.google.com/patent/US20100240988A1/en")</f>
        <v>https://patents.google.com/patent/US20100240988A1/en</v>
      </c>
    </row>
    <row r="10156" spans="3:5" x14ac:dyDescent="0.25">
      <c r="C10156" t="s">
        <v>18722</v>
      </c>
      <c r="D10156" t="s">
        <v>18723</v>
      </c>
      <c r="E10156" t="str">
        <f>HYPERLINK("https://patents.google.com/patent/US20080183678A1/en")</f>
        <v>https://patents.google.com/patent/US20080183678A1/en</v>
      </c>
    </row>
    <row r="10157" spans="3:5" x14ac:dyDescent="0.25">
      <c r="C10157" t="s">
        <v>18724</v>
      </c>
      <c r="D10157" t="s">
        <v>18725</v>
      </c>
      <c r="E10157" t="str">
        <f>HYPERLINK("https://patents.google.com/patent/US20080065471A1/en")</f>
        <v>https://patents.google.com/patent/US20080065471A1/en</v>
      </c>
    </row>
    <row r="10158" spans="3:5" x14ac:dyDescent="0.25">
      <c r="C10158" t="s">
        <v>18726</v>
      </c>
      <c r="D10158" t="s">
        <v>18727</v>
      </c>
      <c r="E10158" t="str">
        <f>HYPERLINK("https://patents.google.com/patent/US20020133456A1/en")</f>
        <v>https://patents.google.com/patent/US20020133456A1/en</v>
      </c>
    </row>
    <row r="10159" spans="3:5" x14ac:dyDescent="0.25">
      <c r="C10159" t="s">
        <v>18728</v>
      </c>
      <c r="D10159" t="s">
        <v>18729</v>
      </c>
      <c r="E10159" t="str">
        <f>HYPERLINK("https://patents.google.com/patent/US20060020398A1/en")</f>
        <v>https://patents.google.com/patent/US20060020398A1/en</v>
      </c>
    </row>
    <row r="10160" spans="3:5" x14ac:dyDescent="0.25">
      <c r="C10160" t="s">
        <v>18730</v>
      </c>
      <c r="D10160" t="s">
        <v>18731</v>
      </c>
      <c r="E10160" t="str">
        <f>HYPERLINK("https://patents.google.com/patent/US20040109059A1/en")</f>
        <v>https://patents.google.com/patent/US20040109059A1/en</v>
      </c>
    </row>
    <row r="10161" spans="3:5" x14ac:dyDescent="0.25">
      <c r="C10161" t="s">
        <v>18732</v>
      </c>
      <c r="D10161" t="s">
        <v>18733</v>
      </c>
      <c r="E10161" t="str">
        <f>HYPERLINK("https://patents.google.com/patent/US20100182136A1/en")</f>
        <v>https://patents.google.com/patent/US20100182136A1/en</v>
      </c>
    </row>
    <row r="10162" spans="3:5" x14ac:dyDescent="0.25">
      <c r="C10162" t="s">
        <v>18734</v>
      </c>
      <c r="D10162" t="s">
        <v>18735</v>
      </c>
      <c r="E10162" t="str">
        <f>HYPERLINK("https://patents.google.com/patent/US20110049992A1/en")</f>
        <v>https://patents.google.com/patent/US20110049992A1/en</v>
      </c>
    </row>
    <row r="10163" spans="3:5" x14ac:dyDescent="0.25">
      <c r="C10163" t="s">
        <v>18736</v>
      </c>
      <c r="D10163" t="s">
        <v>18737</v>
      </c>
      <c r="E10163" t="str">
        <f>HYPERLINK("https://patents.google.com/patent/US20090254931A1/en")</f>
        <v>https://patents.google.com/patent/US20090254931A1/en</v>
      </c>
    </row>
    <row r="10164" spans="3:5" x14ac:dyDescent="0.25">
      <c r="C10164" t="s">
        <v>18738</v>
      </c>
      <c r="D10164" t="s">
        <v>18739</v>
      </c>
      <c r="E10164" t="str">
        <f>HYPERLINK("https://patents.google.com/patent/US20120158633A1/en")</f>
        <v>https://patents.google.com/patent/US20120158633A1/en</v>
      </c>
    </row>
    <row r="10165" spans="3:5" x14ac:dyDescent="0.25">
      <c r="C10165" t="s">
        <v>18740</v>
      </c>
      <c r="D10165" t="s">
        <v>18741</v>
      </c>
      <c r="E10165" t="str">
        <f>HYPERLINK("https://patents.google.com/patent/US20050009608A1/en")</f>
        <v>https://patents.google.com/patent/US20050009608A1/en</v>
      </c>
    </row>
    <row r="10166" spans="3:5" x14ac:dyDescent="0.25">
      <c r="C10166" t="s">
        <v>18742</v>
      </c>
      <c r="D10166" t="s">
        <v>18743</v>
      </c>
      <c r="E10166" t="str">
        <f>HYPERLINK("https://patents.google.com/patent/US20150100167A1/en")</f>
        <v>https://patents.google.com/patent/US20150100167A1/en</v>
      </c>
    </row>
    <row r="10167" spans="3:5" x14ac:dyDescent="0.25">
      <c r="C10167" t="s">
        <v>18744</v>
      </c>
      <c r="D10167" t="s">
        <v>18745</v>
      </c>
      <c r="E10167" t="str">
        <f>HYPERLINK("https://patents.google.com/patent/US20120042263A1/en")</f>
        <v>https://patents.google.com/patent/US20120042263A1/en</v>
      </c>
    </row>
    <row r="10168" spans="3:5" x14ac:dyDescent="0.25">
      <c r="C10168" t="s">
        <v>18746</v>
      </c>
      <c r="D10168" t="s">
        <v>18747</v>
      </c>
      <c r="E10168" t="str">
        <f>HYPERLINK("https://patents.google.com/patent/US20110287447A1/en")</f>
        <v>https://patents.google.com/patent/US20110287447A1/en</v>
      </c>
    </row>
    <row r="10169" spans="3:5" x14ac:dyDescent="0.25">
      <c r="C10169" t="s">
        <v>18748</v>
      </c>
      <c r="D10169" t="s">
        <v>18749</v>
      </c>
      <c r="E10169" t="str">
        <f>HYPERLINK("https://patents.google.com/patent/US20050198160A1/en")</f>
        <v>https://patents.google.com/patent/US20050198160A1/en</v>
      </c>
    </row>
    <row r="10170" spans="3:5" x14ac:dyDescent="0.25">
      <c r="C10170" t="s">
        <v>18750</v>
      </c>
      <c r="D10170" t="s">
        <v>18751</v>
      </c>
      <c r="E10170" t="str">
        <f>HYPERLINK("https://patents.google.com/patent/US20150067819A1/en")</f>
        <v>https://patents.google.com/patent/US20150067819A1/en</v>
      </c>
    </row>
    <row r="10171" spans="3:5" x14ac:dyDescent="0.25">
      <c r="C10171" t="s">
        <v>18752</v>
      </c>
      <c r="D10171" t="s">
        <v>18753</v>
      </c>
      <c r="E10171" t="str">
        <f>HYPERLINK("https://patents.google.com/patent/US20030115188A1/en")</f>
        <v>https://patents.google.com/patent/US20030115188A1/en</v>
      </c>
    </row>
    <row r="10172" spans="3:5" x14ac:dyDescent="0.25">
      <c r="C10172" t="s">
        <v>18754</v>
      </c>
      <c r="D10172" t="s">
        <v>18755</v>
      </c>
      <c r="E10172" t="str">
        <f>HYPERLINK("https://patents.google.com/patent/US20130305218A1/en")</f>
        <v>https://patents.google.com/patent/US20130305218A1/en</v>
      </c>
    </row>
    <row r="10173" spans="3:5" x14ac:dyDescent="0.25">
      <c r="C10173" t="s">
        <v>18756</v>
      </c>
      <c r="D10173" t="s">
        <v>18757</v>
      </c>
      <c r="E10173" t="str">
        <f>HYPERLINK("https://patents.google.com/patent/US20150077326A1/en")</f>
        <v>https://patents.google.com/patent/US20150077326A1/en</v>
      </c>
    </row>
    <row r="10174" spans="3:5" x14ac:dyDescent="0.25">
      <c r="C10174" t="s">
        <v>18758</v>
      </c>
      <c r="D10174" t="s">
        <v>18759</v>
      </c>
      <c r="E10174" t="str">
        <f>HYPERLINK("https://patents.google.com/patent/US20130031476A1/en")</f>
        <v>https://patents.google.com/patent/US20130031476A1/en</v>
      </c>
    </row>
    <row r="10175" spans="3:5" x14ac:dyDescent="0.25">
      <c r="C10175" t="s">
        <v>18760</v>
      </c>
      <c r="D10175" t="s">
        <v>18761</v>
      </c>
      <c r="E10175" t="str">
        <f>HYPERLINK("https://patents.google.com/patent/US20080161969A1/en")</f>
        <v>https://patents.google.com/patent/US20080161969A1/en</v>
      </c>
    </row>
    <row r="10176" spans="3:5" x14ac:dyDescent="0.25">
      <c r="C10176" t="s">
        <v>18762</v>
      </c>
      <c r="D10176" t="s">
        <v>18763</v>
      </c>
      <c r="E10176" t="str">
        <f>HYPERLINK("https://patents.google.com/patent/US20050055353A1/en")</f>
        <v>https://patents.google.com/patent/US20050055353A1/en</v>
      </c>
    </row>
    <row r="10177" spans="3:5" x14ac:dyDescent="0.25">
      <c r="C10177" t="s">
        <v>18764</v>
      </c>
      <c r="D10177" t="s">
        <v>18765</v>
      </c>
      <c r="E10177" t="str">
        <f>HYPERLINK("https://patents.google.com/patent/US20040111273A1/en")</f>
        <v>https://patents.google.com/patent/US20040111273A1/en</v>
      </c>
    </row>
    <row r="10178" spans="3:5" x14ac:dyDescent="0.25">
      <c r="C10178" t="s">
        <v>18766</v>
      </c>
      <c r="D10178" t="s">
        <v>18767</v>
      </c>
      <c r="E10178" t="str">
        <f>HYPERLINK("https://patents.google.com/patent/US20070161031A1/en")</f>
        <v>https://patents.google.com/patent/US20070161031A1/en</v>
      </c>
    </row>
    <row r="10179" spans="3:5" x14ac:dyDescent="0.25">
      <c r="C10179" t="s">
        <v>18768</v>
      </c>
      <c r="D10179" t="s">
        <v>18769</v>
      </c>
      <c r="E10179" t="str">
        <f>HYPERLINK("https://patents.google.com/patent/US20120010867A1/en")</f>
        <v>https://patents.google.com/patent/US20120010867A1/en</v>
      </c>
    </row>
    <row r="10180" spans="3:5" x14ac:dyDescent="0.25">
      <c r="C10180" t="s">
        <v>18770</v>
      </c>
      <c r="D10180" t="s">
        <v>18771</v>
      </c>
      <c r="E10180" t="str">
        <f>HYPERLINK("https://patents.google.com/patent/US20110283190A1/en")</f>
        <v>https://patents.google.com/patent/US20110283190A1/en</v>
      </c>
    </row>
    <row r="10181" spans="3:5" x14ac:dyDescent="0.25">
      <c r="C10181" t="s">
        <v>18772</v>
      </c>
      <c r="D10181" t="s">
        <v>18773</v>
      </c>
      <c r="E10181" t="str">
        <f>HYPERLINK("https://patents.google.com/patent/EP3382489A1/en")</f>
        <v>https://patents.google.com/patent/EP3382489A1/en</v>
      </c>
    </row>
    <row r="10182" spans="3:5" x14ac:dyDescent="0.25">
      <c r="C10182" t="s">
        <v>18774</v>
      </c>
      <c r="D10182" t="s">
        <v>18775</v>
      </c>
      <c r="E10182" t="str">
        <f>HYPERLINK("https://patents.google.com/patent/US20080227663A1/en")</f>
        <v>https://patents.google.com/patent/US20080227663A1/en</v>
      </c>
    </row>
    <row r="10183" spans="3:5" x14ac:dyDescent="0.25">
      <c r="C10183" t="s">
        <v>18776</v>
      </c>
      <c r="D10183" t="s">
        <v>18777</v>
      </c>
      <c r="E10183" t="str">
        <f>HYPERLINK("https://patents.google.com/patent/US20030101151A1/en")</f>
        <v>https://patents.google.com/patent/US20030101151A1/en</v>
      </c>
    </row>
    <row r="10184" spans="3:5" x14ac:dyDescent="0.25">
      <c r="C10184" t="s">
        <v>18778</v>
      </c>
      <c r="D10184" t="s">
        <v>18779</v>
      </c>
      <c r="E10184" t="str">
        <f>HYPERLINK("https://patents.google.com/patent/US20140109046A1/en")</f>
        <v>https://patents.google.com/patent/US20140109046A1/en</v>
      </c>
    </row>
    <row r="10185" spans="3:5" x14ac:dyDescent="0.25">
      <c r="C10185" t="s">
        <v>18780</v>
      </c>
      <c r="D10185" t="s">
        <v>18781</v>
      </c>
      <c r="E10185" t="str">
        <f>HYPERLINK("https://patents.google.com/patent/US20090254417A1/en")</f>
        <v>https://patents.google.com/patent/US20090254417A1/en</v>
      </c>
    </row>
    <row r="10186" spans="3:5" x14ac:dyDescent="0.25">
      <c r="C10186" t="s">
        <v>18782</v>
      </c>
      <c r="D10186" t="s">
        <v>18783</v>
      </c>
      <c r="E10186" t="str">
        <f>HYPERLINK("https://patents.google.com/patent/US20130010335A1/en")</f>
        <v>https://patents.google.com/patent/US20130010335A1/en</v>
      </c>
    </row>
    <row r="10187" spans="3:5" x14ac:dyDescent="0.25">
      <c r="C10187" t="s">
        <v>18784</v>
      </c>
      <c r="D10187" t="s">
        <v>18785</v>
      </c>
      <c r="E10187" t="str">
        <f>HYPERLINK("https://patents.google.com/patent/US20100321478A1/en")</f>
        <v>https://patents.google.com/patent/US20100321478A1/en</v>
      </c>
    </row>
    <row r="10188" spans="3:5" x14ac:dyDescent="0.25">
      <c r="C10188" t="s">
        <v>18786</v>
      </c>
      <c r="D10188" t="s">
        <v>18787</v>
      </c>
      <c r="E10188" t="str">
        <f>HYPERLINK("https://patents.google.com/patent/US20070189520A1/en")</f>
        <v>https://patents.google.com/patent/US20070189520A1/en</v>
      </c>
    </row>
    <row r="10189" spans="3:5" x14ac:dyDescent="0.25">
      <c r="C10189" t="s">
        <v>18788</v>
      </c>
      <c r="D10189" t="s">
        <v>18789</v>
      </c>
      <c r="E10189" t="str">
        <f>HYPERLINK("https://patents.google.com/patent/US20110106617A1/en")</f>
        <v>https://patents.google.com/patent/US20110106617A1/en</v>
      </c>
    </row>
    <row r="10190" spans="3:5" x14ac:dyDescent="0.25">
      <c r="C10190" t="s">
        <v>18790</v>
      </c>
      <c r="D10190" t="s">
        <v>18791</v>
      </c>
      <c r="E10190" t="str">
        <f>HYPERLINK("https://patents.google.com/patent/US20080208749A1/en")</f>
        <v>https://patents.google.com/patent/US20080208749A1/en</v>
      </c>
    </row>
    <row r="10191" spans="3:5" x14ac:dyDescent="0.25">
      <c r="C10191" t="s">
        <v>18672</v>
      </c>
      <c r="D10191" t="s">
        <v>18792</v>
      </c>
      <c r="E10191" t="str">
        <f>HYPERLINK("https://patents.google.com/patent/US20080319660A1/en")</f>
        <v>https://patents.google.com/patent/US20080319660A1/en</v>
      </c>
    </row>
    <row r="10192" spans="3:5" x14ac:dyDescent="0.25">
      <c r="C10192" t="s">
        <v>18793</v>
      </c>
      <c r="D10192" t="s">
        <v>18794</v>
      </c>
      <c r="E10192" t="str">
        <f>HYPERLINK("https://patents.google.com/patent/US20160033966A1/en")</f>
        <v>https://patents.google.com/patent/US20160033966A1/en</v>
      </c>
    </row>
    <row r="10193" spans="3:5" x14ac:dyDescent="0.25">
      <c r="C10193" t="s">
        <v>18795</v>
      </c>
      <c r="D10193" t="s">
        <v>18796</v>
      </c>
      <c r="E10193" t="str">
        <f>HYPERLINK("https://patents.google.com/patent/US20090089100A1/en")</f>
        <v>https://patents.google.com/patent/US20090089100A1/en</v>
      </c>
    </row>
    <row r="10194" spans="3:5" x14ac:dyDescent="0.25">
      <c r="C10194" t="s">
        <v>18797</v>
      </c>
      <c r="D10194" t="s">
        <v>18798</v>
      </c>
      <c r="E10194" t="str">
        <f>HYPERLINK("https://patents.google.com/patent/US20020030854A1/en")</f>
        <v>https://patents.google.com/patent/US20020030854A1/en</v>
      </c>
    </row>
    <row r="10195" spans="3:5" x14ac:dyDescent="0.25">
      <c r="C10195" t="s">
        <v>18799</v>
      </c>
      <c r="D10195" t="s">
        <v>18800</v>
      </c>
      <c r="E10195" t="str">
        <f>HYPERLINK("https://patents.google.com/patent/US20150290795A1/en")</f>
        <v>https://patents.google.com/patent/US20150290795A1/en</v>
      </c>
    </row>
    <row r="10196" spans="3:5" x14ac:dyDescent="0.25">
      <c r="C10196" t="s">
        <v>18801</v>
      </c>
      <c r="D10196" t="s">
        <v>18802</v>
      </c>
      <c r="E10196" t="str">
        <f>HYPERLINK("https://patents.google.com/patent/US20030096249A1/en")</f>
        <v>https://patents.google.com/patent/US20030096249A1/en</v>
      </c>
    </row>
    <row r="10197" spans="3:5" x14ac:dyDescent="0.25">
      <c r="C10197" t="s">
        <v>18803</v>
      </c>
      <c r="D10197" t="s">
        <v>18804</v>
      </c>
      <c r="E10197" t="str">
        <f>HYPERLINK("https://patents.google.com/patent/US20110252011A1/en")</f>
        <v>https://patents.google.com/patent/US20110252011A1/en</v>
      </c>
    </row>
    <row r="10198" spans="3:5" x14ac:dyDescent="0.25">
      <c r="C10198" t="s">
        <v>18805</v>
      </c>
      <c r="D10198" t="s">
        <v>18806</v>
      </c>
      <c r="E10198" t="str">
        <f>HYPERLINK("https://patents.google.com/patent/US20070079012A1/en")</f>
        <v>https://patents.google.com/patent/US20070079012A1/en</v>
      </c>
    </row>
    <row r="10199" spans="3:5" x14ac:dyDescent="0.25">
      <c r="C10199" t="s">
        <v>18807</v>
      </c>
      <c r="D10199" t="s">
        <v>18808</v>
      </c>
      <c r="E10199" t="str">
        <f>HYPERLINK("https://patents.google.com/patent/US20140164476A1/en")</f>
        <v>https://patents.google.com/patent/US20140164476A1/en</v>
      </c>
    </row>
    <row r="10200" spans="3:5" x14ac:dyDescent="0.25">
      <c r="C10200" t="s">
        <v>18809</v>
      </c>
      <c r="D10200" t="s">
        <v>18810</v>
      </c>
      <c r="E10200" t="str">
        <f>HYPERLINK("https://patents.google.com/patent/US20030212583A1/en")</f>
        <v>https://patents.google.com/patent/US20030212583A1/en</v>
      </c>
    </row>
    <row r="10201" spans="3:5" x14ac:dyDescent="0.25">
      <c r="C10201" t="s">
        <v>18811</v>
      </c>
      <c r="D10201" t="s">
        <v>18812</v>
      </c>
      <c r="E10201" t="str">
        <f>HYPERLINK("https://patents.google.com/patent/US20060218007A1/en")</f>
        <v>https://patents.google.com/patent/US20060218007A1/en</v>
      </c>
    </row>
    <row r="10202" spans="3:5" x14ac:dyDescent="0.25">
      <c r="C10202" t="s">
        <v>18813</v>
      </c>
      <c r="D10202" t="s">
        <v>18814</v>
      </c>
      <c r="E10202" t="str">
        <f>HYPERLINK("https://patents.google.com/patent/US20050121325A1/en")</f>
        <v>https://patents.google.com/patent/US20050121325A1/en</v>
      </c>
    </row>
    <row r="10203" spans="3:5" x14ac:dyDescent="0.25">
      <c r="C10203" t="s">
        <v>18815</v>
      </c>
      <c r="D10203" t="s">
        <v>18816</v>
      </c>
      <c r="E10203" t="str">
        <f>HYPERLINK("https://patents.google.com/patent/US20090048878A1/en")</f>
        <v>https://patents.google.com/patent/US20090048878A1/en</v>
      </c>
    </row>
    <row r="10204" spans="3:5" x14ac:dyDescent="0.25">
      <c r="C10204" t="s">
        <v>18817</v>
      </c>
      <c r="D10204" t="s">
        <v>18818</v>
      </c>
      <c r="E10204" t="str">
        <f>HYPERLINK("https://patents.google.com/patent/US20130247005A1/en")</f>
        <v>https://patents.google.com/patent/US20130247005A1/en</v>
      </c>
    </row>
    <row r="10205" spans="3:5" x14ac:dyDescent="0.25">
      <c r="C10205" t="s">
        <v>18819</v>
      </c>
      <c r="D10205" t="s">
        <v>18820</v>
      </c>
      <c r="E10205" t="str">
        <f>HYPERLINK("https://patents.google.com/patent/US6168065B1/en")</f>
        <v>https://patents.google.com/patent/US6168065B1/en</v>
      </c>
    </row>
    <row r="10206" spans="3:5" x14ac:dyDescent="0.25">
      <c r="C10206" t="s">
        <v>18821</v>
      </c>
      <c r="D10206" t="s">
        <v>18822</v>
      </c>
      <c r="E10206" t="str">
        <f>HYPERLINK("https://patents.google.com/patent/US7967678B2/en")</f>
        <v>https://patents.google.com/patent/US7967678B2/en</v>
      </c>
    </row>
    <row r="10207" spans="3:5" x14ac:dyDescent="0.25">
      <c r="C10207" t="s">
        <v>18823</v>
      </c>
      <c r="D10207" t="s">
        <v>18824</v>
      </c>
      <c r="E10207" t="str">
        <f>HYPERLINK("https://patents.google.com/patent/US20130210639A1/en")</f>
        <v>https://patents.google.com/patent/US20130210639A1/en</v>
      </c>
    </row>
    <row r="10208" spans="3:5" x14ac:dyDescent="0.25">
      <c r="C10208" t="s">
        <v>18825</v>
      </c>
      <c r="D10208" t="s">
        <v>18826</v>
      </c>
      <c r="E10208" t="str">
        <f>HYPERLINK("https://patents.google.com/patent/US20110209087A1/en")</f>
        <v>https://patents.google.com/patent/US20110209087A1/en</v>
      </c>
    </row>
    <row r="10209" spans="3:5" x14ac:dyDescent="0.25">
      <c r="C10209" t="s">
        <v>18827</v>
      </c>
      <c r="D10209" t="s">
        <v>18828</v>
      </c>
      <c r="E10209" t="str">
        <f>HYPERLINK("https://patents.google.com/patent/US20120017232A1/en")</f>
        <v>https://patents.google.com/patent/US20120017232A1/en</v>
      </c>
    </row>
    <row r="10210" spans="3:5" x14ac:dyDescent="0.25">
      <c r="C10210" t="s">
        <v>18829</v>
      </c>
      <c r="D10210" t="s">
        <v>18830</v>
      </c>
      <c r="E10210" t="str">
        <f>HYPERLINK("https://patents.google.com/patent/US20110107215A1/en")</f>
        <v>https://patents.google.com/patent/US20110107215A1/en</v>
      </c>
    </row>
    <row r="10211" spans="3:5" x14ac:dyDescent="0.25">
      <c r="C10211" t="s">
        <v>18831</v>
      </c>
      <c r="D10211" t="s">
        <v>18832</v>
      </c>
      <c r="E10211" t="str">
        <f>HYPERLINK("https://patents.google.com/patent/US20100217458A1/en")</f>
        <v>https://patents.google.com/patent/US20100217458A1/en</v>
      </c>
    </row>
    <row r="10212" spans="3:5" x14ac:dyDescent="0.25">
      <c r="C10212" t="s">
        <v>18833</v>
      </c>
      <c r="D10212" t="s">
        <v>18834</v>
      </c>
      <c r="E10212" t="str">
        <f>HYPERLINK("https://patents.google.com/patent/US20120277914A1/en")</f>
        <v>https://patents.google.com/patent/US20120277914A1/en</v>
      </c>
    </row>
    <row r="10213" spans="3:5" x14ac:dyDescent="0.25">
      <c r="C10213" t="s">
        <v>18835</v>
      </c>
      <c r="D10213" t="s">
        <v>18836</v>
      </c>
      <c r="E10213" t="str">
        <f>HYPERLINK("https://patents.google.com/patent/JP2004166459A/en")</f>
        <v>https://patents.google.com/patent/JP2004166459A/en</v>
      </c>
    </row>
    <row r="10214" spans="3:5" x14ac:dyDescent="0.25">
      <c r="C10214" t="s">
        <v>18837</v>
      </c>
      <c r="D10214" t="s">
        <v>18838</v>
      </c>
      <c r="E10214" t="str">
        <f>HYPERLINK("https://patents.google.com/patent/US20050202862A1/en")</f>
        <v>https://patents.google.com/patent/US20050202862A1/en</v>
      </c>
    </row>
    <row r="10215" spans="3:5" x14ac:dyDescent="0.25">
      <c r="C10215" t="s">
        <v>18839</v>
      </c>
      <c r="D10215" t="s">
        <v>18840</v>
      </c>
      <c r="E10215" t="str">
        <f>HYPERLINK("https://patents.google.com/patent/US20150324181A1/en")</f>
        <v>https://patents.google.com/patent/US20150324181A1/en</v>
      </c>
    </row>
    <row r="10216" spans="3:5" x14ac:dyDescent="0.25">
      <c r="C10216" t="s">
        <v>18841</v>
      </c>
      <c r="D10216" t="s">
        <v>18842</v>
      </c>
      <c r="E10216" t="str">
        <f>HYPERLINK("https://patents.google.com/patent/US20160055490A1/en")</f>
        <v>https://patents.google.com/patent/US20160055490A1/en</v>
      </c>
    </row>
    <row r="10217" spans="3:5" x14ac:dyDescent="0.25">
      <c r="C10217" t="s">
        <v>18843</v>
      </c>
      <c r="D10217" t="s">
        <v>18844</v>
      </c>
      <c r="E10217" t="str">
        <f>HYPERLINK("https://patents.google.com/patent/US7047182B2/en")</f>
        <v>https://patents.google.com/patent/US7047182B2/en</v>
      </c>
    </row>
    <row r="10218" spans="3:5" x14ac:dyDescent="0.25">
      <c r="C10218" t="s">
        <v>18845</v>
      </c>
      <c r="D10218" t="s">
        <v>18846</v>
      </c>
      <c r="E10218" t="str">
        <f>HYPERLINK("https://patents.google.com/patent/KR20090086805A/en")</f>
        <v>https://patents.google.com/patent/KR20090086805A/en</v>
      </c>
    </row>
    <row r="10219" spans="3:5" x14ac:dyDescent="0.25">
      <c r="C10219" t="s">
        <v>18756</v>
      </c>
      <c r="D10219" t="s">
        <v>18847</v>
      </c>
      <c r="E10219" t="str">
        <f>HYPERLINK("https://patents.google.com/patent/US20140325373A1/en")</f>
        <v>https://patents.google.com/patent/US20140325373A1/en</v>
      </c>
    </row>
    <row r="10220" spans="3:5" x14ac:dyDescent="0.25">
      <c r="C10220" t="s">
        <v>18848</v>
      </c>
      <c r="D10220" t="s">
        <v>18849</v>
      </c>
      <c r="E10220" t="str">
        <f>HYPERLINK("https://patents.google.com/patent/WO2003016546A1/en")</f>
        <v>https://patents.google.com/patent/WO2003016546A1/en</v>
      </c>
    </row>
    <row r="10221" spans="3:5" x14ac:dyDescent="0.25">
      <c r="C10221" t="s">
        <v>18850</v>
      </c>
      <c r="D10221" t="s">
        <v>18851</v>
      </c>
      <c r="E10221" t="str">
        <f>HYPERLINK("https://patents.google.com/patent/WO2010001406A1/en")</f>
        <v>https://patents.google.com/patent/WO2010001406A1/en</v>
      </c>
    </row>
    <row r="10222" spans="3:5" x14ac:dyDescent="0.25">
      <c r="C10222" t="s">
        <v>15402</v>
      </c>
      <c r="D10222" t="s">
        <v>18852</v>
      </c>
      <c r="E10222" t="str">
        <f>HYPERLINK("https://patents.google.com/patent/JP2004261941A/en")</f>
        <v>https://patents.google.com/patent/JP2004261941A/en</v>
      </c>
    </row>
    <row r="10223" spans="3:5" x14ac:dyDescent="0.25">
      <c r="C10223" t="s">
        <v>18853</v>
      </c>
      <c r="D10223" t="s">
        <v>18854</v>
      </c>
      <c r="E10223" t="str">
        <f>HYPERLINK("https://patents.google.com/patent/WO2002073331A2/en")</f>
        <v>https://patents.google.com/patent/WO2002073331A2/en</v>
      </c>
    </row>
    <row r="10224" spans="3:5" x14ac:dyDescent="0.25">
      <c r="C10224" t="s">
        <v>18855</v>
      </c>
      <c r="D10224" t="s">
        <v>18856</v>
      </c>
      <c r="E10224" t="str">
        <f>HYPERLINK("https://patents.google.com/patent/US20150334545A1/en")</f>
        <v>https://patents.google.com/patent/US20150334545A1/en</v>
      </c>
    </row>
    <row r="10225" spans="3:5" x14ac:dyDescent="0.25">
      <c r="C10225" t="s">
        <v>18857</v>
      </c>
      <c r="D10225" t="s">
        <v>18858</v>
      </c>
      <c r="E10225" t="str">
        <f>HYPERLINK("https://patents.google.com/patent/US20160171521A1/en")</f>
        <v>https://patents.google.com/patent/US20160171521A1/en</v>
      </c>
    </row>
    <row r="10226" spans="3:5" x14ac:dyDescent="0.25">
      <c r="C10226" t="s">
        <v>18859</v>
      </c>
      <c r="D10226" t="s">
        <v>18860</v>
      </c>
      <c r="E10226" t="str">
        <f>HYPERLINK("https://patents.google.com/patent/WO1998007022A1/en")</f>
        <v>https://patents.google.com/patent/WO1998007022A1/en</v>
      </c>
    </row>
    <row r="10227" spans="3:5" x14ac:dyDescent="0.25">
      <c r="C10227" t="s">
        <v>18861</v>
      </c>
      <c r="D10227" t="s">
        <v>18862</v>
      </c>
      <c r="E10227" t="str">
        <f>HYPERLINK("https://patents.google.com/patent/EP0121480A1/en")</f>
        <v>https://patents.google.com/patent/EP0121480A1/en</v>
      </c>
    </row>
    <row r="10228" spans="3:5" x14ac:dyDescent="0.25">
      <c r="C10228" t="s">
        <v>18863</v>
      </c>
      <c r="D10228" t="s">
        <v>18864</v>
      </c>
      <c r="E10228" t="str">
        <f>HYPERLINK("https://patents.google.com/patent/JP2001125641A/en")</f>
        <v>https://patents.google.com/patent/JP2001125641A/en</v>
      </c>
    </row>
    <row r="10229" spans="3:5" x14ac:dyDescent="0.25">
      <c r="C10229" t="s">
        <v>18865</v>
      </c>
      <c r="D10229" t="s">
        <v>18866</v>
      </c>
      <c r="E10229" t="str">
        <f>HYPERLINK("https://patents.google.com/patent/JP2001121455A/en")</f>
        <v>https://patents.google.com/patent/JP2001121455A/en</v>
      </c>
    </row>
    <row r="10230" spans="3:5" x14ac:dyDescent="0.25">
      <c r="C10230" t="s">
        <v>18867</v>
      </c>
      <c r="D10230" t="s">
        <v>18868</v>
      </c>
      <c r="E10230" t="str">
        <f>HYPERLINK("https://patents.google.com/patent/JP2001321571A/en")</f>
        <v>https://patents.google.com/patent/JP2001321571A/en</v>
      </c>
    </row>
    <row r="10231" spans="3:5" x14ac:dyDescent="0.25">
      <c r="C10231" t="s">
        <v>18869</v>
      </c>
      <c r="D10231" t="s">
        <v>18870</v>
      </c>
      <c r="E10231" t="str">
        <f>HYPERLINK("https://patents.google.com/patent/US8013837B1/en")</f>
        <v>https://patents.google.com/patent/US8013837B1/en</v>
      </c>
    </row>
    <row r="10232" spans="3:5" x14ac:dyDescent="0.25">
      <c r="C10232" t="s">
        <v>18561</v>
      </c>
      <c r="D10232" t="s">
        <v>18871</v>
      </c>
      <c r="E10232" t="str">
        <f>HYPERLINK("https://patents.google.com/patent/US8032477B1/en")</f>
        <v>https://patents.google.com/patent/US8032477B1/en</v>
      </c>
    </row>
    <row r="10233" spans="3:5" x14ac:dyDescent="0.25">
      <c r="C10233" t="s">
        <v>18872</v>
      </c>
      <c r="D10233" t="s">
        <v>18873</v>
      </c>
      <c r="E10233" t="str">
        <f>HYPERLINK("https://patents.google.com/patent/US20110307496A1/en")</f>
        <v>https://patents.google.com/patent/US20110307496A1/en</v>
      </c>
    </row>
    <row r="10234" spans="3:5" x14ac:dyDescent="0.25">
      <c r="C10234" t="s">
        <v>18874</v>
      </c>
      <c r="D10234" t="s">
        <v>18875</v>
      </c>
      <c r="E10234" t="str">
        <f>HYPERLINK("https://patents.google.com/patent/US20040137911A1/en")</f>
        <v>https://patents.google.com/patent/US20040137911A1/en</v>
      </c>
    </row>
    <row r="10235" spans="3:5" x14ac:dyDescent="0.25">
      <c r="C10235" t="s">
        <v>18876</v>
      </c>
      <c r="D10235" t="s">
        <v>18877</v>
      </c>
      <c r="E10235" t="str">
        <f>HYPERLINK("https://patents.google.com/patent/CN101187990A/en")</f>
        <v>https://patents.google.com/patent/CN101187990A/en</v>
      </c>
    </row>
    <row r="10236" spans="3:5" x14ac:dyDescent="0.25">
      <c r="C10236" t="s">
        <v>18878</v>
      </c>
      <c r="D10236" t="s">
        <v>18879</v>
      </c>
      <c r="E10236" t="str">
        <f>HYPERLINK("https://patents.google.com/patent/WO2001012285A1/en")</f>
        <v>https://patents.google.com/patent/WO2001012285A1/en</v>
      </c>
    </row>
    <row r="10237" spans="3:5" x14ac:dyDescent="0.25">
      <c r="C10237" t="s">
        <v>18880</v>
      </c>
      <c r="D10237" t="s">
        <v>18881</v>
      </c>
      <c r="E10237" t="str">
        <f>HYPERLINK("https://patents.google.com/patent/CN101017554A/en")</f>
        <v>https://patents.google.com/patent/CN101017554A/en</v>
      </c>
    </row>
    <row r="10238" spans="3:5" x14ac:dyDescent="0.25">
      <c r="C10238" t="s">
        <v>18882</v>
      </c>
      <c r="D10238" t="s">
        <v>18883</v>
      </c>
      <c r="E10238" t="str">
        <f>HYPERLINK("https://patents.google.com/patent/FR2721559A1/en")</f>
        <v>https://patents.google.com/patent/FR2721559A1/en</v>
      </c>
    </row>
    <row r="10239" spans="3:5" x14ac:dyDescent="0.25">
      <c r="C10239" t="s">
        <v>18602</v>
      </c>
      <c r="D10239" t="s">
        <v>18884</v>
      </c>
      <c r="E10239" t="str">
        <f>HYPERLINK("https://patents.google.com/patent/WO1999061984A1/en")</f>
        <v>https://patents.google.com/patent/WO1999061984A1/en</v>
      </c>
    </row>
    <row r="10240" spans="3:5" x14ac:dyDescent="0.25">
      <c r="C10240" t="s">
        <v>18885</v>
      </c>
      <c r="D10240" t="s">
        <v>18886</v>
      </c>
      <c r="E10240" t="str">
        <f>HYPERLINK("https://patents.google.com/patent/CN101825890A/en")</f>
        <v>https://patents.google.com/patent/CN101825890A/en</v>
      </c>
    </row>
    <row r="10241" spans="3:5" x14ac:dyDescent="0.25">
      <c r="C10241" t="s">
        <v>18887</v>
      </c>
      <c r="D10241" t="s">
        <v>18888</v>
      </c>
      <c r="E10241" t="str">
        <f>HYPERLINK("https://patents.google.com/patent/CN102083352A/en")</f>
        <v>https://patents.google.com/patent/CN102083352A/en</v>
      </c>
    </row>
    <row r="10242" spans="3:5" x14ac:dyDescent="0.25">
      <c r="C10242" t="s">
        <v>18889</v>
      </c>
      <c r="D10242" t="s">
        <v>18890</v>
      </c>
      <c r="E10242" t="str">
        <f>HYPERLINK("https://patents.google.com/patent/US20140059443A1/en")</f>
        <v>https://patents.google.com/patent/US20140059443A1/en</v>
      </c>
    </row>
    <row r="10243" spans="3:5" x14ac:dyDescent="0.25">
      <c r="C10243" t="s">
        <v>18891</v>
      </c>
      <c r="D10243" t="s">
        <v>18892</v>
      </c>
      <c r="E10243" t="str">
        <f>HYPERLINK("https://patents.google.com/patent/US20140277735A1/en")</f>
        <v>https://patents.google.com/patent/US20140277735A1/en</v>
      </c>
    </row>
    <row r="10244" spans="3:5" x14ac:dyDescent="0.25">
      <c r="C10244" t="s">
        <v>18893</v>
      </c>
      <c r="D10244" t="s">
        <v>18894</v>
      </c>
      <c r="E10244" t="str">
        <f>HYPERLINK("https://patents.google.com/patent/WO2004094896A2/en")</f>
        <v>https://patents.google.com/patent/WO2004094896A2/en</v>
      </c>
    </row>
    <row r="10245" spans="3:5" x14ac:dyDescent="0.25">
      <c r="C10245" t="s">
        <v>18565</v>
      </c>
      <c r="D10245" t="s">
        <v>18895</v>
      </c>
      <c r="E10245" t="str">
        <f>HYPERLINK("https://patents.google.com/patent/WO2007021974A2/en")</f>
        <v>https://patents.google.com/patent/WO2007021974A2/en</v>
      </c>
    </row>
    <row r="10246" spans="3:5" x14ac:dyDescent="0.25">
      <c r="C10246" t="s">
        <v>18896</v>
      </c>
      <c r="D10246" t="s">
        <v>18897</v>
      </c>
      <c r="E10246" t="str">
        <f>HYPERLINK("https://patents.google.com/patent/WO2003047257A1/en")</f>
        <v>https://patents.google.com/patent/WO2003047257A1/en</v>
      </c>
    </row>
    <row r="10247" spans="3:5" x14ac:dyDescent="0.25">
      <c r="C10247" t="s">
        <v>18645</v>
      </c>
      <c r="D10247" t="s">
        <v>18898</v>
      </c>
      <c r="E10247" t="str">
        <f>HYPERLINK("https://patents.google.com/patent/US8069131B1/en")</f>
        <v>https://patents.google.com/patent/US8069131B1/en</v>
      </c>
    </row>
    <row r="10248" spans="3:5" x14ac:dyDescent="0.25">
      <c r="C10248" t="s">
        <v>18899</v>
      </c>
      <c r="D10248" t="s">
        <v>18900</v>
      </c>
      <c r="E10248" t="str">
        <f>HYPERLINK("https://patents.google.com/patent/US20120241516A1/en")</f>
        <v>https://patents.google.com/patent/US20120241516A1/en</v>
      </c>
    </row>
    <row r="10249" spans="3:5" x14ac:dyDescent="0.25">
      <c r="C10249" t="s">
        <v>18901</v>
      </c>
      <c r="D10249" t="s">
        <v>18902</v>
      </c>
      <c r="E10249" t="str">
        <f>HYPERLINK("https://patents.google.com/patent/CN1914611A/en")</f>
        <v>https://patents.google.com/patent/CN1914611A/en</v>
      </c>
    </row>
    <row r="10250" spans="3:5" x14ac:dyDescent="0.25">
      <c r="C10250" t="s">
        <v>18903</v>
      </c>
      <c r="D10250" t="s">
        <v>18904</v>
      </c>
      <c r="E10250" t="str">
        <f>HYPERLINK("https://patents.google.com/patent/US9589448B1/en")</f>
        <v>https://patents.google.com/patent/US9589448B1/en</v>
      </c>
    </row>
    <row r="10251" spans="3:5" x14ac:dyDescent="0.25">
      <c r="C10251" t="s">
        <v>18905</v>
      </c>
      <c r="D10251" t="s">
        <v>18906</v>
      </c>
      <c r="E10251" t="str">
        <f>HYPERLINK("https://patents.google.com/patent/US5908599A/en")</f>
        <v>https://patents.google.com/patent/US5908599A/en</v>
      </c>
    </row>
    <row r="10252" spans="3:5" x14ac:dyDescent="0.25">
      <c r="C10252" t="s">
        <v>18907</v>
      </c>
      <c r="D10252" t="s">
        <v>18908</v>
      </c>
      <c r="E10252" t="str">
        <f>HYPERLINK("https://patents.google.com/patent/CN101116051A/en")</f>
        <v>https://patents.google.com/patent/CN101116051A/en</v>
      </c>
    </row>
    <row r="10253" spans="3:5" x14ac:dyDescent="0.25">
      <c r="C10253" t="s">
        <v>18909</v>
      </c>
      <c r="D10253" t="s">
        <v>18910</v>
      </c>
      <c r="E10253" t="str">
        <f>HYPERLINK("https://patents.google.com/patent/US20150096876A1/en")</f>
        <v>https://patents.google.com/patent/US20150096876A1/en</v>
      </c>
    </row>
    <row r="10254" spans="3:5" x14ac:dyDescent="0.25">
      <c r="C10254" t="s">
        <v>18911</v>
      </c>
      <c r="D10254" t="s">
        <v>18912</v>
      </c>
      <c r="E10254" t="str">
        <f>HYPERLINK("https://patents.google.com/patent/US8184797B1/en")</f>
        <v>https://patents.google.com/patent/US8184797B1/en</v>
      </c>
    </row>
    <row r="10255" spans="3:5" x14ac:dyDescent="0.25">
      <c r="C10255" t="s">
        <v>18874</v>
      </c>
      <c r="D10255" t="s">
        <v>18913</v>
      </c>
      <c r="E10255" t="str">
        <f>HYPERLINK("https://patents.google.com/patent/US20050026631A1/en")</f>
        <v>https://patents.google.com/patent/US20050026631A1/en</v>
      </c>
    </row>
    <row r="10256" spans="3:5" x14ac:dyDescent="0.25">
      <c r="C10256" t="s">
        <v>18914</v>
      </c>
      <c r="D10256" t="s">
        <v>18915</v>
      </c>
      <c r="E10256" t="str">
        <f>HYPERLINK("https://patents.google.com/patent/US20100226617A1/en")</f>
        <v>https://patents.google.com/patent/US20100226617A1/en</v>
      </c>
    </row>
    <row r="10257" spans="3:5" x14ac:dyDescent="0.25">
      <c r="C10257" t="s">
        <v>18891</v>
      </c>
      <c r="D10257" t="s">
        <v>18916</v>
      </c>
      <c r="E10257" t="str">
        <f>HYPERLINK("https://patents.google.com/patent/US20150314454A1/en")</f>
        <v>https://patents.google.com/patent/US20150314454A1/en</v>
      </c>
    </row>
    <row r="10258" spans="3:5" x14ac:dyDescent="0.25">
      <c r="C10258" t="s">
        <v>18917</v>
      </c>
      <c r="D10258" t="s">
        <v>18918</v>
      </c>
      <c r="E10258" t="str">
        <f>HYPERLINK("https://patents.google.com/patent/CN103565562A/en")</f>
        <v>https://patents.google.com/patent/CN103565562A/en</v>
      </c>
    </row>
    <row r="10259" spans="3:5" x14ac:dyDescent="0.25">
      <c r="C10259" t="s">
        <v>18872</v>
      </c>
      <c r="D10259" t="s">
        <v>18919</v>
      </c>
      <c r="E10259" t="str">
        <f>HYPERLINK("https://patents.google.com/patent/US20140250145A1/en")</f>
        <v>https://patents.google.com/patent/US20140250145A1/en</v>
      </c>
    </row>
    <row r="10260" spans="3:5" x14ac:dyDescent="0.25">
      <c r="C10260" t="s">
        <v>18920</v>
      </c>
      <c r="D10260" t="s">
        <v>18921</v>
      </c>
      <c r="E10260" t="str">
        <f>HYPERLINK("https://patents.google.com/patent/US20110141218A1/en")</f>
        <v>https://patents.google.com/patent/US20110141218A1/en</v>
      </c>
    </row>
    <row r="10261" spans="3:5" x14ac:dyDescent="0.25">
      <c r="C10261" t="s">
        <v>18922</v>
      </c>
      <c r="D10261" t="s">
        <v>18923</v>
      </c>
      <c r="E10261" t="str">
        <f>HYPERLINK("https://patents.google.com/patent/WO2000048110A2/en")</f>
        <v>https://patents.google.com/patent/WO2000048110A2/en</v>
      </c>
    </row>
    <row r="10262" spans="3:5" x14ac:dyDescent="0.25">
      <c r="C10262" t="s">
        <v>17791</v>
      </c>
      <c r="D10262" t="s">
        <v>18924</v>
      </c>
      <c r="E10262" t="str">
        <f>HYPERLINK("https://patents.google.com/patent/US20100241448A1/en")</f>
        <v>https://patents.google.com/patent/US20100241448A1/en</v>
      </c>
    </row>
    <row r="10263" spans="3:5" x14ac:dyDescent="0.25">
      <c r="C10263" t="s">
        <v>18925</v>
      </c>
      <c r="D10263" t="s">
        <v>18926</v>
      </c>
      <c r="E10263" t="str">
        <f>HYPERLINK("https://patents.google.com/patent/US20150271557A1/en")</f>
        <v>https://patents.google.com/patent/US20150271557A1/en</v>
      </c>
    </row>
    <row r="10264" spans="3:5" x14ac:dyDescent="0.25">
      <c r="C10264" t="s">
        <v>18927</v>
      </c>
      <c r="D10264" t="s">
        <v>18928</v>
      </c>
      <c r="E10264" t="str">
        <f>HYPERLINK("https://patents.google.com/patent/WO2006049150A1/en")</f>
        <v>https://patents.google.com/patent/WO2006049150A1/en</v>
      </c>
    </row>
    <row r="10265" spans="3:5" x14ac:dyDescent="0.25">
      <c r="C10265" t="s">
        <v>7893</v>
      </c>
      <c r="D10265" t="s">
        <v>18929</v>
      </c>
      <c r="E10265" t="str">
        <f>HYPERLINK("https://patents.google.com/patent/USRE45062E1/en")</f>
        <v>https://patents.google.com/patent/USRE45062E1/en</v>
      </c>
    </row>
    <row r="10266" spans="3:5" x14ac:dyDescent="0.25">
      <c r="C10266" t="s">
        <v>18930</v>
      </c>
      <c r="D10266" t="s">
        <v>18931</v>
      </c>
      <c r="E10266" t="str">
        <f>HYPERLINK("https://patents.google.com/patent/JP2005345325A/en")</f>
        <v>https://patents.google.com/patent/JP2005345325A/en</v>
      </c>
    </row>
    <row r="10267" spans="3:5" x14ac:dyDescent="0.25">
      <c r="C10267" t="s">
        <v>18932</v>
      </c>
      <c r="D10267" t="s">
        <v>18933</v>
      </c>
      <c r="E10267" t="str">
        <f>HYPERLINK("https://patents.google.com/patent/US6975939B2/en")</f>
        <v>https://patents.google.com/patent/US6975939B2/en</v>
      </c>
    </row>
    <row r="10268" spans="3:5" x14ac:dyDescent="0.25">
      <c r="C10268" t="s">
        <v>18934</v>
      </c>
      <c r="D10268" t="s">
        <v>18935</v>
      </c>
      <c r="E10268" t="str">
        <f>HYPERLINK("https://patents.google.com/patent/US20150130799A1/en")</f>
        <v>https://patents.google.com/patent/US20150130799A1/en</v>
      </c>
    </row>
    <row r="10269" spans="3:5" x14ac:dyDescent="0.25">
      <c r="C10269" t="s">
        <v>18936</v>
      </c>
      <c r="D10269" t="s">
        <v>18937</v>
      </c>
      <c r="E10269" t="str">
        <f>HYPERLINK("https://patents.google.com/patent/US20110053173A1/en")</f>
        <v>https://patents.google.com/patent/US20110053173A1/en</v>
      </c>
    </row>
    <row r="10270" spans="3:5" x14ac:dyDescent="0.25">
      <c r="C10270" t="s">
        <v>18938</v>
      </c>
      <c r="D10270" t="s">
        <v>18939</v>
      </c>
      <c r="E10270" t="str">
        <f>HYPERLINK("https://patents.google.com/patent/CN101484199A/en")</f>
        <v>https://patents.google.com/patent/CN101484199A/en</v>
      </c>
    </row>
    <row r="10271" spans="3:5" x14ac:dyDescent="0.25">
      <c r="C10271" t="s">
        <v>18940</v>
      </c>
      <c r="D10271" t="s">
        <v>18941</v>
      </c>
      <c r="E10271" t="str">
        <f>HYPERLINK("https://patents.google.com/patent/US20040058349A1/en")</f>
        <v>https://patents.google.com/patent/US20040058349A1/en</v>
      </c>
    </row>
    <row r="10272" spans="3:5" x14ac:dyDescent="0.25">
      <c r="C10272" t="s">
        <v>18942</v>
      </c>
      <c r="D10272" t="s">
        <v>18943</v>
      </c>
      <c r="E10272" t="str">
        <f>HYPERLINK("https://patents.google.com/patent/US20060179022A1/en")</f>
        <v>https://patents.google.com/patent/US20060179022A1/en</v>
      </c>
    </row>
    <row r="10273" spans="3:5" x14ac:dyDescent="0.25">
      <c r="C10273" t="s">
        <v>18944</v>
      </c>
      <c r="D10273" t="s">
        <v>18945</v>
      </c>
      <c r="E10273" t="str">
        <f>HYPERLINK("https://patents.google.com/patent/US20160257000A1/en")</f>
        <v>https://patents.google.com/patent/US20160257000A1/en</v>
      </c>
    </row>
    <row r="10274" spans="3:5" x14ac:dyDescent="0.25">
      <c r="C10274" t="s">
        <v>18766</v>
      </c>
      <c r="D10274" t="s">
        <v>18946</v>
      </c>
      <c r="E10274" t="str">
        <f>HYPERLINK("https://patents.google.com/patent/WO2007078599A2/en")</f>
        <v>https://patents.google.com/patent/WO2007078599A2/en</v>
      </c>
    </row>
    <row r="10275" spans="3:5" x14ac:dyDescent="0.25">
      <c r="C10275" t="s">
        <v>18947</v>
      </c>
      <c r="D10275" t="s">
        <v>18948</v>
      </c>
      <c r="E10275" t="str">
        <f>HYPERLINK("https://patents.google.com/patent/JP2000132566A/en")</f>
        <v>https://patents.google.com/patent/JP2000132566A/en</v>
      </c>
    </row>
    <row r="10276" spans="3:5" x14ac:dyDescent="0.25">
      <c r="C10276" t="s">
        <v>18949</v>
      </c>
      <c r="D10276" t="s">
        <v>18950</v>
      </c>
      <c r="E10276" t="str">
        <f>HYPERLINK("https://patents.google.com/patent/KR20020018321A/en")</f>
        <v>https://patents.google.com/patent/KR20020018321A/en</v>
      </c>
    </row>
    <row r="10277" spans="3:5" x14ac:dyDescent="0.25">
      <c r="C10277" t="s">
        <v>18951</v>
      </c>
      <c r="D10277" t="s">
        <v>18952</v>
      </c>
      <c r="E10277" t="str">
        <f>HYPERLINK("https://patents.google.com/patent/US20110138417A1/en")</f>
        <v>https://patents.google.com/patent/US20110138417A1/en</v>
      </c>
    </row>
    <row r="10278" spans="3:5" x14ac:dyDescent="0.25">
      <c r="C10278" t="s">
        <v>18953</v>
      </c>
      <c r="D10278" t="s">
        <v>18954</v>
      </c>
      <c r="E10278" t="str">
        <f>HYPERLINK("https://patents.google.com/patent/US20140320629A1/en")</f>
        <v>https://patents.google.com/patent/US20140320629A1/en</v>
      </c>
    </row>
    <row r="10279" spans="3:5" x14ac:dyDescent="0.25">
      <c r="C10279" t="s">
        <v>18955</v>
      </c>
      <c r="D10279" t="s">
        <v>18956</v>
      </c>
      <c r="E10279" t="str">
        <f>HYPERLINK("https://patents.google.com/patent/US6818760B1/en")</f>
        <v>https://patents.google.com/patent/US6818760B1/en</v>
      </c>
    </row>
    <row r="10280" spans="3:5" x14ac:dyDescent="0.25">
      <c r="C10280" t="s">
        <v>15352</v>
      </c>
      <c r="D10280" t="s">
        <v>18957</v>
      </c>
      <c r="E10280" t="str">
        <f>HYPERLINK("https://patents.google.com/patent/EP0455477A2/en")</f>
        <v>https://patents.google.com/patent/EP0455477A2/en</v>
      </c>
    </row>
    <row r="10281" spans="3:5" x14ac:dyDescent="0.25">
      <c r="C10281" t="s">
        <v>18958</v>
      </c>
      <c r="D10281" t="s">
        <v>18959</v>
      </c>
      <c r="E10281" t="str">
        <f>HYPERLINK("https://patents.google.com/patent/US9185391B1/en")</f>
        <v>https://patents.google.com/patent/US9185391B1/en</v>
      </c>
    </row>
    <row r="10282" spans="3:5" x14ac:dyDescent="0.25">
      <c r="C10282" t="s">
        <v>18960</v>
      </c>
      <c r="D10282" t="s">
        <v>18961</v>
      </c>
      <c r="E10282" t="str">
        <f>HYPERLINK("https://patents.google.com/patent/JPH09174420A/en")</f>
        <v>https://patents.google.com/patent/JPH09174420A/en</v>
      </c>
    </row>
    <row r="10283" spans="3:5" x14ac:dyDescent="0.25">
      <c r="C10283" t="s">
        <v>18962</v>
      </c>
      <c r="D10283" t="s">
        <v>18963</v>
      </c>
      <c r="E10283" t="str">
        <f>HYPERLINK("https://patents.google.com/patent/CN101871851A/en")</f>
        <v>https://patents.google.com/patent/CN101871851A/en</v>
      </c>
    </row>
    <row r="10284" spans="3:5" x14ac:dyDescent="0.25">
      <c r="C10284" t="s">
        <v>18964</v>
      </c>
      <c r="D10284" t="s">
        <v>18965</v>
      </c>
      <c r="E10284" t="str">
        <f>HYPERLINK("https://patents.google.com/patent/CN1864939A/en")</f>
        <v>https://patents.google.com/patent/CN1864939A/en</v>
      </c>
    </row>
    <row r="10285" spans="3:5" x14ac:dyDescent="0.25">
      <c r="C10285" t="s">
        <v>18966</v>
      </c>
      <c r="D10285" t="s">
        <v>18967</v>
      </c>
      <c r="E10285" t="str">
        <f>HYPERLINK("https://patents.google.com/patent/WO1994018649A1/en")</f>
        <v>https://patents.google.com/patent/WO1994018649A1/en</v>
      </c>
    </row>
    <row r="10286" spans="3:5" x14ac:dyDescent="0.25">
      <c r="C10286" t="s">
        <v>18968</v>
      </c>
      <c r="D10286" t="s">
        <v>18969</v>
      </c>
      <c r="E10286" t="str">
        <f>HYPERLINK("https://patents.google.com/patent/CN102542129A/en")</f>
        <v>https://patents.google.com/patent/CN102542129A/en</v>
      </c>
    </row>
    <row r="10287" spans="3:5" x14ac:dyDescent="0.25">
      <c r="C10287" t="s">
        <v>18970</v>
      </c>
      <c r="D10287" t="s">
        <v>18971</v>
      </c>
      <c r="E10287" t="str">
        <f>HYPERLINK("https://patents.google.com/patent/DE4318080A1/en")</f>
        <v>https://patents.google.com/patent/DE4318080A1/en</v>
      </c>
    </row>
    <row r="10288" spans="3:5" x14ac:dyDescent="0.25">
      <c r="C10288" t="s">
        <v>18972</v>
      </c>
      <c r="D10288" t="s">
        <v>18973</v>
      </c>
      <c r="E10288" t="str">
        <f>HYPERLINK("https://patents.google.com/patent/JP2003223449A/en")</f>
        <v>https://patents.google.com/patent/JP2003223449A/en</v>
      </c>
    </row>
    <row r="10289" spans="3:5" x14ac:dyDescent="0.25">
      <c r="C10289" t="s">
        <v>18974</v>
      </c>
      <c r="D10289" t="s">
        <v>18975</v>
      </c>
      <c r="E10289" t="str">
        <f>HYPERLINK("https://patents.google.com/patent/CN101675855A/en")</f>
        <v>https://patents.google.com/patent/CN101675855A/en</v>
      </c>
    </row>
    <row r="10290" spans="3:5" x14ac:dyDescent="0.25">
      <c r="C10290" t="s">
        <v>18976</v>
      </c>
      <c r="D10290" t="s">
        <v>18977</v>
      </c>
      <c r="E10290" t="str">
        <f>HYPERLINK("https://patents.google.com/patent/CN101296821A/en")</f>
        <v>https://patents.google.com/patent/CN101296821A/en</v>
      </c>
    </row>
    <row r="10291" spans="3:5" x14ac:dyDescent="0.25">
      <c r="C10291" t="s">
        <v>18978</v>
      </c>
      <c r="D10291" t="s">
        <v>18979</v>
      </c>
      <c r="E10291" t="str">
        <f>HYPERLINK("https://patents.google.com/patent/US20140255889A1/en")</f>
        <v>https://patents.google.com/patent/US20140255889A1/en</v>
      </c>
    </row>
    <row r="10292" spans="3:5" x14ac:dyDescent="0.25">
      <c r="C10292" t="s">
        <v>18980</v>
      </c>
      <c r="D10292" t="s">
        <v>18981</v>
      </c>
      <c r="E10292" t="str">
        <f>HYPERLINK("https://patents.google.com/patent/KR20050017816A/en")</f>
        <v>https://patents.google.com/patent/KR20050017816A/en</v>
      </c>
    </row>
    <row r="10293" spans="3:5" x14ac:dyDescent="0.25">
      <c r="C10293" t="s">
        <v>18982</v>
      </c>
      <c r="D10293" t="s">
        <v>18983</v>
      </c>
      <c r="E10293" t="str">
        <f>HYPERLINK("https://patents.google.com/patent/US20100049517A1/en")</f>
        <v>https://patents.google.com/patent/US20100049517A1/en</v>
      </c>
    </row>
    <row r="10294" spans="3:5" x14ac:dyDescent="0.25">
      <c r="C10294" t="s">
        <v>18984</v>
      </c>
      <c r="D10294" t="s">
        <v>18985</v>
      </c>
      <c r="E10294" t="str">
        <f>HYPERLINK("https://patents.google.com/patent/CN101855124A/en")</f>
        <v>https://patents.google.com/patent/CN101855124A/en</v>
      </c>
    </row>
    <row r="10295" spans="3:5" x14ac:dyDescent="0.25">
      <c r="C10295" t="s">
        <v>18986</v>
      </c>
      <c r="D10295" t="s">
        <v>18987</v>
      </c>
      <c r="E10295" t="str">
        <f>HYPERLINK("https://patents.google.com/patent/CN101443800A/en")</f>
        <v>https://patents.google.com/patent/CN101443800A/en</v>
      </c>
    </row>
    <row r="10296" spans="3:5" x14ac:dyDescent="0.25">
      <c r="C10296" t="s">
        <v>18988</v>
      </c>
      <c r="D10296" t="s">
        <v>18989</v>
      </c>
      <c r="E10296" t="str">
        <f>HYPERLINK("https://patents.google.com/patent/WO2005093687A1/en")</f>
        <v>https://patents.google.com/patent/WO2005093687A1/en</v>
      </c>
    </row>
    <row r="10297" spans="3:5" x14ac:dyDescent="0.25">
      <c r="C10297" t="s">
        <v>18990</v>
      </c>
      <c r="D10297" t="s">
        <v>18991</v>
      </c>
      <c r="E10297" t="str">
        <f>HYPERLINK("https://patents.google.com/patent/WO2003001483A1/en")</f>
        <v>https://patents.google.com/patent/WO2003001483A1/en</v>
      </c>
    </row>
    <row r="10298" spans="3:5" x14ac:dyDescent="0.25">
      <c r="C10298" t="s">
        <v>18992</v>
      </c>
      <c r="D10298" t="s">
        <v>18993</v>
      </c>
      <c r="E10298" t="str">
        <f>HYPERLINK("https://patents.google.com/patent/WO1999044195A1/en")</f>
        <v>https://patents.google.com/patent/WO1999044195A1/en</v>
      </c>
    </row>
    <row r="10299" spans="3:5" x14ac:dyDescent="0.25">
      <c r="C10299" t="s">
        <v>18994</v>
      </c>
      <c r="D10299" t="s">
        <v>18995</v>
      </c>
      <c r="E10299" t="str">
        <f>HYPERLINK("https://patents.google.com/patent/US20100131078A1/en")</f>
        <v>https://patents.google.com/patent/US20100131078A1/en</v>
      </c>
    </row>
    <row r="10300" spans="3:5" x14ac:dyDescent="0.25">
      <c r="C10300" t="s">
        <v>18996</v>
      </c>
      <c r="D10300" t="s">
        <v>18997</v>
      </c>
      <c r="E10300" t="str">
        <f>HYPERLINK("https://patents.google.com/patent/EP0541483A1/en")</f>
        <v>https://patents.google.com/patent/EP0541483A1/en</v>
      </c>
    </row>
    <row r="10301" spans="3:5" x14ac:dyDescent="0.25">
      <c r="C10301" t="s">
        <v>18998</v>
      </c>
      <c r="D10301" t="s">
        <v>18999</v>
      </c>
      <c r="E10301" t="str">
        <f>HYPERLINK("https://patents.google.com/patent/WO2002073535A2/en")</f>
        <v>https://patents.google.com/patent/WO2002073535A2/en</v>
      </c>
    </row>
    <row r="10302" spans="3:5" x14ac:dyDescent="0.25">
      <c r="C10302" t="s">
        <v>19000</v>
      </c>
      <c r="D10302" t="s">
        <v>19001</v>
      </c>
      <c r="E10302" t="str">
        <f>HYPERLINK("https://patents.google.com/patent/JP2003099629A/en")</f>
        <v>https://patents.google.com/patent/JP2003099629A/en</v>
      </c>
    </row>
    <row r="10303" spans="3:5" x14ac:dyDescent="0.25">
      <c r="C10303" t="s">
        <v>19002</v>
      </c>
      <c r="D10303" t="s">
        <v>19003</v>
      </c>
      <c r="E10303" t="str">
        <f>HYPERLINK("https://patents.google.com/patent/CN101645155A/en")</f>
        <v>https://patents.google.com/patent/CN101645155A/en</v>
      </c>
    </row>
    <row r="10304" spans="3:5" x14ac:dyDescent="0.25">
      <c r="C10304" t="s">
        <v>19004</v>
      </c>
      <c r="D10304" t="s">
        <v>19005</v>
      </c>
      <c r="E10304" t="str">
        <f>HYPERLINK("https://patents.google.com/patent/CN101478882A/en")</f>
        <v>https://patents.google.com/patent/CN101478882A/en</v>
      </c>
    </row>
    <row r="10305" spans="3:5" x14ac:dyDescent="0.25">
      <c r="C10305" t="s">
        <v>19006</v>
      </c>
      <c r="D10305" t="s">
        <v>19007</v>
      </c>
      <c r="E10305" t="str">
        <f>HYPERLINK("https://patents.google.com/patent/US20110106536A1/en")</f>
        <v>https://patents.google.com/patent/US20110106536A1/en</v>
      </c>
    </row>
    <row r="10306" spans="3:5" x14ac:dyDescent="0.25">
      <c r="C10306" t="s">
        <v>19008</v>
      </c>
      <c r="D10306" t="s">
        <v>19009</v>
      </c>
      <c r="E10306" t="str">
        <f>HYPERLINK("https://patents.google.com/patent/JP2010026602A/en")</f>
        <v>https://patents.google.com/patent/JP2010026602A/en</v>
      </c>
    </row>
    <row r="10307" spans="3:5" x14ac:dyDescent="0.25">
      <c r="C10307" t="s">
        <v>19010</v>
      </c>
      <c r="D10307" t="s">
        <v>19011</v>
      </c>
      <c r="E10307" t="str">
        <f>HYPERLINK("https://patents.google.com/patent/US20110295669A1/en")</f>
        <v>https://patents.google.com/patent/US20110295669A1/en</v>
      </c>
    </row>
    <row r="10308" spans="3:5" x14ac:dyDescent="0.25">
      <c r="C10308" t="s">
        <v>19012</v>
      </c>
      <c r="D10308" t="s">
        <v>19013</v>
      </c>
      <c r="E10308" t="str">
        <f>HYPERLINK("https://patents.google.com/patent/KR20120066690A/en")</f>
        <v>https://patents.google.com/patent/KR20120066690A/en</v>
      </c>
    </row>
    <row r="10309" spans="3:5" x14ac:dyDescent="0.25">
      <c r="C10309" t="s">
        <v>19014</v>
      </c>
      <c r="D10309" t="s">
        <v>19015</v>
      </c>
      <c r="E10309" t="str">
        <f>HYPERLINK("https://patents.google.com/patent/US2366939A/en")</f>
        <v>https://patents.google.com/patent/US2366939A/en</v>
      </c>
    </row>
    <row r="10310" spans="3:5" x14ac:dyDescent="0.25">
      <c r="C10310" t="s">
        <v>19016</v>
      </c>
      <c r="D10310" t="s">
        <v>19017</v>
      </c>
      <c r="E10310" t="str">
        <f>HYPERLINK("https://patents.google.com/patent/US20160258762A1/en")</f>
        <v>https://patents.google.com/patent/US20160258762A1/en</v>
      </c>
    </row>
    <row r="10311" spans="3:5" x14ac:dyDescent="0.25">
      <c r="C10311" t="s">
        <v>19018</v>
      </c>
      <c r="D10311" t="s">
        <v>19019</v>
      </c>
      <c r="E10311" t="str">
        <f>HYPERLINK("https://patents.google.com/patent/US20130063854A1/en")</f>
        <v>https://patents.google.com/patent/US20130063854A1/en</v>
      </c>
    </row>
    <row r="10312" spans="3:5" x14ac:dyDescent="0.25">
      <c r="C10312" t="s">
        <v>19020</v>
      </c>
      <c r="D10312" t="s">
        <v>19021</v>
      </c>
      <c r="E10312" t="str">
        <f>HYPERLINK("https://patents.google.com/patent/WO2008032661A1/en")</f>
        <v>https://patents.google.com/patent/WO2008032661A1/en</v>
      </c>
    </row>
    <row r="10313" spans="3:5" x14ac:dyDescent="0.25">
      <c r="C10313" t="s">
        <v>19022</v>
      </c>
      <c r="D10313" t="s">
        <v>19023</v>
      </c>
      <c r="E10313" t="str">
        <f>HYPERLINK("https://patents.google.com/patent/US20070159973A1/en")</f>
        <v>https://patents.google.com/patent/US20070159973A1/en</v>
      </c>
    </row>
    <row r="10314" spans="3:5" x14ac:dyDescent="0.25">
      <c r="C10314" t="s">
        <v>19024</v>
      </c>
      <c r="D10314" t="s">
        <v>19025</v>
      </c>
      <c r="E10314" t="str">
        <f>HYPERLINK("https://patents.google.com/patent/US8666786B1/en")</f>
        <v>https://patents.google.com/patent/US8666786B1/en</v>
      </c>
    </row>
    <row r="10315" spans="3:5" x14ac:dyDescent="0.25">
      <c r="C10315" t="s">
        <v>19026</v>
      </c>
      <c r="D10315" t="s">
        <v>19027</v>
      </c>
      <c r="E10315" t="str">
        <f>HYPERLINK("https://patents.google.com/patent/WO2003088204A1/en")</f>
        <v>https://patents.google.com/patent/WO2003088204A1/en</v>
      </c>
    </row>
    <row r="10316" spans="3:5" x14ac:dyDescent="0.25">
      <c r="C10316" t="s">
        <v>19028</v>
      </c>
      <c r="D10316" t="s">
        <v>19029</v>
      </c>
      <c r="E10316" t="str">
        <f>HYPERLINK("https://patents.google.com/patent/JP2012078950A/en")</f>
        <v>https://patents.google.com/patent/JP2012078950A/en</v>
      </c>
    </row>
    <row r="10317" spans="3:5" x14ac:dyDescent="0.25">
      <c r="C10317" t="s">
        <v>19030</v>
      </c>
      <c r="D10317" t="s">
        <v>19031</v>
      </c>
      <c r="E10317" t="str">
        <f>HYPERLINK("https://patents.google.com/patent/WO2001087179A1/en")</f>
        <v>https://patents.google.com/patent/WO2001087179A1/en</v>
      </c>
    </row>
    <row r="10318" spans="3:5" x14ac:dyDescent="0.25">
      <c r="C10318" t="s">
        <v>19032</v>
      </c>
      <c r="D10318" t="s">
        <v>19033</v>
      </c>
      <c r="E10318" t="str">
        <f>HYPERLINK("https://patents.google.com/patent/US20170129603A1/en")</f>
        <v>https://patents.google.com/patent/US20170129603A1/en</v>
      </c>
    </row>
    <row r="10319" spans="3:5" x14ac:dyDescent="0.25">
      <c r="C10319" t="s">
        <v>19034</v>
      </c>
      <c r="D10319" t="s">
        <v>19035</v>
      </c>
      <c r="E10319" t="str">
        <f>HYPERLINK("https://patents.google.com/patent/JP2001337887A/en")</f>
        <v>https://patents.google.com/patent/JP2001337887A/en</v>
      </c>
    </row>
    <row r="10320" spans="3:5" x14ac:dyDescent="0.25">
      <c r="C10320" t="s">
        <v>19036</v>
      </c>
      <c r="D10320" t="s">
        <v>19037</v>
      </c>
      <c r="E10320" t="str">
        <f>HYPERLINK("https://patents.google.com/patent/JP2002065641A/en")</f>
        <v>https://patents.google.com/patent/JP2002065641A/en</v>
      </c>
    </row>
    <row r="10321" spans="3:5" x14ac:dyDescent="0.25">
      <c r="C10321" t="s">
        <v>19038</v>
      </c>
      <c r="D10321" t="s">
        <v>19039</v>
      </c>
      <c r="E10321" t="str">
        <f>HYPERLINK("https://patents.google.com/patent/US20080174863A1/en")</f>
        <v>https://patents.google.com/patent/US20080174863A1/en</v>
      </c>
    </row>
    <row r="10322" spans="3:5" x14ac:dyDescent="0.25">
      <c r="C10322" t="s">
        <v>19040</v>
      </c>
      <c r="D10322" t="s">
        <v>19041</v>
      </c>
      <c r="E10322" t="str">
        <f>HYPERLINK("https://patents.google.com/patent/WO2009138538A1/en")</f>
        <v>https://patents.google.com/patent/WO2009138538A1/en</v>
      </c>
    </row>
    <row r="10323" spans="3:5" x14ac:dyDescent="0.25">
      <c r="C10323" t="s">
        <v>19042</v>
      </c>
      <c r="D10323" t="s">
        <v>19043</v>
      </c>
      <c r="E10323" t="str">
        <f>HYPERLINK("https://patents.google.com/patent/US20130110648A1/en")</f>
        <v>https://patents.google.com/patent/US20130110648A1/en</v>
      </c>
    </row>
    <row r="10324" spans="3:5" x14ac:dyDescent="0.25">
      <c r="C10324" t="s">
        <v>18996</v>
      </c>
      <c r="D10324" t="s">
        <v>19044</v>
      </c>
      <c r="E10324" t="str">
        <f>HYPERLINK("https://patents.google.com/patent/WO1992013121A1/en")</f>
        <v>https://patents.google.com/patent/WO1992013121A1/en</v>
      </c>
    </row>
    <row r="10325" spans="3:5" x14ac:dyDescent="0.25">
      <c r="C10325" t="s">
        <v>19045</v>
      </c>
      <c r="D10325" t="s">
        <v>19046</v>
      </c>
      <c r="E10325" t="str">
        <f>HYPERLINK("https://patents.google.com/patent/CN101436206A/en")</f>
        <v>https://patents.google.com/patent/CN101436206A/en</v>
      </c>
    </row>
    <row r="10326" spans="3:5" x14ac:dyDescent="0.25">
      <c r="C10326" t="s">
        <v>19047</v>
      </c>
      <c r="D10326" t="s">
        <v>19048</v>
      </c>
      <c r="E10326" t="str">
        <f>HYPERLINK("https://patents.google.com/patent/WO2010005991A2/en")</f>
        <v>https://patents.google.com/patent/WO2010005991A2/en</v>
      </c>
    </row>
    <row r="10327" spans="3:5" x14ac:dyDescent="0.25">
      <c r="C10327" t="s">
        <v>19049</v>
      </c>
      <c r="D10327" t="s">
        <v>19050</v>
      </c>
      <c r="E10327" t="str">
        <f>HYPERLINK("https://patents.google.com/patent/CN102340529A/en")</f>
        <v>https://patents.google.com/patent/CN102340529A/en</v>
      </c>
    </row>
    <row r="10328" spans="3:5" x14ac:dyDescent="0.25">
      <c r="C10328" t="s">
        <v>19051</v>
      </c>
      <c r="D10328" t="s">
        <v>19052</v>
      </c>
      <c r="E10328" t="str">
        <f>HYPERLINK("https://patents.google.com/patent/KR20060070002A/en")</f>
        <v>https://patents.google.com/patent/KR20060070002A/en</v>
      </c>
    </row>
    <row r="10329" spans="3:5" x14ac:dyDescent="0.25">
      <c r="C10329" t="s">
        <v>19053</v>
      </c>
      <c r="D10329" t="s">
        <v>19054</v>
      </c>
      <c r="E10329" t="str">
        <f>HYPERLINK("https://patents.google.com/patent/JPH07295637A/en")</f>
        <v>https://patents.google.com/patent/JPH07295637A/en</v>
      </c>
    </row>
    <row r="10330" spans="3:5" x14ac:dyDescent="0.25">
      <c r="C10330" t="s">
        <v>19055</v>
      </c>
      <c r="D10330" t="s">
        <v>19056</v>
      </c>
      <c r="E10330" t="str">
        <f>HYPERLINK("https://patents.google.com/patent/CN1242096A/en")</f>
        <v>https://patents.google.com/patent/CN1242096A/en</v>
      </c>
    </row>
    <row r="10331" spans="3:5" x14ac:dyDescent="0.25">
      <c r="C10331" t="s">
        <v>19057</v>
      </c>
      <c r="D10331" t="s">
        <v>19058</v>
      </c>
      <c r="E10331" t="str">
        <f>HYPERLINK("https://patents.google.com/patent/US9412203B1/en")</f>
        <v>https://patents.google.com/patent/US9412203B1/en</v>
      </c>
    </row>
    <row r="10332" spans="3:5" x14ac:dyDescent="0.25">
      <c r="C10332" t="s">
        <v>19059</v>
      </c>
      <c r="D10332" t="s">
        <v>19060</v>
      </c>
      <c r="E10332" t="str">
        <f>HYPERLINK("https://patents.google.com/patent/CN1515239A/en")</f>
        <v>https://patents.google.com/patent/CN1515239A/en</v>
      </c>
    </row>
    <row r="10333" spans="3:5" x14ac:dyDescent="0.25">
      <c r="C10333" t="s">
        <v>19061</v>
      </c>
      <c r="D10333" t="s">
        <v>19062</v>
      </c>
      <c r="E10333" t="str">
        <f>HYPERLINK("https://patents.google.com/patent/US20150235143A1/en")</f>
        <v>https://patents.google.com/patent/US20150235143A1/en</v>
      </c>
    </row>
    <row r="10334" spans="3:5" x14ac:dyDescent="0.25">
      <c r="C10334" t="s">
        <v>19063</v>
      </c>
      <c r="D10334" t="s">
        <v>19064</v>
      </c>
      <c r="E10334" t="str">
        <f>HYPERLINK("https://patents.google.com/patent/US20170123487A1/en")</f>
        <v>https://patents.google.com/patent/US20170123487A1/en</v>
      </c>
    </row>
    <row r="10335" spans="3:5" x14ac:dyDescent="0.25">
      <c r="C10335" t="s">
        <v>19065</v>
      </c>
      <c r="D10335" t="s">
        <v>19066</v>
      </c>
      <c r="E10335" t="str">
        <f>HYPERLINK("https://patents.google.com/patent/KR20110103537A/en")</f>
        <v>https://patents.google.com/patent/KR20110103537A/en</v>
      </c>
    </row>
    <row r="10336" spans="3:5" x14ac:dyDescent="0.25">
      <c r="C10336" t="s">
        <v>19067</v>
      </c>
      <c r="D10336" t="s">
        <v>19068</v>
      </c>
      <c r="E10336" t="str">
        <f>HYPERLINK("https://patents.google.com/patent/WO2007095662A1/en")</f>
        <v>https://patents.google.com/patent/WO2007095662A1/en</v>
      </c>
    </row>
    <row r="10337" spans="3:5" x14ac:dyDescent="0.25">
      <c r="C10337" t="s">
        <v>19069</v>
      </c>
      <c r="D10337" t="s">
        <v>19070</v>
      </c>
      <c r="E10337" t="str">
        <f>HYPERLINK("https://patents.google.com/patent/DE10392207T5/en")</f>
        <v>https://patents.google.com/patent/DE10392207T5/en</v>
      </c>
    </row>
    <row r="10338" spans="3:5" x14ac:dyDescent="0.25">
      <c r="C10338" t="s">
        <v>19071</v>
      </c>
      <c r="D10338" t="s">
        <v>19072</v>
      </c>
      <c r="E10338" t="str">
        <f>HYPERLINK("https://patents.google.com/patent/WO2000007492A1/en")</f>
        <v>https://patents.google.com/patent/WO2000007492A1/en</v>
      </c>
    </row>
    <row r="10339" spans="3:5" x14ac:dyDescent="0.25">
      <c r="C10339" t="s">
        <v>18645</v>
      </c>
      <c r="D10339" t="s">
        <v>19073</v>
      </c>
      <c r="E10339" t="str">
        <f>HYPERLINK("https://patents.google.com/patent/US8898098B1/en")</f>
        <v>https://patents.google.com/patent/US8898098B1/en</v>
      </c>
    </row>
    <row r="10340" spans="3:5" x14ac:dyDescent="0.25">
      <c r="C10340" t="s">
        <v>19074</v>
      </c>
      <c r="D10340" t="s">
        <v>19075</v>
      </c>
      <c r="E10340" t="str">
        <f>HYPERLINK("https://patents.google.com/patent/WO2014071465A1/en")</f>
        <v>https://patents.google.com/patent/WO2014071465A1/en</v>
      </c>
    </row>
    <row r="10341" spans="3:5" x14ac:dyDescent="0.25">
      <c r="C10341" t="s">
        <v>19076</v>
      </c>
      <c r="D10341" t="s">
        <v>19077</v>
      </c>
      <c r="E10341" t="str">
        <f>HYPERLINK("https://patents.google.com/patent/JP2012094001A/en")</f>
        <v>https://patents.google.com/patent/JP2012094001A/en</v>
      </c>
    </row>
    <row r="10342" spans="3:5" x14ac:dyDescent="0.25">
      <c r="C10342" t="s">
        <v>19078</v>
      </c>
      <c r="D10342" t="s">
        <v>19079</v>
      </c>
      <c r="E10342" t="str">
        <f>HYPERLINK("https://patents.google.com/patent/CN101855375A/en")</f>
        <v>https://patents.google.com/patent/CN101855375A/en</v>
      </c>
    </row>
    <row r="10343" spans="3:5" x14ac:dyDescent="0.25">
      <c r="C10343" t="s">
        <v>19080</v>
      </c>
      <c r="D10343" t="s">
        <v>19081</v>
      </c>
      <c r="E10343" t="str">
        <f>HYPERLINK("https://patents.google.com/patent/CN201404047Y/en")</f>
        <v>https://patents.google.com/patent/CN201404047Y/en</v>
      </c>
    </row>
    <row r="10344" spans="3:5" x14ac:dyDescent="0.25">
      <c r="C10344" t="s">
        <v>19082</v>
      </c>
      <c r="D10344" t="s">
        <v>19083</v>
      </c>
      <c r="E10344" t="str">
        <f>HYPERLINK("https://patents.google.com/patent/WO2003082211A2/en")</f>
        <v>https://patents.google.com/patent/WO2003082211A2/en</v>
      </c>
    </row>
    <row r="10345" spans="3:5" x14ac:dyDescent="0.25">
      <c r="C10345" t="s">
        <v>19084</v>
      </c>
      <c r="D10345" t="s">
        <v>19085</v>
      </c>
      <c r="E10345" t="str">
        <f>HYPERLINK("https://patents.google.com/patent/WO1993026020A1/en")</f>
        <v>https://patents.google.com/patent/WO1993026020A1/en</v>
      </c>
    </row>
    <row r="10346" spans="3:5" x14ac:dyDescent="0.25">
      <c r="C10346" t="s">
        <v>19086</v>
      </c>
      <c r="D10346" t="s">
        <v>19087</v>
      </c>
      <c r="E10346" t="str">
        <f>HYPERLINK("https://patents.google.com/patent/US20150310497A1/en")</f>
        <v>https://patents.google.com/patent/US20150310497A1/en</v>
      </c>
    </row>
    <row r="10347" spans="3:5" x14ac:dyDescent="0.25">
      <c r="C10347" t="s">
        <v>19088</v>
      </c>
      <c r="D10347" t="s">
        <v>19089</v>
      </c>
      <c r="E10347" t="str">
        <f>HYPERLINK("https://patents.google.com/patent/DE102011055030A1/en")</f>
        <v>https://patents.google.com/patent/DE102011055030A1/en</v>
      </c>
    </row>
    <row r="10348" spans="3:5" x14ac:dyDescent="0.25">
      <c r="C10348" t="s">
        <v>19090</v>
      </c>
      <c r="D10348" t="s">
        <v>19091</v>
      </c>
      <c r="E10348" t="str">
        <f>HYPERLINK("https://patents.google.com/patent/JP2006511239A/en")</f>
        <v>https://patents.google.com/patent/JP2006511239A/en</v>
      </c>
    </row>
    <row r="10349" spans="3:5" x14ac:dyDescent="0.25">
      <c r="C10349" t="s">
        <v>19092</v>
      </c>
      <c r="D10349" t="s">
        <v>19093</v>
      </c>
      <c r="E10349" t="str">
        <f>HYPERLINK("https://patents.google.com/patent/US20170360647A1/en")</f>
        <v>https://patents.google.com/patent/US20170360647A1/en</v>
      </c>
    </row>
    <row r="10350" spans="3:5" x14ac:dyDescent="0.25">
      <c r="C10350" t="s">
        <v>19094</v>
      </c>
      <c r="D10350" t="s">
        <v>19095</v>
      </c>
      <c r="E10350" t="str">
        <f>HYPERLINK("https://patents.google.com/patent/CN101689255A/en")</f>
        <v>https://patents.google.com/patent/CN101689255A/en</v>
      </c>
    </row>
    <row r="10351" spans="3:5" x14ac:dyDescent="0.25">
      <c r="C10351" t="s">
        <v>19096</v>
      </c>
      <c r="D10351" t="s">
        <v>19097</v>
      </c>
      <c r="E10351" t="str">
        <f>HYPERLINK("https://patents.google.com/patent/JP2011123851A/en")</f>
        <v>https://patents.google.com/patent/JP2011123851A/en</v>
      </c>
    </row>
    <row r="10352" spans="3:5" x14ac:dyDescent="0.25">
      <c r="C10352" t="s">
        <v>19098</v>
      </c>
      <c r="D10352" t="s">
        <v>19099</v>
      </c>
      <c r="E10352" t="str">
        <f>HYPERLINK("https://patents.google.com/patent/JP2002133290A/en")</f>
        <v>https://patents.google.com/patent/JP2002133290A/en</v>
      </c>
    </row>
    <row r="10353" spans="3:5" x14ac:dyDescent="0.25">
      <c r="C10353" t="s">
        <v>19100</v>
      </c>
      <c r="D10353" t="s">
        <v>19101</v>
      </c>
      <c r="E10353" t="str">
        <f>HYPERLINK("https://patents.google.com/patent/KR101280908B1/en")</f>
        <v>https://patents.google.com/patent/KR101280908B1/en</v>
      </c>
    </row>
    <row r="10354" spans="3:5" x14ac:dyDescent="0.25">
      <c r="C10354" t="s">
        <v>19102</v>
      </c>
      <c r="D10354" t="s">
        <v>19103</v>
      </c>
      <c r="E10354" t="str">
        <f>HYPERLINK("https://patents.google.com/patent/DE19916427A1/en")</f>
        <v>https://patents.google.com/patent/DE19916427A1/en</v>
      </c>
    </row>
    <row r="10355" spans="3:5" x14ac:dyDescent="0.25">
      <c r="C10355" t="s">
        <v>19104</v>
      </c>
      <c r="D10355" t="s">
        <v>19105</v>
      </c>
      <c r="E10355" t="str">
        <f>HYPERLINK("https://patents.google.com/patent/JP2000331234A/en")</f>
        <v>https://patents.google.com/patent/JP2000331234A/en</v>
      </c>
    </row>
    <row r="10356" spans="3:5" x14ac:dyDescent="0.25">
      <c r="C10356" t="s">
        <v>19106</v>
      </c>
      <c r="D10356" t="s">
        <v>19107</v>
      </c>
      <c r="E10356" t="str">
        <f>HYPERLINK("https://patents.google.com/patent/CN103761667A/en")</f>
        <v>https://patents.google.com/patent/CN103761667A/en</v>
      </c>
    </row>
    <row r="10357" spans="3:5" x14ac:dyDescent="0.25">
      <c r="C10357" t="s">
        <v>19108</v>
      </c>
      <c r="D10357" t="s">
        <v>19109</v>
      </c>
      <c r="E10357" t="str">
        <f>HYPERLINK("https://patents.google.com/patent/JP2006239797A/en")</f>
        <v>https://patents.google.com/patent/JP2006239797A/en</v>
      </c>
    </row>
    <row r="10358" spans="3:5" x14ac:dyDescent="0.25">
      <c r="C10358" t="s">
        <v>19110</v>
      </c>
      <c r="D10358" t="s">
        <v>19111</v>
      </c>
      <c r="E10358" t="str">
        <f>HYPERLINK("https://patents.google.com/patent/US20160044380A1/en")</f>
        <v>https://patents.google.com/patent/US20160044380A1/en</v>
      </c>
    </row>
    <row r="10359" spans="3:5" x14ac:dyDescent="0.25">
      <c r="C10359" t="s">
        <v>19112</v>
      </c>
      <c r="D10359" t="s">
        <v>19113</v>
      </c>
      <c r="E10359" t="str">
        <f>HYPERLINK("https://patents.google.com/patent/US20110135278A1/en")</f>
        <v>https://patents.google.com/patent/US20110135278A1/en</v>
      </c>
    </row>
    <row r="10360" spans="3:5" x14ac:dyDescent="0.25">
      <c r="C10360" t="s">
        <v>18620</v>
      </c>
      <c r="D10360" t="s">
        <v>19114</v>
      </c>
      <c r="E10360" t="str">
        <f>HYPERLINK("https://patents.google.com/patent/WO1999061967A2/en")</f>
        <v>https://patents.google.com/patent/WO1999061967A2/en</v>
      </c>
    </row>
    <row r="10361" spans="3:5" x14ac:dyDescent="0.25">
      <c r="C10361" t="s">
        <v>19115</v>
      </c>
      <c r="D10361" t="s">
        <v>19116</v>
      </c>
      <c r="E10361" t="str">
        <f>HYPERLINK("https://patents.google.com/patent/JP2008114095A/en")</f>
        <v>https://patents.google.com/patent/JP2008114095A/en</v>
      </c>
    </row>
    <row r="10362" spans="3:5" x14ac:dyDescent="0.25">
      <c r="C10362" t="s">
        <v>19117</v>
      </c>
      <c r="D10362" t="s">
        <v>19118</v>
      </c>
      <c r="E10362" t="str">
        <f>HYPERLINK("https://patents.google.com/patent/JP2009202233A/en")</f>
        <v>https://patents.google.com/patent/JP2009202233A/en</v>
      </c>
    </row>
    <row r="10363" spans="3:5" x14ac:dyDescent="0.25">
      <c r="C10363" t="s">
        <v>15844</v>
      </c>
      <c r="D10363" t="s">
        <v>19119</v>
      </c>
      <c r="E10363" t="str">
        <f>HYPERLINK("https://patents.google.com/patent/US9527217B1/en")</f>
        <v>https://patents.google.com/patent/US9527217B1/en</v>
      </c>
    </row>
    <row r="10364" spans="3:5" x14ac:dyDescent="0.25">
      <c r="C10364" t="s">
        <v>19120</v>
      </c>
      <c r="D10364" t="s">
        <v>19121</v>
      </c>
      <c r="E10364" t="str">
        <f>HYPERLINK("https://patents.google.com/patent/JP2011020223A/en")</f>
        <v>https://patents.google.com/patent/JP2011020223A/en</v>
      </c>
    </row>
    <row r="10365" spans="3:5" x14ac:dyDescent="0.25">
      <c r="C10365" t="s">
        <v>19122</v>
      </c>
      <c r="D10365" t="s">
        <v>19123</v>
      </c>
      <c r="E10365" t="str">
        <f>HYPERLINK("https://patents.google.com/patent/CN2298990Y/en")</f>
        <v>https://patents.google.com/patent/CN2298990Y/en</v>
      </c>
    </row>
    <row r="10366" spans="3:5" x14ac:dyDescent="0.25">
      <c r="C10366" t="s">
        <v>19124</v>
      </c>
      <c r="D10366" t="s">
        <v>19125</v>
      </c>
      <c r="E10366" t="str">
        <f>HYPERLINK("https://patents.google.com/patent/CN106737750A/en")</f>
        <v>https://patents.google.com/patent/CN106737750A/en</v>
      </c>
    </row>
    <row r="10367" spans="3:5" x14ac:dyDescent="0.25">
      <c r="C10367" t="s">
        <v>19126</v>
      </c>
      <c r="D10367" t="s">
        <v>19127</v>
      </c>
      <c r="E10367" t="str">
        <f>HYPERLINK("https://patents.google.com/patent/KR101012288B1/en")</f>
        <v>https://patents.google.com/patent/KR101012288B1/en</v>
      </c>
    </row>
    <row r="10368" spans="3:5" x14ac:dyDescent="0.25">
      <c r="C10368" t="s">
        <v>19128</v>
      </c>
      <c r="D10368" t="s">
        <v>19129</v>
      </c>
      <c r="E10368" t="str">
        <f>HYPERLINK("https://patents.google.com/patent/JP2001337827A/en")</f>
        <v>https://patents.google.com/patent/JP2001337827A/en</v>
      </c>
    </row>
    <row r="10369" spans="3:5" x14ac:dyDescent="0.25">
      <c r="C10369" t="s">
        <v>19130</v>
      </c>
      <c r="D10369" t="s">
        <v>19131</v>
      </c>
      <c r="E10369" t="str">
        <f>HYPERLINK("https://patents.google.com/patent/WO2008106088A2/en")</f>
        <v>https://patents.google.com/patent/WO2008106088A2/en</v>
      </c>
    </row>
    <row r="10370" spans="3:5" x14ac:dyDescent="0.25">
      <c r="C10370" t="s">
        <v>19132</v>
      </c>
      <c r="D10370" t="s">
        <v>19133</v>
      </c>
      <c r="E10370" t="str">
        <f>HYPERLINK("https://patents.google.com/patent/CN101556669A/en")</f>
        <v>https://patents.google.com/patent/CN101556669A/en</v>
      </c>
    </row>
    <row r="10371" spans="3:5" x14ac:dyDescent="0.25">
      <c r="C10371" t="s">
        <v>19134</v>
      </c>
      <c r="D10371" t="s">
        <v>19135</v>
      </c>
      <c r="E10371" t="str">
        <f>HYPERLINK("https://patents.google.com/patent/CN103635384A/en")</f>
        <v>https://patents.google.com/patent/CN103635384A/en</v>
      </c>
    </row>
    <row r="10372" spans="3:5" x14ac:dyDescent="0.25">
      <c r="C10372" t="s">
        <v>19136</v>
      </c>
      <c r="D10372" t="s">
        <v>19137</v>
      </c>
      <c r="E10372" t="str">
        <f>HYPERLINK("https://patents.google.com/patent/JP2000069902A/en")</f>
        <v>https://patents.google.com/patent/JP2000069902A/en</v>
      </c>
    </row>
    <row r="10373" spans="3:5" x14ac:dyDescent="0.25">
      <c r="C10373" t="s">
        <v>19138</v>
      </c>
      <c r="D10373" t="s">
        <v>19139</v>
      </c>
      <c r="E10373" t="str">
        <f>HYPERLINK("https://patents.google.com/patent/WO2012116385A1/en")</f>
        <v>https://patents.google.com/patent/WO2012116385A1/en</v>
      </c>
    </row>
    <row r="10374" spans="3:5" x14ac:dyDescent="0.25">
      <c r="C10374" t="s">
        <v>19140</v>
      </c>
      <c r="D10374" t="s">
        <v>19141</v>
      </c>
      <c r="E10374" t="str">
        <f>HYPERLINK("https://patents.google.com/patent/WO2007011412A2/en")</f>
        <v>https://patents.google.com/patent/WO2007011412A2/en</v>
      </c>
    </row>
    <row r="10375" spans="3:5" x14ac:dyDescent="0.25">
      <c r="C10375" t="s">
        <v>19142</v>
      </c>
      <c r="D10375" t="s">
        <v>19143</v>
      </c>
      <c r="E10375" t="str">
        <f>HYPERLINK("https://patents.google.com/patent/JP2005525653A/en")</f>
        <v>https://patents.google.com/patent/JP2005525653A/en</v>
      </c>
    </row>
    <row r="10376" spans="3:5" x14ac:dyDescent="0.25">
      <c r="C10376" t="s">
        <v>19144</v>
      </c>
      <c r="D10376" t="s">
        <v>19145</v>
      </c>
      <c r="E10376" t="str">
        <f>HYPERLINK("https://patents.google.com/patent/JP2006313393A/en")</f>
        <v>https://patents.google.com/patent/JP2006313393A/en</v>
      </c>
    </row>
    <row r="10377" spans="3:5" x14ac:dyDescent="0.25">
      <c r="C10377" t="s">
        <v>19146</v>
      </c>
      <c r="D10377" t="s">
        <v>19147</v>
      </c>
      <c r="E10377" t="str">
        <f>HYPERLINK("https://patents.google.com/patent/CN206193936U/en")</f>
        <v>https://patents.google.com/patent/CN206193936U/en</v>
      </c>
    </row>
    <row r="10378" spans="3:5" x14ac:dyDescent="0.25">
      <c r="C10378" t="s">
        <v>19148</v>
      </c>
      <c r="D10378" t="s">
        <v>19149</v>
      </c>
      <c r="E10378" t="str">
        <f>HYPERLINK("https://patents.google.com/patent/KR100822491B1/en")</f>
        <v>https://patents.google.com/patent/KR100822491B1/en</v>
      </c>
    </row>
    <row r="10379" spans="3:5" x14ac:dyDescent="0.25">
      <c r="C10379" t="s">
        <v>19150</v>
      </c>
      <c r="D10379" t="s">
        <v>19151</v>
      </c>
      <c r="E10379" t="str">
        <f>HYPERLINK("https://patents.google.com/patent/JP2003529975A/en")</f>
        <v>https://patents.google.com/patent/JP2003529975A/en</v>
      </c>
    </row>
    <row r="10380" spans="3:5" x14ac:dyDescent="0.25">
      <c r="C10380" t="s">
        <v>19152</v>
      </c>
      <c r="D10380" t="s">
        <v>19153</v>
      </c>
      <c r="E10380" t="str">
        <f>HYPERLINK("https://patents.google.com/patent/JP2004341965A/en")</f>
        <v>https://patents.google.com/patent/JP2004341965A/en</v>
      </c>
    </row>
    <row r="10381" spans="3:5" x14ac:dyDescent="0.25">
      <c r="C10381" t="s">
        <v>19154</v>
      </c>
      <c r="D10381" t="s">
        <v>19155</v>
      </c>
      <c r="E10381" t="str">
        <f>HYPERLINK("https://patents.google.com/patent/US20130040274A1/en")</f>
        <v>https://patents.google.com/patent/US20130040274A1/en</v>
      </c>
    </row>
    <row r="10382" spans="3:5" x14ac:dyDescent="0.25">
      <c r="C10382" t="s">
        <v>19156</v>
      </c>
      <c r="D10382" t="s">
        <v>19157</v>
      </c>
      <c r="E10382" t="str">
        <f>HYPERLINK("https://patents.google.com/patent/US20170200197A1/en")</f>
        <v>https://patents.google.com/patent/US20170200197A1/en</v>
      </c>
    </row>
    <row r="10383" spans="3:5" x14ac:dyDescent="0.25">
      <c r="C10383" t="s">
        <v>19158</v>
      </c>
      <c r="D10383" t="s">
        <v>19159</v>
      </c>
      <c r="E10383" t="str">
        <f>HYPERLINK("https://patents.google.com/patent/KR100529721B1/en")</f>
        <v>https://patents.google.com/patent/KR100529721B1/en</v>
      </c>
    </row>
    <row r="10384" spans="3:5" x14ac:dyDescent="0.25">
      <c r="C10384" t="s">
        <v>19160</v>
      </c>
      <c r="D10384" t="s">
        <v>19161</v>
      </c>
      <c r="E10384" t="str">
        <f>HYPERLINK("https://patents.google.com/patent/KR101428846B1/en")</f>
        <v>https://patents.google.com/patent/KR101428846B1/en</v>
      </c>
    </row>
    <row r="10385" spans="3:5" x14ac:dyDescent="0.25">
      <c r="C10385" t="s">
        <v>5967</v>
      </c>
      <c r="D10385" t="s">
        <v>19162</v>
      </c>
      <c r="E10385" t="str">
        <f>HYPERLINK("https://patents.google.com/patent/JP2009518716A/en")</f>
        <v>https://patents.google.com/patent/JP2009518716A/en</v>
      </c>
    </row>
    <row r="10386" spans="3:5" x14ac:dyDescent="0.25">
      <c r="C10386" t="s">
        <v>19163</v>
      </c>
      <c r="D10386" t="s">
        <v>19164</v>
      </c>
      <c r="E10386" t="str">
        <f>HYPERLINK("https://patents.google.com/patent/JP2004537082A/en")</f>
        <v>https://patents.google.com/patent/JP2004537082A/en</v>
      </c>
    </row>
    <row r="10387" spans="3:5" x14ac:dyDescent="0.25">
      <c r="C10387" t="s">
        <v>19165</v>
      </c>
      <c r="D10387" t="s">
        <v>19166</v>
      </c>
      <c r="E10387" t="str">
        <f>HYPERLINK("https://patents.google.com/patent/KR20060071302A/en")</f>
        <v>https://patents.google.com/patent/KR20060071302A/en</v>
      </c>
    </row>
    <row r="10388" spans="3:5" x14ac:dyDescent="0.25">
      <c r="C10388" t="s">
        <v>19167</v>
      </c>
      <c r="D10388" t="s">
        <v>19168</v>
      </c>
      <c r="E10388" t="str">
        <f>HYPERLINK("https://patents.google.com/patent/CN206075140U/en")</f>
        <v>https://patents.google.com/patent/CN206075140U/en</v>
      </c>
    </row>
    <row r="10389" spans="3:5" x14ac:dyDescent="0.25">
      <c r="C10389" t="s">
        <v>19169</v>
      </c>
      <c r="D10389" t="s">
        <v>19170</v>
      </c>
      <c r="E10389" t="str">
        <f>HYPERLINK("https://patents.google.com/patent/JP2003528373A/en")</f>
        <v>https://patents.google.com/patent/JP2003528373A/en</v>
      </c>
    </row>
    <row r="10390" spans="3:5" x14ac:dyDescent="0.25">
      <c r="C10390" t="s">
        <v>19171</v>
      </c>
      <c r="D10390" t="s">
        <v>19172</v>
      </c>
      <c r="E10390" t="str">
        <f>HYPERLINK("https://patents.google.com/patent/US20170011745A1/en")</f>
        <v>https://patents.google.com/patent/US20170011745A1/en</v>
      </c>
    </row>
    <row r="10391" spans="3:5" x14ac:dyDescent="0.25">
      <c r="C10391" t="s">
        <v>19173</v>
      </c>
      <c r="D10391" t="s">
        <v>19174</v>
      </c>
      <c r="E10391" t="str">
        <f>HYPERLINK("https://patents.google.com/patent/KR101021763B1/en")</f>
        <v>https://patents.google.com/patent/KR101021763B1/en</v>
      </c>
    </row>
    <row r="10392" spans="3:5" x14ac:dyDescent="0.25">
      <c r="C10392" t="s">
        <v>19175</v>
      </c>
      <c r="D10392" t="s">
        <v>19176</v>
      </c>
      <c r="E10392" t="str">
        <f>HYPERLINK("https://patents.google.com/patent/US20170307670A1/en")</f>
        <v>https://patents.google.com/patent/US20170307670A1/en</v>
      </c>
    </row>
    <row r="10393" spans="3:5" x14ac:dyDescent="0.25">
      <c r="C10393" t="s">
        <v>19177</v>
      </c>
      <c r="D10393" t="s">
        <v>19178</v>
      </c>
      <c r="E10393" t="str">
        <f>HYPERLINK("https://patents.google.com/patent/US20160321381A1/en")</f>
        <v>https://patents.google.com/patent/US20160321381A1/en</v>
      </c>
    </row>
    <row r="10394" spans="3:5" x14ac:dyDescent="0.25">
      <c r="C10394" t="s">
        <v>19179</v>
      </c>
      <c r="D10394" t="s">
        <v>19180</v>
      </c>
      <c r="E10394" t="str">
        <f>HYPERLINK("https://patents.google.com/patent/WO2004032752A1/en")</f>
        <v>https://patents.google.com/patent/WO2004032752A1/en</v>
      </c>
    </row>
    <row r="10395" spans="3:5" x14ac:dyDescent="0.25">
      <c r="C10395" t="s">
        <v>19181</v>
      </c>
      <c r="D10395" t="s">
        <v>19182</v>
      </c>
      <c r="E10395" t="str">
        <f>HYPERLINK("https://patents.google.com/patent/KR20080081182A/en")</f>
        <v>https://patents.google.com/patent/KR20080081182A/en</v>
      </c>
    </row>
    <row r="10396" spans="3:5" x14ac:dyDescent="0.25">
      <c r="C10396" t="s">
        <v>19183</v>
      </c>
      <c r="D10396" t="s">
        <v>19184</v>
      </c>
      <c r="E10396" t="str">
        <f>HYPERLINK("https://patents.google.com/patent/JP2012153277A/en")</f>
        <v>https://patents.google.com/patent/JP2012153277A/en</v>
      </c>
    </row>
    <row r="10397" spans="3:5" x14ac:dyDescent="0.25">
      <c r="C10397" t="s">
        <v>19185</v>
      </c>
      <c r="D10397" t="s">
        <v>19186</v>
      </c>
      <c r="E10397" t="str">
        <f>HYPERLINK("https://patents.google.com/patent/WO2007001962A2/en")</f>
        <v>https://patents.google.com/patent/WO2007001962A2/en</v>
      </c>
    </row>
    <row r="10398" spans="3:5" x14ac:dyDescent="0.25">
      <c r="C10398" t="s">
        <v>6170</v>
      </c>
      <c r="D10398" t="s">
        <v>19187</v>
      </c>
      <c r="E10398" t="str">
        <f>HYPERLINK("https://patents.google.com/patent/KR20070104472A/en")</f>
        <v>https://patents.google.com/patent/KR20070104472A/en</v>
      </c>
    </row>
    <row r="10399" spans="3:5" x14ac:dyDescent="0.25">
      <c r="C10399" t="s">
        <v>6282</v>
      </c>
      <c r="D10399" t="s">
        <v>19188</v>
      </c>
      <c r="E10399" t="str">
        <f>HYPERLINK("https://patents.google.com/patent/KR20100054878A/en")</f>
        <v>https://patents.google.com/patent/KR20100054878A/en</v>
      </c>
    </row>
    <row r="10400" spans="3:5" x14ac:dyDescent="0.25">
      <c r="C10400" t="s">
        <v>19189</v>
      </c>
      <c r="D10400" t="s">
        <v>19190</v>
      </c>
      <c r="E10400" t="str">
        <f>HYPERLINK("https://patents.google.com/patent/WO2008062258A1/en")</f>
        <v>https://patents.google.com/patent/WO2008062258A1/en</v>
      </c>
    </row>
    <row r="10401" spans="3:5" x14ac:dyDescent="0.25">
      <c r="C10401" t="s">
        <v>19191</v>
      </c>
      <c r="D10401" t="s">
        <v>19192</v>
      </c>
      <c r="E10401" t="str">
        <f>HYPERLINK("https://patents.google.com/patent/KR101099808B1/en")</f>
        <v>https://patents.google.com/patent/KR101099808B1/en</v>
      </c>
    </row>
    <row r="10402" spans="3:5" x14ac:dyDescent="0.25">
      <c r="C10402" t="s">
        <v>19193</v>
      </c>
      <c r="D10402" t="s">
        <v>19194</v>
      </c>
      <c r="E10402" t="str">
        <f>HYPERLINK("https://patents.google.com/patent/US20180165554A1/en")</f>
        <v>https://patents.google.com/patent/US20180165554A1/en</v>
      </c>
    </row>
    <row r="10403" spans="3:5" x14ac:dyDescent="0.25">
      <c r="C10403" t="s">
        <v>19195</v>
      </c>
      <c r="D10403" t="s">
        <v>19196</v>
      </c>
      <c r="E10403" t="str">
        <f>HYPERLINK("https://patents.google.com/patent/ES2239946T3/en")</f>
        <v>https://patents.google.com/patent/ES2239946T3/en</v>
      </c>
    </row>
    <row r="10404" spans="3:5" x14ac:dyDescent="0.25">
      <c r="C10404" t="s">
        <v>19197</v>
      </c>
      <c r="D10404" t="s">
        <v>19198</v>
      </c>
      <c r="E10404" t="str">
        <f>HYPERLINK("https://patents.google.com/patent/US20180081439A1/en")</f>
        <v>https://patents.google.com/patent/US20180081439A1/en</v>
      </c>
    </row>
    <row r="10405" spans="3:5" x14ac:dyDescent="0.25">
      <c r="C10405" t="s">
        <v>19199</v>
      </c>
      <c r="D10405" t="s">
        <v>19200</v>
      </c>
      <c r="E10405" t="str">
        <f>HYPERLINK("https://patents.google.com/patent/US20170206064A1/en")</f>
        <v>https://patents.google.com/patent/US20170206064A1/en</v>
      </c>
    </row>
    <row r="10406" spans="3:5" x14ac:dyDescent="0.25">
      <c r="C10406" t="s">
        <v>19201</v>
      </c>
      <c r="D10406" t="s">
        <v>19202</v>
      </c>
      <c r="E10406" t="str">
        <f>HYPERLINK("https://patents.google.com/patent/US9087358B1/en")</f>
        <v>https://patents.google.com/patent/US9087358B1/en</v>
      </c>
    </row>
    <row r="10407" spans="3:5" x14ac:dyDescent="0.25">
      <c r="C10407" t="s">
        <v>19203</v>
      </c>
      <c r="D10407" t="s">
        <v>19204</v>
      </c>
      <c r="E10407" t="str">
        <f>HYPERLINK("https://patents.google.com/patent/JPH0883394A/en")</f>
        <v>https://patents.google.com/patent/JPH0883394A/en</v>
      </c>
    </row>
    <row r="10408" spans="3:5" x14ac:dyDescent="0.25">
      <c r="C10408" t="s">
        <v>19205</v>
      </c>
      <c r="D10408" t="s">
        <v>19206</v>
      </c>
      <c r="E10408" t="str">
        <f>HYPERLINK("https://patents.google.com/patent/CN101682461A/en")</f>
        <v>https://patents.google.com/patent/CN101682461A/en</v>
      </c>
    </row>
    <row r="10409" spans="3:5" x14ac:dyDescent="0.25">
      <c r="C10409" t="s">
        <v>19207</v>
      </c>
      <c r="D10409" t="s">
        <v>19208</v>
      </c>
      <c r="E10409" t="str">
        <f>HYPERLINK("https://patents.google.com/patent/FR2807981A1/en")</f>
        <v>https://patents.google.com/patent/FR2807981A1/en</v>
      </c>
    </row>
    <row r="10410" spans="3:5" x14ac:dyDescent="0.25">
      <c r="C10410" t="s">
        <v>19209</v>
      </c>
      <c r="D10410" t="s">
        <v>19210</v>
      </c>
      <c r="E10410" t="str">
        <f>HYPERLINK("https://patents.google.com/patent/US20180089349A1/en")</f>
        <v>https://patents.google.com/patent/US20180089349A1/en</v>
      </c>
    </row>
    <row r="10411" spans="3:5" x14ac:dyDescent="0.25">
      <c r="C10411" t="s">
        <v>19211</v>
      </c>
      <c r="D10411" t="s">
        <v>19212</v>
      </c>
      <c r="E10411" t="str">
        <f>HYPERLINK("https://patents.google.com/patent/KR100375681B1/en")</f>
        <v>https://patents.google.com/patent/KR100375681B1/en</v>
      </c>
    </row>
    <row r="10412" spans="3:5" x14ac:dyDescent="0.25">
      <c r="C10412" t="s">
        <v>19213</v>
      </c>
      <c r="D10412" t="s">
        <v>19214</v>
      </c>
      <c r="E10412" t="str">
        <f>HYPERLINK("https://patents.google.com/patent/WO1996027063A1/en")</f>
        <v>https://patents.google.com/patent/WO1996027063A1/en</v>
      </c>
    </row>
    <row r="10413" spans="3:5" x14ac:dyDescent="0.25">
      <c r="C10413" t="s">
        <v>19215</v>
      </c>
      <c r="D10413" t="s">
        <v>19216</v>
      </c>
      <c r="E10413" t="str">
        <f>HYPERLINK("https://patents.google.com/patent/KR20080077706A/en")</f>
        <v>https://patents.google.com/patent/KR20080077706A/en</v>
      </c>
    </row>
    <row r="10414" spans="3:5" x14ac:dyDescent="0.25">
      <c r="C10414" t="s">
        <v>17645</v>
      </c>
      <c r="D10414" t="s">
        <v>19217</v>
      </c>
      <c r="E10414" t="str">
        <f>HYPERLINK("https://patents.google.com/patent/KR20140040094A/en")</f>
        <v>https://patents.google.com/patent/KR20140040094A/en</v>
      </c>
    </row>
    <row r="10415" spans="3:5" x14ac:dyDescent="0.25">
      <c r="C10415" t="s">
        <v>19218</v>
      </c>
      <c r="D10415" t="s">
        <v>19219</v>
      </c>
      <c r="E10415" t="str">
        <f>HYPERLINK("https://patents.google.com/patent/KR20170097017A/en")</f>
        <v>https://patents.google.com/patent/KR20170097017A/en</v>
      </c>
    </row>
    <row r="10416" spans="3:5" x14ac:dyDescent="0.25">
      <c r="C10416" t="s">
        <v>19220</v>
      </c>
      <c r="D10416" t="s">
        <v>19221</v>
      </c>
      <c r="E10416" t="str">
        <f>HYPERLINK("https://patents.google.com/patent/JPH05182414A/en")</f>
        <v>https://patents.google.com/patent/JPH05182414A/en</v>
      </c>
    </row>
    <row r="10417" spans="3:5" x14ac:dyDescent="0.25">
      <c r="C10417" t="s">
        <v>19222</v>
      </c>
      <c r="D10417" t="s">
        <v>19223</v>
      </c>
      <c r="E10417" t="str">
        <f>HYPERLINK("https://patents.google.com/patent/CN108346000A/en")</f>
        <v>https://patents.google.com/patent/CN108346000A/en</v>
      </c>
    </row>
    <row r="10418" spans="3:5" x14ac:dyDescent="0.25">
      <c r="C10418" t="s">
        <v>19224</v>
      </c>
      <c r="D10418" t="s">
        <v>19225</v>
      </c>
      <c r="E10418" t="str">
        <f>HYPERLINK("https://patents.google.com/patent/CN108062717A/en")</f>
        <v>https://patents.google.com/patent/CN108062717A/en</v>
      </c>
    </row>
    <row r="10419" spans="3:5" x14ac:dyDescent="0.25">
      <c r="C10419" t="s">
        <v>19226</v>
      </c>
      <c r="D10419" t="s">
        <v>19227</v>
      </c>
      <c r="E10419" t="str">
        <f>HYPERLINK("https://patents.google.com/patent/CA2625795A1/en")</f>
        <v>https://patents.google.com/patent/CA2625795A1/en</v>
      </c>
    </row>
    <row r="10420" spans="3:5" x14ac:dyDescent="0.25">
      <c r="C10420" t="s">
        <v>19228</v>
      </c>
      <c r="D10420" t="s">
        <v>19229</v>
      </c>
      <c r="E10420" t="str">
        <f>HYPERLINK("https://patents.google.com/patent/JP2012203646A/en")</f>
        <v>https://patents.google.com/patent/JP2012203646A/en</v>
      </c>
    </row>
    <row r="10421" spans="3:5" x14ac:dyDescent="0.25">
      <c r="C10421" t="s">
        <v>19230</v>
      </c>
      <c r="D10421" t="s">
        <v>19231</v>
      </c>
      <c r="E10421" t="str">
        <f>HYPERLINK("https://patents.google.com/patent/CN103079657A/en")</f>
        <v>https://patents.google.com/patent/CN103079657A/en</v>
      </c>
    </row>
    <row r="10422" spans="3:5" x14ac:dyDescent="0.25">
      <c r="C10422" t="s">
        <v>19232</v>
      </c>
      <c r="D10422" t="s">
        <v>19233</v>
      </c>
      <c r="E10422" t="str">
        <f>HYPERLINK("https://patents.google.com/patent/US20180092304A1/en")</f>
        <v>https://patents.google.com/patent/US20180092304A1/en</v>
      </c>
    </row>
    <row r="10423" spans="3:5" x14ac:dyDescent="0.25">
      <c r="C10423" t="s">
        <v>15333</v>
      </c>
      <c r="D10423" t="s">
        <v>19234</v>
      </c>
      <c r="E10423" t="str">
        <f>HYPERLINK("https://patents.google.com/patent/KR101323597B1/en")</f>
        <v>https://patents.google.com/patent/KR101323597B1/en</v>
      </c>
    </row>
    <row r="10424" spans="3:5" x14ac:dyDescent="0.25">
      <c r="C10424" t="s">
        <v>19235</v>
      </c>
      <c r="D10424" t="s">
        <v>19236</v>
      </c>
      <c r="E10424" t="str">
        <f>HYPERLINK("https://patents.google.com/patent/KR200471454Y1/en")</f>
        <v>https://patents.google.com/patent/KR200471454Y1/en</v>
      </c>
    </row>
    <row r="10425" spans="3:5" x14ac:dyDescent="0.25">
      <c r="C10425" t="s">
        <v>19237</v>
      </c>
      <c r="D10425" t="s">
        <v>19238</v>
      </c>
      <c r="E10425" t="str">
        <f>HYPERLINK("https://patents.google.com/patent/JP6373980B2/en")</f>
        <v>https://patents.google.com/patent/JP6373980B2/en</v>
      </c>
    </row>
    <row r="10426" spans="3:5" x14ac:dyDescent="0.25">
      <c r="C10426" t="s">
        <v>19239</v>
      </c>
      <c r="D10426" t="s">
        <v>19240</v>
      </c>
      <c r="E10426" t="str">
        <f>HYPERLINK("https://patents.google.com/patent/KR101763495B1/en")</f>
        <v>https://patents.google.com/patent/KR101763495B1/en</v>
      </c>
    </row>
    <row r="10427" spans="3:5" x14ac:dyDescent="0.25">
      <c r="C10427" t="s">
        <v>19241</v>
      </c>
      <c r="D10427" t="s">
        <v>19242</v>
      </c>
      <c r="E10427" t="str">
        <f>HYPERLINK("https://patents.google.com/patent/CA2481836C/en")</f>
        <v>https://patents.google.com/patent/CA2481836C/en</v>
      </c>
    </row>
    <row r="10428" spans="3:5" x14ac:dyDescent="0.25">
      <c r="C10428" t="s">
        <v>6170</v>
      </c>
      <c r="D10428" t="s">
        <v>19243</v>
      </c>
      <c r="E10428" t="str">
        <f>HYPERLINK("https://patents.google.com/patent/KR101247932B1/en")</f>
        <v>https://patents.google.com/patent/KR101247932B1/en</v>
      </c>
    </row>
    <row r="10429" spans="3:5" x14ac:dyDescent="0.25">
      <c r="C10429" t="s">
        <v>19244</v>
      </c>
      <c r="D10429" t="s">
        <v>19245</v>
      </c>
      <c r="E10429" t="str">
        <f>HYPERLINK("https://patents.google.com/patent/DE102009010263B4/en")</f>
        <v>https://patents.google.com/patent/DE102009010263B4/en</v>
      </c>
    </row>
    <row r="10430" spans="3:5" x14ac:dyDescent="0.25">
      <c r="C10430" t="s">
        <v>19246</v>
      </c>
      <c r="D10430" t="s">
        <v>19247</v>
      </c>
      <c r="E10430" t="str">
        <f>HYPERLINK("https://patents.google.com/patent/JP6182272B2/en")</f>
        <v>https://patents.google.com/patent/JP6182272B2/en</v>
      </c>
    </row>
    <row r="10431" spans="3:5" x14ac:dyDescent="0.25">
      <c r="C10431" t="s">
        <v>19248</v>
      </c>
      <c r="D10431" t="s">
        <v>19249</v>
      </c>
      <c r="E10431" t="str">
        <f>HYPERLINK("https://patents.google.com/patent/KR101230536B1/en")</f>
        <v>https://patents.google.com/patent/KR101230536B1/en</v>
      </c>
    </row>
    <row r="10432" spans="3:5" x14ac:dyDescent="0.25">
      <c r="C10432" t="s">
        <v>19250</v>
      </c>
      <c r="D10432" t="s">
        <v>19251</v>
      </c>
      <c r="E10432" t="str">
        <f>HYPERLINK("https://patents.google.com/patent/KR101609017B1/en")</f>
        <v>https://patents.google.com/patent/KR101609017B1/en</v>
      </c>
    </row>
    <row r="10433" spans="3:5" x14ac:dyDescent="0.25">
      <c r="C10433" t="s">
        <v>19252</v>
      </c>
      <c r="D10433" t="s">
        <v>19253</v>
      </c>
      <c r="E10433" t="str">
        <f>HYPERLINK("https://patents.google.com/patent/KR101683376B1/en")</f>
        <v>https://patents.google.com/patent/KR101683376B1/en</v>
      </c>
    </row>
    <row r="10434" spans="3:5" x14ac:dyDescent="0.25">
      <c r="C10434" t="s">
        <v>19254</v>
      </c>
      <c r="D10434" t="s">
        <v>19255</v>
      </c>
      <c r="E10434" t="str">
        <f>HYPERLINK("https://patents.google.com/patent/CN104580337A/en")</f>
        <v>https://patents.google.com/patent/CN104580337A/en</v>
      </c>
    </row>
    <row r="10435" spans="3:5" x14ac:dyDescent="0.25">
      <c r="C10435" t="s">
        <v>19256</v>
      </c>
      <c r="D10435" t="s">
        <v>19257</v>
      </c>
      <c r="E10435" t="str">
        <f>HYPERLINK("https://patents.google.com/patent/KR20150037804A/en")</f>
        <v>https://patents.google.com/patent/KR20150037804A/en</v>
      </c>
    </row>
    <row r="10436" spans="3:5" x14ac:dyDescent="0.25">
      <c r="C10436" t="s">
        <v>19258</v>
      </c>
      <c r="D10436" t="s">
        <v>19259</v>
      </c>
      <c r="E10436" t="str">
        <f>HYPERLINK("https://patents.google.com/patent/CN104574938A/en")</f>
        <v>https://patents.google.com/patent/CN104574938A/en</v>
      </c>
    </row>
    <row r="10437" spans="3:5" x14ac:dyDescent="0.25">
      <c r="C10437" t="s">
        <v>19260</v>
      </c>
      <c r="D10437" t="s">
        <v>19261</v>
      </c>
      <c r="E10437" t="str">
        <f>HYPERLINK("https://patents.google.com/patent/WO2010009869A2/en")</f>
        <v>https://patents.google.com/patent/WO2010009869A2/en</v>
      </c>
    </row>
    <row r="10438" spans="3:5" x14ac:dyDescent="0.25">
      <c r="C10438" t="s">
        <v>19262</v>
      </c>
      <c r="D10438" t="s">
        <v>19263</v>
      </c>
      <c r="E10438" t="str">
        <f>HYPERLINK("https://patents.google.com/patent/JP2009083051A/en")</f>
        <v>https://patents.google.com/patent/JP2009083051A/en</v>
      </c>
    </row>
    <row r="10439" spans="3:5" x14ac:dyDescent="0.25">
      <c r="C10439" t="s">
        <v>19264</v>
      </c>
      <c r="D10439" t="s">
        <v>19265</v>
      </c>
      <c r="E10439" t="str">
        <f>HYPERLINK("https://patents.google.com/patent/CN105959177A/en")</f>
        <v>https://patents.google.com/patent/CN105959177A/en</v>
      </c>
    </row>
    <row r="10440" spans="3:5" x14ac:dyDescent="0.25">
      <c r="C10440" t="s">
        <v>19266</v>
      </c>
      <c r="D10440" t="s">
        <v>19267</v>
      </c>
      <c r="E10440" t="str">
        <f>HYPERLINK("https://patents.google.com/patent/KR20030085985A/en")</f>
        <v>https://patents.google.com/patent/KR20030085985A/en</v>
      </c>
    </row>
    <row r="10441" spans="3:5" x14ac:dyDescent="0.25">
      <c r="C10441" t="s">
        <v>19266</v>
      </c>
      <c r="D10441" t="s">
        <v>19268</v>
      </c>
      <c r="E10441" t="str">
        <f>HYPERLINK("https://patents.google.com/patent/KR20070056017A/en")</f>
        <v>https://patents.google.com/patent/KR20070056017A/en</v>
      </c>
    </row>
    <row r="10442" spans="3:5" x14ac:dyDescent="0.25">
      <c r="C10442" t="s">
        <v>19269</v>
      </c>
      <c r="D10442" t="s">
        <v>19270</v>
      </c>
      <c r="E10442" t="str">
        <f>HYPERLINK("https://patents.google.com/patent/WO2018174109A1/en")</f>
        <v>https://patents.google.com/patent/WO2018174109A1/en</v>
      </c>
    </row>
    <row r="10443" spans="3:5" x14ac:dyDescent="0.25">
      <c r="C10443" t="s">
        <v>19271</v>
      </c>
      <c r="D10443" t="s">
        <v>19272</v>
      </c>
      <c r="E10443" t="str">
        <f>HYPERLINK("https://patents.google.com/patent/ES2346118B1/en")</f>
        <v>https://patents.google.com/patent/ES2346118B1/en</v>
      </c>
    </row>
    <row r="10444" spans="3:5" x14ac:dyDescent="0.25">
      <c r="C10444" t="s">
        <v>19273</v>
      </c>
      <c r="D10444" t="s">
        <v>19274</v>
      </c>
      <c r="E10444" t="str">
        <f>HYPERLINK("https://patents.google.com/patent/CN1526125A/en")</f>
        <v>https://patents.google.com/patent/CN1526125A/en</v>
      </c>
    </row>
    <row r="10445" spans="3:5" x14ac:dyDescent="0.25">
      <c r="C10445" t="s">
        <v>19275</v>
      </c>
      <c r="D10445" t="s">
        <v>19276</v>
      </c>
      <c r="E10445" t="str">
        <f>HYPERLINK("https://patents.google.com/patent/KR20130057997A/en")</f>
        <v>https://patents.google.com/patent/KR20130057997A/en</v>
      </c>
    </row>
    <row r="10446" spans="3:5" x14ac:dyDescent="0.25">
      <c r="C10446" t="s">
        <v>19277</v>
      </c>
      <c r="D10446" t="s">
        <v>19278</v>
      </c>
      <c r="E10446" t="str">
        <f>HYPERLINK("https://patents.google.com/patent/ES2498440B1/en")</f>
        <v>https://patents.google.com/patent/ES2498440B1/en</v>
      </c>
    </row>
    <row r="10447" spans="3:5" x14ac:dyDescent="0.25">
      <c r="C10447" t="s">
        <v>19279</v>
      </c>
      <c r="D10447" t="s">
        <v>19280</v>
      </c>
      <c r="E10447" t="str">
        <f>HYPERLINK("https://patents.google.com/patent/CN1094327A/en")</f>
        <v>https://patents.google.com/patent/CN1094327A/en</v>
      </c>
    </row>
    <row r="10448" spans="3:5" x14ac:dyDescent="0.25">
      <c r="C10448" t="s">
        <v>19281</v>
      </c>
      <c r="D10448" t="s">
        <v>19282</v>
      </c>
      <c r="E10448" t="str">
        <f>HYPERLINK("https://patents.google.com/patent/FI115362B/en")</f>
        <v>https://patents.google.com/patent/FI115362B/en</v>
      </c>
    </row>
    <row r="10449" spans="3:5" x14ac:dyDescent="0.25">
      <c r="C10449" t="s">
        <v>19283</v>
      </c>
      <c r="D10449" t="s">
        <v>19284</v>
      </c>
      <c r="E10449" t="str">
        <f>HYPERLINK("https://patents.google.com/patent/CN1668096A/en")</f>
        <v>https://patents.google.com/patent/CN1668096A/en</v>
      </c>
    </row>
    <row r="10450" spans="3:5" x14ac:dyDescent="0.25">
      <c r="C10450" t="s">
        <v>19285</v>
      </c>
      <c r="D10450" t="s">
        <v>19286</v>
      </c>
      <c r="E10450" t="str">
        <f>HYPERLINK("https://patents.google.com/patent/CN1311879A/en")</f>
        <v>https://patents.google.com/patent/CN1311879A/en</v>
      </c>
    </row>
    <row r="10451" spans="3:5" x14ac:dyDescent="0.25">
      <c r="C10451" t="s">
        <v>19287</v>
      </c>
      <c r="D10451" t="s">
        <v>19288</v>
      </c>
      <c r="E10451" t="str">
        <f>HYPERLINK("https://patents.google.com/patent/CN107438024A/en")</f>
        <v>https://patents.google.com/patent/CN107438024A/en</v>
      </c>
    </row>
    <row r="10452" spans="3:5" x14ac:dyDescent="0.25">
      <c r="C10452" t="s">
        <v>19289</v>
      </c>
      <c r="D10452" t="s">
        <v>19290</v>
      </c>
      <c r="E10452" t="str">
        <f>HYPERLINK("https://patents.google.com/patent/WO2018041053A1/en")</f>
        <v>https://patents.google.com/patent/WO2018041053A1/en</v>
      </c>
    </row>
    <row r="10453" spans="3:5" x14ac:dyDescent="0.25">
      <c r="C10453" t="s">
        <v>19291</v>
      </c>
      <c r="D10453" t="s">
        <v>19292</v>
      </c>
      <c r="E10453" t="str">
        <f>HYPERLINK("https://patents.google.com/patent/KR20170051478A/en")</f>
        <v>https://patents.google.com/patent/KR20170051478A/en</v>
      </c>
    </row>
    <row r="10454" spans="3:5" x14ac:dyDescent="0.25">
      <c r="C10454" t="s">
        <v>19293</v>
      </c>
      <c r="D10454" t="s">
        <v>19294</v>
      </c>
      <c r="E10454" t="str">
        <f>HYPERLINK("https://patents.google.com/patent/CN107507119A/en")</f>
        <v>https://patents.google.com/patent/CN107507119A/en</v>
      </c>
    </row>
    <row r="10455" spans="3:5" x14ac:dyDescent="0.25">
      <c r="C10455" t="s">
        <v>19295</v>
      </c>
      <c r="D10455" t="s">
        <v>19296</v>
      </c>
      <c r="E10455" t="str">
        <f>HYPERLINK("https://patents.google.com/patent/KR20010084681A/en")</f>
        <v>https://patents.google.com/patent/KR20010084681A/en</v>
      </c>
    </row>
    <row r="10456" spans="3:5" x14ac:dyDescent="0.25">
      <c r="C10456" t="s">
        <v>19297</v>
      </c>
      <c r="D10456" t="s">
        <v>19298</v>
      </c>
      <c r="E10456" t="str">
        <f>HYPERLINK("https://patents.google.com/patent/WO2017021570A1/en")</f>
        <v>https://patents.google.com/patent/WO2017021570A1/en</v>
      </c>
    </row>
    <row r="10457" spans="3:5" x14ac:dyDescent="0.25">
      <c r="C10457" t="s">
        <v>19299</v>
      </c>
      <c r="D10457" t="s">
        <v>19300</v>
      </c>
      <c r="E10457" t="str">
        <f>HYPERLINK("https://patents.google.com/patent/KR20140070502A/en")</f>
        <v>https://patents.google.com/patent/KR20140070502A/en</v>
      </c>
    </row>
    <row r="10458" spans="3:5" x14ac:dyDescent="0.25">
      <c r="C10458" t="s">
        <v>19301</v>
      </c>
      <c r="D10458" t="s">
        <v>19302</v>
      </c>
      <c r="E10458" t="str">
        <f>HYPERLINK("https://patents.google.com/patent/US20180211718A1/en")</f>
        <v>https://patents.google.com/patent/US20180211718A1/en</v>
      </c>
    </row>
    <row r="10459" spans="3:5" x14ac:dyDescent="0.25">
      <c r="C10459" t="s">
        <v>19303</v>
      </c>
      <c r="D10459" t="s">
        <v>19304</v>
      </c>
      <c r="E10459" t="str">
        <f>HYPERLINK("https://patents.google.com/patent/DE69532606T2/en")</f>
        <v>https://patents.google.com/patent/DE69532606T2/en</v>
      </c>
    </row>
    <row r="10460" spans="3:5" x14ac:dyDescent="0.25">
      <c r="C10460" t="s">
        <v>19305</v>
      </c>
      <c r="D10460" t="s">
        <v>19306</v>
      </c>
      <c r="E10460" t="str">
        <f>HYPERLINK("https://patents.google.com/patent/WO2012020149A1/en")</f>
        <v>https://patents.google.com/patent/WO2012020149A1/en</v>
      </c>
    </row>
    <row r="10461" spans="3:5" x14ac:dyDescent="0.25">
      <c r="C10461" t="s">
        <v>19307</v>
      </c>
      <c r="D10461" t="s">
        <v>19308</v>
      </c>
      <c r="E10461" t="str">
        <f>HYPERLINK("https://patents.google.com/patent/ES2561329T3/en")</f>
        <v>https://patents.google.com/patent/ES2561329T3/en</v>
      </c>
    </row>
    <row r="10462" spans="3:5" x14ac:dyDescent="0.25">
      <c r="C10462" t="s">
        <v>19309</v>
      </c>
      <c r="D10462" t="s">
        <v>19310</v>
      </c>
      <c r="E10462" t="str">
        <f>HYPERLINK("https://patents.google.com/patent/ES2225394T3/en")</f>
        <v>https://patents.google.com/patent/ES2225394T3/en</v>
      </c>
    </row>
    <row r="10463" spans="3:5" x14ac:dyDescent="0.25">
      <c r="C10463" t="s">
        <v>19311</v>
      </c>
      <c r="D10463" t="s">
        <v>19312</v>
      </c>
      <c r="E10463" t="str">
        <f>HYPERLINK("https://patents.google.com/patent/CN101213442A/en")</f>
        <v>https://patents.google.com/patent/CN101213442A/en</v>
      </c>
    </row>
    <row r="10464" spans="3:5" x14ac:dyDescent="0.25">
      <c r="C10464" t="s">
        <v>19313</v>
      </c>
      <c r="D10464" t="s">
        <v>19314</v>
      </c>
      <c r="E10464" t="str">
        <f>HYPERLINK("https://patents.google.com/patent/US20180060459A1/en")</f>
        <v>https://patents.google.com/patent/US20180060459A1/en</v>
      </c>
    </row>
    <row r="10465" spans="3:5" x14ac:dyDescent="0.25">
      <c r="C10465" t="s">
        <v>19315</v>
      </c>
      <c r="D10465" t="s">
        <v>19316</v>
      </c>
      <c r="E10465" t="str">
        <f>HYPERLINK("https://patents.google.com/patent/WO2010131284A1/en")</f>
        <v>https://patents.google.com/patent/WO2010131284A1/en</v>
      </c>
    </row>
    <row r="10466" spans="3:5" x14ac:dyDescent="0.25">
      <c r="C10466" t="s">
        <v>19317</v>
      </c>
      <c r="D10466" t="s">
        <v>19318</v>
      </c>
      <c r="E10466" t="str">
        <f>HYPERLINK("https://patents.google.com/patent/JP2006247343A/en")</f>
        <v>https://patents.google.com/patent/JP2006247343A/en</v>
      </c>
    </row>
    <row r="10467" spans="3:5" x14ac:dyDescent="0.25">
      <c r="C10467" t="s">
        <v>19319</v>
      </c>
      <c r="D10467" t="s">
        <v>19320</v>
      </c>
      <c r="E10467" t="str">
        <f>HYPERLINK("https://patents.google.com/patent/CN103124966A/en")</f>
        <v>https://patents.google.com/patent/CN103124966A/en</v>
      </c>
    </row>
    <row r="10468" spans="3:5" x14ac:dyDescent="0.25">
      <c r="C10468" t="s">
        <v>19321</v>
      </c>
      <c r="D10468" t="s">
        <v>19322</v>
      </c>
      <c r="E10468" t="str">
        <f>HYPERLINK("https://patents.google.com/patent/CN104580327A/en")</f>
        <v>https://patents.google.com/patent/CN104580327A/en</v>
      </c>
    </row>
    <row r="10469" spans="3:5" x14ac:dyDescent="0.25">
      <c r="C10469" t="s">
        <v>19323</v>
      </c>
      <c r="D10469" t="s">
        <v>19324</v>
      </c>
      <c r="E10469" t="str">
        <f>HYPERLINK("https://patents.google.com/patent/CN102089751A/en")</f>
        <v>https://patents.google.com/patent/CN102089751A/en</v>
      </c>
    </row>
    <row r="10470" spans="3:5" x14ac:dyDescent="0.25">
      <c r="C10470" t="s">
        <v>19325</v>
      </c>
      <c r="D10470" t="s">
        <v>19326</v>
      </c>
      <c r="E10470" t="str">
        <f>HYPERLINK("https://patents.google.com/patent/WO2018031745A1/en")</f>
        <v>https://patents.google.com/patent/WO2018031745A1/en</v>
      </c>
    </row>
    <row r="10471" spans="3:5" x14ac:dyDescent="0.25">
      <c r="C10471" t="s">
        <v>19327</v>
      </c>
      <c r="D10471" t="s">
        <v>19328</v>
      </c>
      <c r="E10471" t="str">
        <f>HYPERLINK("https://patents.google.com/patent/CN107481148A/en")</f>
        <v>https://patents.google.com/patent/CN107481148A/en</v>
      </c>
    </row>
    <row r="10472" spans="3:5" x14ac:dyDescent="0.25">
      <c r="C10472" t="s">
        <v>19329</v>
      </c>
      <c r="D10472" t="s">
        <v>19330</v>
      </c>
      <c r="E10472" t="str">
        <f>HYPERLINK("https://patents.google.com/patent/WO2007032120A1/en")</f>
        <v>https://patents.google.com/patent/WO2007032120A1/en</v>
      </c>
    </row>
    <row r="10473" spans="3:5" x14ac:dyDescent="0.25">
      <c r="C10473" t="s">
        <v>19331</v>
      </c>
      <c r="D10473" t="s">
        <v>19332</v>
      </c>
      <c r="E10473" t="str">
        <f>HYPERLINK("https://patents.google.com/patent/CN101189257A/en")</f>
        <v>https://patents.google.com/patent/CN101189257A/en</v>
      </c>
    </row>
    <row r="10474" spans="3:5" x14ac:dyDescent="0.25">
      <c r="C10474" t="s">
        <v>19333</v>
      </c>
      <c r="D10474" t="s">
        <v>19334</v>
      </c>
      <c r="E10474" t="str">
        <f>HYPERLINK("https://patents.google.com/patent/US20180129276A1/en")</f>
        <v>https://patents.google.com/patent/US20180129276A1/en</v>
      </c>
    </row>
    <row r="10475" spans="3:5" x14ac:dyDescent="0.25">
      <c r="C10475" t="s">
        <v>19335</v>
      </c>
      <c r="D10475" t="s">
        <v>19336</v>
      </c>
      <c r="E10475" t="str">
        <f>HYPERLINK("https://patents.google.com/patent/JP2007299357A/en")</f>
        <v>https://patents.google.com/patent/JP2007299357A/en</v>
      </c>
    </row>
    <row r="10476" spans="3:5" x14ac:dyDescent="0.25">
      <c r="C10476" t="s">
        <v>19337</v>
      </c>
      <c r="D10476" t="s">
        <v>19338</v>
      </c>
      <c r="E10476" t="str">
        <f>HYPERLINK("https://patents.google.com/patent/ES2623920T3/en")</f>
        <v>https://patents.google.com/patent/ES2623920T3/en</v>
      </c>
    </row>
    <row r="10477" spans="3:5" x14ac:dyDescent="0.25">
      <c r="C10477" t="s">
        <v>19154</v>
      </c>
      <c r="D10477" t="s">
        <v>19339</v>
      </c>
      <c r="E10477" t="str">
        <f>HYPERLINK("https://patents.google.com/patent/WO2013191735A1/en")</f>
        <v>https://patents.google.com/patent/WO2013191735A1/en</v>
      </c>
    </row>
    <row r="10478" spans="3:5" x14ac:dyDescent="0.25">
      <c r="C10478" t="s">
        <v>19340</v>
      </c>
      <c r="D10478" t="s">
        <v>19341</v>
      </c>
      <c r="E10478" t="str">
        <f>HYPERLINK("https://patents.google.com/patent/JP2017211932A/en")</f>
        <v>https://patents.google.com/patent/JP2017211932A/en</v>
      </c>
    </row>
    <row r="10479" spans="3:5" x14ac:dyDescent="0.25">
      <c r="C10479" t="s">
        <v>19342</v>
      </c>
      <c r="D10479" t="s">
        <v>19343</v>
      </c>
      <c r="E10479" t="str">
        <f>HYPERLINK("https://patents.google.com/patent/CN107618664A/en")</f>
        <v>https://patents.google.com/patent/CN107618664A/en</v>
      </c>
    </row>
    <row r="10480" spans="3:5" x14ac:dyDescent="0.25">
      <c r="C10480" t="s">
        <v>19344</v>
      </c>
      <c r="D10480" t="s">
        <v>19345</v>
      </c>
      <c r="E10480" t="str">
        <f>HYPERLINK("https://patents.google.com/patent/FI110465B/en")</f>
        <v>https://patents.google.com/patent/FI110465B/en</v>
      </c>
    </row>
    <row r="10481" spans="1:5" x14ac:dyDescent="0.25">
      <c r="C10481" t="s">
        <v>19346</v>
      </c>
      <c r="D10481" t="s">
        <v>19347</v>
      </c>
      <c r="E10481" t="str">
        <f>HYPERLINK("https://patents.google.com/patent/DE60130320T2/en")</f>
        <v>https://patents.google.com/patent/DE60130320T2/en</v>
      </c>
    </row>
    <row r="10482" spans="1:5" x14ac:dyDescent="0.25">
      <c r="C10482" t="s">
        <v>19348</v>
      </c>
      <c r="D10482" t="s">
        <v>19349</v>
      </c>
      <c r="E10482" t="str">
        <f>HYPERLINK("https://patents.google.com/patent/JP2006520976A/en")</f>
        <v>https://patents.google.com/patent/JP2006520976A/en</v>
      </c>
    </row>
    <row r="10483" spans="1:5" x14ac:dyDescent="0.25">
      <c r="C10483" t="s">
        <v>19350</v>
      </c>
      <c r="D10483" t="s">
        <v>19351</v>
      </c>
      <c r="E10483" t="str">
        <f>HYPERLINK("https://patents.google.com/patent/CN108290685A/en")</f>
        <v>https://patents.google.com/patent/CN108290685A/en</v>
      </c>
    </row>
    <row r="10484" spans="1:5" x14ac:dyDescent="0.25">
      <c r="C10484" t="s">
        <v>19352</v>
      </c>
      <c r="D10484" t="s">
        <v>19353</v>
      </c>
      <c r="E10484" t="str">
        <f>HYPERLINK("https://patents.google.com/patent/WO2002086515A1/fr")</f>
        <v>https://patents.google.com/patent/WO2002086515A1/fr</v>
      </c>
    </row>
    <row r="10485" spans="1:5" x14ac:dyDescent="0.25">
      <c r="C10485" t="s">
        <v>19354</v>
      </c>
      <c r="D10485" t="s">
        <v>19355</v>
      </c>
      <c r="E10485" t="str">
        <f>HYPERLINK("https://patents.google.com/patent/EP2668496B1/fr")</f>
        <v>https://patents.google.com/patent/EP2668496B1/fr</v>
      </c>
    </row>
    <row r="10486" spans="1:5" x14ac:dyDescent="0.25">
      <c r="C10486" t="s">
        <v>19356</v>
      </c>
      <c r="D10486" t="s">
        <v>19357</v>
      </c>
      <c r="E10486" t="str">
        <f>HYPERLINK("https://patents.google.com/patent/WO2015197333A1/fr")</f>
        <v>https://patents.google.com/patent/WO2015197333A1/fr</v>
      </c>
    </row>
    <row r="10487" spans="1:5" x14ac:dyDescent="0.25">
      <c r="C10487" t="s">
        <v>19358</v>
      </c>
      <c r="D10487" t="s">
        <v>19359</v>
      </c>
      <c r="E10487" t="str">
        <f>HYPERLINK("https://patents.google.com/patent/FR2920105A1/fr")</f>
        <v>https://patents.google.com/patent/FR2920105A1/fr</v>
      </c>
    </row>
    <row r="10488" spans="1:5" x14ac:dyDescent="0.25">
      <c r="A10488" t="s">
        <v>1390</v>
      </c>
      <c r="B10488">
        <v>671</v>
      </c>
    </row>
    <row r="10489" spans="1:5" x14ac:dyDescent="0.25">
      <c r="C10489" t="s">
        <v>19360</v>
      </c>
      <c r="D10489" t="s">
        <v>19361</v>
      </c>
      <c r="E10489" t="str">
        <f>HYPERLINK("https://patents.google.com/patent/CN108446928A/en")</f>
        <v>https://patents.google.com/patent/CN108446928A/en</v>
      </c>
    </row>
    <row r="10490" spans="1:5" x14ac:dyDescent="0.25">
      <c r="C10490" t="s">
        <v>19362</v>
      </c>
      <c r="D10490" t="s">
        <v>19363</v>
      </c>
      <c r="E10490" t="str">
        <f>HYPERLINK("https://patents.google.com/patent/US20160171011A1/en")</f>
        <v>https://patents.google.com/patent/US20160171011A1/en</v>
      </c>
    </row>
    <row r="10491" spans="1:5" x14ac:dyDescent="0.25">
      <c r="C10491" t="s">
        <v>19364</v>
      </c>
      <c r="D10491" t="s">
        <v>19365</v>
      </c>
      <c r="E10491" t="str">
        <f>HYPERLINK("https://patents.google.com/patent/CN106600481A/en")</f>
        <v>https://patents.google.com/patent/CN106600481A/en</v>
      </c>
    </row>
    <row r="10492" spans="1:5" x14ac:dyDescent="0.25">
      <c r="C10492" t="s">
        <v>19366</v>
      </c>
      <c r="D10492" t="s">
        <v>19367</v>
      </c>
      <c r="E10492" t="str">
        <f>HYPERLINK("https://patents.google.com/patent/US20170109437A1/en")</f>
        <v>https://patents.google.com/patent/US20170109437A1/en</v>
      </c>
    </row>
    <row r="10493" spans="1:5" x14ac:dyDescent="0.25">
      <c r="C10493" t="s">
        <v>19368</v>
      </c>
      <c r="D10493" t="s">
        <v>19369</v>
      </c>
      <c r="E10493" t="str">
        <f>HYPERLINK("https://patents.google.com/patent/CN107657483A/en")</f>
        <v>https://patents.google.com/patent/CN107657483A/en</v>
      </c>
    </row>
    <row r="10494" spans="1:5" x14ac:dyDescent="0.25">
      <c r="C10494" t="s">
        <v>19370</v>
      </c>
      <c r="D10494" t="s">
        <v>19371</v>
      </c>
      <c r="E10494" t="str">
        <f>HYPERLINK("https://patents.google.com/patent/CN105530605A/en")</f>
        <v>https://patents.google.com/patent/CN105530605A/en</v>
      </c>
    </row>
    <row r="10495" spans="1:5" x14ac:dyDescent="0.25">
      <c r="C10495" t="s">
        <v>19372</v>
      </c>
      <c r="D10495" t="s">
        <v>19373</v>
      </c>
      <c r="E10495" t="str">
        <f>HYPERLINK("https://patents.google.com/patent/CN101661641A/en")</f>
        <v>https://patents.google.com/patent/CN101661641A/en</v>
      </c>
    </row>
    <row r="10496" spans="1:5" x14ac:dyDescent="0.25">
      <c r="C10496" t="s">
        <v>19374</v>
      </c>
      <c r="D10496" t="s">
        <v>19375</v>
      </c>
      <c r="E10496" t="str">
        <f>HYPERLINK("https://patents.google.com/patent/US6345239B1/en")</f>
        <v>https://patents.google.com/patent/US6345239B1/en</v>
      </c>
    </row>
    <row r="10497" spans="3:5" x14ac:dyDescent="0.25">
      <c r="C10497" t="s">
        <v>19376</v>
      </c>
      <c r="D10497" t="s">
        <v>19377</v>
      </c>
      <c r="E10497" t="str">
        <f>HYPERLINK("https://patents.google.com/patent/CN207198847U/en")</f>
        <v>https://patents.google.com/patent/CN207198847U/en</v>
      </c>
    </row>
    <row r="10498" spans="3:5" x14ac:dyDescent="0.25">
      <c r="C10498" t="s">
        <v>19378</v>
      </c>
      <c r="D10498" t="s">
        <v>19379</v>
      </c>
      <c r="E10498" t="str">
        <f>HYPERLINK("https://patents.google.com/patent/CN205490664U/en")</f>
        <v>https://patents.google.com/patent/CN205490664U/en</v>
      </c>
    </row>
    <row r="10499" spans="3:5" x14ac:dyDescent="0.25">
      <c r="C10499" t="s">
        <v>19380</v>
      </c>
      <c r="D10499" t="s">
        <v>19381</v>
      </c>
      <c r="E10499" t="str">
        <f>HYPERLINK("https://patents.google.com/patent/US7280975B1/en")</f>
        <v>https://patents.google.com/patent/US7280975B1/en</v>
      </c>
    </row>
    <row r="10500" spans="3:5" x14ac:dyDescent="0.25">
      <c r="C10500" t="s">
        <v>19382</v>
      </c>
      <c r="D10500" t="s">
        <v>19383</v>
      </c>
      <c r="E10500" t="str">
        <f>HYPERLINK("https://patents.google.com/patent/US7216109B1/en")</f>
        <v>https://patents.google.com/patent/US7216109B1/en</v>
      </c>
    </row>
    <row r="10501" spans="3:5" x14ac:dyDescent="0.25">
      <c r="C10501" t="s">
        <v>19384</v>
      </c>
      <c r="D10501" t="s">
        <v>19385</v>
      </c>
      <c r="E10501" t="str">
        <f>HYPERLINK("https://patents.google.com/patent/US7167844B1/en")</f>
        <v>https://patents.google.com/patent/US7167844B1/en</v>
      </c>
    </row>
    <row r="10502" spans="3:5" x14ac:dyDescent="0.25">
      <c r="C10502" t="s">
        <v>19386</v>
      </c>
      <c r="D10502" t="s">
        <v>19387</v>
      </c>
      <c r="E10502" t="str">
        <f>HYPERLINK("https://patents.google.com/patent/US6701345B1/en")</f>
        <v>https://patents.google.com/patent/US6701345B1/en</v>
      </c>
    </row>
    <row r="10503" spans="3:5" x14ac:dyDescent="0.25">
      <c r="C10503" t="s">
        <v>19388</v>
      </c>
      <c r="D10503" t="s">
        <v>19389</v>
      </c>
      <c r="E10503" t="str">
        <f>HYPERLINK("https://patents.google.com/patent/US7610233B1/en")</f>
        <v>https://patents.google.com/patent/US7610233B1/en</v>
      </c>
    </row>
    <row r="10504" spans="3:5" x14ac:dyDescent="0.25">
      <c r="C10504" t="s">
        <v>19390</v>
      </c>
      <c r="D10504" t="s">
        <v>19391</v>
      </c>
      <c r="E10504" t="str">
        <f>HYPERLINK("https://patents.google.com/patent/US6629081B1/en")</f>
        <v>https://patents.google.com/patent/US6629081B1/en</v>
      </c>
    </row>
    <row r="10505" spans="3:5" x14ac:dyDescent="0.25">
      <c r="C10505" t="s">
        <v>19392</v>
      </c>
      <c r="D10505" t="s">
        <v>19393</v>
      </c>
      <c r="E10505" t="str">
        <f>HYPERLINK("https://patents.google.com/patent/US7403901B1/en")</f>
        <v>https://patents.google.com/patent/US7403901B1/en</v>
      </c>
    </row>
    <row r="10506" spans="3:5" x14ac:dyDescent="0.25">
      <c r="C10506" t="s">
        <v>19394</v>
      </c>
      <c r="D10506" t="s">
        <v>19395</v>
      </c>
      <c r="E10506" t="str">
        <f>HYPERLINK("https://patents.google.com/patent/US7774388B1/en")</f>
        <v>https://patents.google.com/patent/US7774388B1/en</v>
      </c>
    </row>
    <row r="10507" spans="3:5" x14ac:dyDescent="0.25">
      <c r="C10507" t="s">
        <v>19396</v>
      </c>
      <c r="D10507" t="s">
        <v>19397</v>
      </c>
      <c r="E10507" t="str">
        <f>HYPERLINK("https://patents.google.com/patent/US6527641B1/en")</f>
        <v>https://patents.google.com/patent/US6527641B1/en</v>
      </c>
    </row>
    <row r="10508" spans="3:5" x14ac:dyDescent="0.25">
      <c r="C10508" t="s">
        <v>19398</v>
      </c>
      <c r="D10508" t="s">
        <v>19399</v>
      </c>
      <c r="E10508" t="str">
        <f>HYPERLINK("https://patents.google.com/patent/US6611867B1/en")</f>
        <v>https://patents.google.com/patent/US6611867B1/en</v>
      </c>
    </row>
    <row r="10509" spans="3:5" x14ac:dyDescent="0.25">
      <c r="C10509" t="s">
        <v>19400</v>
      </c>
      <c r="D10509" t="s">
        <v>19401</v>
      </c>
      <c r="E10509" t="str">
        <f>HYPERLINK("https://patents.google.com/patent/US5802492A/en")</f>
        <v>https://patents.google.com/patent/US5802492A/en</v>
      </c>
    </row>
    <row r="10510" spans="3:5" x14ac:dyDescent="0.25">
      <c r="C10510" t="s">
        <v>19402</v>
      </c>
      <c r="D10510" t="s">
        <v>19403</v>
      </c>
      <c r="E10510" t="str">
        <f>HYPERLINK("https://patents.google.com/patent/US6357043B1/en")</f>
        <v>https://patents.google.com/patent/US6357043B1/en</v>
      </c>
    </row>
    <row r="10511" spans="3:5" x14ac:dyDescent="0.25">
      <c r="C10511" t="s">
        <v>19404</v>
      </c>
      <c r="D10511" t="s">
        <v>19405</v>
      </c>
      <c r="E10511" t="str">
        <f>HYPERLINK("https://patents.google.com/patent/US6014184A/en")</f>
        <v>https://patents.google.com/patent/US6014184A/en</v>
      </c>
    </row>
    <row r="10512" spans="3:5" x14ac:dyDescent="0.25">
      <c r="C10512" t="s">
        <v>19406</v>
      </c>
      <c r="D10512" t="s">
        <v>19407</v>
      </c>
      <c r="E10512" t="str">
        <f>HYPERLINK("https://patents.google.com/patent/US5729471A/en")</f>
        <v>https://patents.google.com/patent/US5729471A/en</v>
      </c>
    </row>
    <row r="10513" spans="3:5" x14ac:dyDescent="0.25">
      <c r="C10513" t="s">
        <v>19404</v>
      </c>
      <c r="D10513" t="s">
        <v>19408</v>
      </c>
      <c r="E10513" t="str">
        <f>HYPERLINK("https://patents.google.com/patent/US6769128B1/en")</f>
        <v>https://patents.google.com/patent/US6769128B1/en</v>
      </c>
    </row>
    <row r="10514" spans="3:5" x14ac:dyDescent="0.25">
      <c r="C10514" t="s">
        <v>19409</v>
      </c>
      <c r="D10514" t="s">
        <v>19410</v>
      </c>
      <c r="E10514" t="str">
        <f>HYPERLINK("https://patents.google.com/patent/US6793580B2/en")</f>
        <v>https://patents.google.com/patent/US6793580B2/en</v>
      </c>
    </row>
    <row r="10515" spans="3:5" x14ac:dyDescent="0.25">
      <c r="C10515" t="s">
        <v>19411</v>
      </c>
      <c r="D10515" t="s">
        <v>19412</v>
      </c>
      <c r="E10515" t="str">
        <f>HYPERLINK("https://patents.google.com/patent/US7647349B2/en")</f>
        <v>https://patents.google.com/patent/US7647349B2/en</v>
      </c>
    </row>
    <row r="10516" spans="3:5" x14ac:dyDescent="0.25">
      <c r="C10516" t="s">
        <v>19413</v>
      </c>
      <c r="D10516" t="s">
        <v>19414</v>
      </c>
      <c r="E10516" t="str">
        <f>HYPERLINK("https://patents.google.com/patent/US7991764B2/en")</f>
        <v>https://patents.google.com/patent/US7991764B2/en</v>
      </c>
    </row>
    <row r="10517" spans="3:5" x14ac:dyDescent="0.25">
      <c r="C10517" t="s">
        <v>19415</v>
      </c>
      <c r="D10517" t="s">
        <v>19416</v>
      </c>
      <c r="E10517" t="str">
        <f>HYPERLINK("https://patents.google.com/patent/US6928425B2/en")</f>
        <v>https://patents.google.com/patent/US6928425B2/en</v>
      </c>
    </row>
    <row r="10518" spans="3:5" x14ac:dyDescent="0.25">
      <c r="C10518" t="s">
        <v>19417</v>
      </c>
      <c r="D10518" t="s">
        <v>19418</v>
      </c>
      <c r="E10518" t="str">
        <f>HYPERLINK("https://patents.google.com/patent/US6732090B2/en")</f>
        <v>https://patents.google.com/patent/US6732090B2/en</v>
      </c>
    </row>
    <row r="10519" spans="3:5" x14ac:dyDescent="0.25">
      <c r="C10519" t="s">
        <v>19419</v>
      </c>
      <c r="D10519" t="s">
        <v>19420</v>
      </c>
      <c r="E10519" t="str">
        <f>HYPERLINK("https://patents.google.com/patent/US7284191B2/en")</f>
        <v>https://patents.google.com/patent/US7284191B2/en</v>
      </c>
    </row>
    <row r="10520" spans="3:5" x14ac:dyDescent="0.25">
      <c r="C10520" t="s">
        <v>19421</v>
      </c>
      <c r="D10520" t="s">
        <v>19422</v>
      </c>
      <c r="E10520" t="str">
        <f>HYPERLINK("https://patents.google.com/patent/US6820075B2/en")</f>
        <v>https://patents.google.com/patent/US6820075B2/en</v>
      </c>
    </row>
    <row r="10521" spans="3:5" x14ac:dyDescent="0.25">
      <c r="C10521" t="s">
        <v>19423</v>
      </c>
      <c r="D10521" t="s">
        <v>19424</v>
      </c>
      <c r="E10521" t="str">
        <f>HYPERLINK("https://patents.google.com/patent/US6778979B2/en")</f>
        <v>https://patents.google.com/patent/US6778979B2/en</v>
      </c>
    </row>
    <row r="10522" spans="3:5" x14ac:dyDescent="0.25">
      <c r="C10522" t="s">
        <v>19425</v>
      </c>
      <c r="D10522" t="s">
        <v>19426</v>
      </c>
      <c r="E10522" t="str">
        <f>HYPERLINK("https://patents.google.com/patent/US5788507A/en")</f>
        <v>https://patents.google.com/patent/US5788507A/en</v>
      </c>
    </row>
    <row r="10523" spans="3:5" x14ac:dyDescent="0.25">
      <c r="C10523" t="s">
        <v>19427</v>
      </c>
      <c r="D10523" t="s">
        <v>19428</v>
      </c>
      <c r="E10523" t="str">
        <f>HYPERLINK("https://patents.google.com/patent/US6356905B1/en")</f>
        <v>https://patents.google.com/patent/US6356905B1/en</v>
      </c>
    </row>
    <row r="10524" spans="3:5" x14ac:dyDescent="0.25">
      <c r="C10524" t="s">
        <v>19429</v>
      </c>
      <c r="D10524" t="s">
        <v>19430</v>
      </c>
      <c r="E10524" t="str">
        <f>HYPERLINK("https://patents.google.com/patent/US7069234B1/en")</f>
        <v>https://patents.google.com/patent/US7069234B1/en</v>
      </c>
    </row>
    <row r="10525" spans="3:5" x14ac:dyDescent="0.25">
      <c r="C10525" t="s">
        <v>19431</v>
      </c>
      <c r="D10525" t="s">
        <v>19432</v>
      </c>
      <c r="E10525" t="str">
        <f>HYPERLINK("https://patents.google.com/patent/US6442479B1/en")</f>
        <v>https://patents.google.com/patent/US6442479B1/en</v>
      </c>
    </row>
    <row r="10526" spans="3:5" x14ac:dyDescent="0.25">
      <c r="C10526" t="s">
        <v>19433</v>
      </c>
      <c r="D10526" t="s">
        <v>19434</v>
      </c>
      <c r="E10526" t="str">
        <f>HYPERLINK("https://patents.google.com/patent/US8472120B2/en")</f>
        <v>https://patents.google.com/patent/US8472120B2/en</v>
      </c>
    </row>
    <row r="10527" spans="3:5" x14ac:dyDescent="0.25">
      <c r="C10527" t="s">
        <v>19435</v>
      </c>
      <c r="D10527" t="s">
        <v>19436</v>
      </c>
      <c r="E10527" t="str">
        <f>HYPERLINK("https://patents.google.com/patent/US6253146B1/en")</f>
        <v>https://patents.google.com/patent/US6253146B1/en</v>
      </c>
    </row>
    <row r="10528" spans="3:5" x14ac:dyDescent="0.25">
      <c r="C10528" t="s">
        <v>19437</v>
      </c>
      <c r="D10528" t="s">
        <v>19438</v>
      </c>
      <c r="E10528" t="str">
        <f>HYPERLINK("https://patents.google.com/patent/US8488246B2/en")</f>
        <v>https://patents.google.com/patent/US8488246B2/en</v>
      </c>
    </row>
    <row r="10529" spans="3:5" x14ac:dyDescent="0.25">
      <c r="C10529" t="s">
        <v>19439</v>
      </c>
      <c r="D10529" t="s">
        <v>19440</v>
      </c>
      <c r="E10529" t="str">
        <f>HYPERLINK("https://patents.google.com/patent/US6571235B1/en")</f>
        <v>https://patents.google.com/patent/US6571235B1/en</v>
      </c>
    </row>
    <row r="10530" spans="3:5" x14ac:dyDescent="0.25">
      <c r="C10530" t="s">
        <v>19441</v>
      </c>
      <c r="D10530" t="s">
        <v>19442</v>
      </c>
      <c r="E10530" t="str">
        <f>HYPERLINK("https://patents.google.com/patent/US8477425B2/en")</f>
        <v>https://patents.google.com/patent/US8477425B2/en</v>
      </c>
    </row>
    <row r="10531" spans="3:5" x14ac:dyDescent="0.25">
      <c r="C10531" t="s">
        <v>19443</v>
      </c>
      <c r="D10531" t="s">
        <v>19444</v>
      </c>
      <c r="E10531" t="str">
        <f>HYPERLINK("https://patents.google.com/patent/US6671692B1/en")</f>
        <v>https://patents.google.com/patent/US6671692B1/en</v>
      </c>
    </row>
    <row r="10532" spans="3:5" x14ac:dyDescent="0.25">
      <c r="C10532" t="s">
        <v>19445</v>
      </c>
      <c r="D10532" t="s">
        <v>19446</v>
      </c>
      <c r="E10532" t="str">
        <f>HYPERLINK("https://patents.google.com/patent/US6427132B1/en")</f>
        <v>https://patents.google.com/patent/US6427132B1/en</v>
      </c>
    </row>
    <row r="10533" spans="3:5" x14ac:dyDescent="0.25">
      <c r="C10533" t="s">
        <v>19447</v>
      </c>
      <c r="D10533" t="s">
        <v>19448</v>
      </c>
      <c r="E10533" t="str">
        <f>HYPERLINK("https://patents.google.com/patent/US6094655A/en")</f>
        <v>https://patents.google.com/patent/US6094655A/en</v>
      </c>
    </row>
    <row r="10534" spans="3:5" x14ac:dyDescent="0.25">
      <c r="C10534" t="s">
        <v>19449</v>
      </c>
      <c r="D10534" t="s">
        <v>19450</v>
      </c>
      <c r="E10534" t="str">
        <f>HYPERLINK("https://patents.google.com/patent/US7073129B1/en")</f>
        <v>https://patents.google.com/patent/US7073129B1/en</v>
      </c>
    </row>
    <row r="10535" spans="3:5" x14ac:dyDescent="0.25">
      <c r="C10535" t="s">
        <v>19380</v>
      </c>
      <c r="D10535" t="s">
        <v>19451</v>
      </c>
      <c r="E10535" t="str">
        <f>HYPERLINK("https://patents.google.com/patent/US7386517B1/en")</f>
        <v>https://patents.google.com/patent/US7386517B1/en</v>
      </c>
    </row>
    <row r="10536" spans="3:5" x14ac:dyDescent="0.25">
      <c r="C10536" t="s">
        <v>19452</v>
      </c>
      <c r="D10536" t="s">
        <v>19453</v>
      </c>
      <c r="E10536" t="str">
        <f>HYPERLINK("https://patents.google.com/patent/US6671693B1/en")</f>
        <v>https://patents.google.com/patent/US6671693B1/en</v>
      </c>
    </row>
    <row r="10537" spans="3:5" x14ac:dyDescent="0.25">
      <c r="C10537" t="s">
        <v>19454</v>
      </c>
      <c r="D10537" t="s">
        <v>19455</v>
      </c>
      <c r="E10537" t="str">
        <f>HYPERLINK("https://patents.google.com/patent/US7162454B1/en")</f>
        <v>https://patents.google.com/patent/US7162454B1/en</v>
      </c>
    </row>
    <row r="10538" spans="3:5" x14ac:dyDescent="0.25">
      <c r="C10538" t="s">
        <v>19456</v>
      </c>
      <c r="D10538" t="s">
        <v>19457</v>
      </c>
      <c r="E10538" t="str">
        <f>HYPERLINK("https://patents.google.com/patent/US7107226B1/en")</f>
        <v>https://patents.google.com/patent/US7107226B1/en</v>
      </c>
    </row>
    <row r="10539" spans="3:5" x14ac:dyDescent="0.25">
      <c r="C10539" t="s">
        <v>19458</v>
      </c>
      <c r="D10539" t="s">
        <v>19459</v>
      </c>
      <c r="E10539" t="str">
        <f>HYPERLINK("https://patents.google.com/patent/US6101482A/en")</f>
        <v>https://patents.google.com/patent/US6101482A/en</v>
      </c>
    </row>
    <row r="10540" spans="3:5" x14ac:dyDescent="0.25">
      <c r="C10540" t="s">
        <v>19460</v>
      </c>
      <c r="D10540" t="s">
        <v>19461</v>
      </c>
      <c r="E10540" t="str">
        <f>HYPERLINK("https://patents.google.com/patent/US6005561A/en")</f>
        <v>https://patents.google.com/patent/US6005561A/en</v>
      </c>
    </row>
    <row r="10541" spans="3:5" x14ac:dyDescent="0.25">
      <c r="C10541" t="s">
        <v>19462</v>
      </c>
      <c r="D10541" t="s">
        <v>19463</v>
      </c>
      <c r="E10541" t="str">
        <f>HYPERLINK("https://patents.google.com/patent/US6381635B1/en")</f>
        <v>https://patents.google.com/patent/US6381635B1/en</v>
      </c>
    </row>
    <row r="10542" spans="3:5" x14ac:dyDescent="0.25">
      <c r="C10542" t="s">
        <v>19464</v>
      </c>
      <c r="D10542" t="s">
        <v>19465</v>
      </c>
      <c r="E10542" t="str">
        <f>HYPERLINK("https://patents.google.com/patent/US6782253B1/en")</f>
        <v>https://patents.google.com/patent/US6782253B1/en</v>
      </c>
    </row>
    <row r="10543" spans="3:5" x14ac:dyDescent="0.25">
      <c r="C10543" t="s">
        <v>19466</v>
      </c>
      <c r="D10543" t="s">
        <v>19467</v>
      </c>
      <c r="E10543" t="str">
        <f>HYPERLINK("https://patents.google.com/patent/US5694523A/en")</f>
        <v>https://patents.google.com/patent/US5694523A/en</v>
      </c>
    </row>
    <row r="10544" spans="3:5" x14ac:dyDescent="0.25">
      <c r="C10544" t="s">
        <v>19468</v>
      </c>
      <c r="D10544" t="s">
        <v>19469</v>
      </c>
      <c r="E10544" t="str">
        <f>HYPERLINK("https://patents.google.com/patent/US5642303A/en")</f>
        <v>https://patents.google.com/patent/US5642303A/en</v>
      </c>
    </row>
    <row r="10545" spans="3:5" x14ac:dyDescent="0.25">
      <c r="C10545" t="s">
        <v>19470</v>
      </c>
      <c r="D10545" t="s">
        <v>19471</v>
      </c>
      <c r="E10545" t="str">
        <f>HYPERLINK("https://patents.google.com/patent/US6070149A/en")</f>
        <v>https://patents.google.com/patent/US6070149A/en</v>
      </c>
    </row>
    <row r="10546" spans="3:5" x14ac:dyDescent="0.25">
      <c r="C10546" t="s">
        <v>19472</v>
      </c>
      <c r="D10546" t="s">
        <v>19473</v>
      </c>
      <c r="E10546" t="str">
        <f>HYPERLINK("https://patents.google.com/patent/US8482859B2/en")</f>
        <v>https://patents.google.com/patent/US8482859B2/en</v>
      </c>
    </row>
    <row r="10547" spans="3:5" x14ac:dyDescent="0.25">
      <c r="C10547" t="s">
        <v>19382</v>
      </c>
      <c r="D10547" t="s">
        <v>19474</v>
      </c>
      <c r="E10547" t="str">
        <f>HYPERLINK("https://patents.google.com/patent/US7415424B1/en")</f>
        <v>https://patents.google.com/patent/US7415424B1/en</v>
      </c>
    </row>
    <row r="10548" spans="3:5" x14ac:dyDescent="0.25">
      <c r="C10548" t="s">
        <v>19475</v>
      </c>
      <c r="D10548" t="s">
        <v>19476</v>
      </c>
      <c r="E10548" t="str">
        <f>HYPERLINK("https://patents.google.com/patent/US6263361B1/en")</f>
        <v>https://patents.google.com/patent/US6263361B1/en</v>
      </c>
    </row>
    <row r="10549" spans="3:5" x14ac:dyDescent="0.25">
      <c r="C10549" t="s">
        <v>19477</v>
      </c>
      <c r="D10549" t="s">
        <v>19478</v>
      </c>
      <c r="E10549" t="str">
        <f>HYPERLINK("https://patents.google.com/patent/US7000180B2/en")</f>
        <v>https://patents.google.com/patent/US7000180B2/en</v>
      </c>
    </row>
    <row r="10550" spans="3:5" x14ac:dyDescent="0.25">
      <c r="C10550" t="s">
        <v>19479</v>
      </c>
      <c r="D10550" t="s">
        <v>19480</v>
      </c>
      <c r="E10550" t="str">
        <f>HYPERLINK("https://patents.google.com/patent/US7099885B2/en")</f>
        <v>https://patents.google.com/patent/US7099885B2/en</v>
      </c>
    </row>
    <row r="10551" spans="3:5" x14ac:dyDescent="0.25">
      <c r="C10551" t="s">
        <v>19481</v>
      </c>
      <c r="D10551" t="s">
        <v>19482</v>
      </c>
      <c r="E10551" t="str">
        <f>HYPERLINK("https://patents.google.com/patent/US7729977B2/en")</f>
        <v>https://patents.google.com/patent/US7729977B2/en</v>
      </c>
    </row>
    <row r="10552" spans="3:5" x14ac:dyDescent="0.25">
      <c r="C10552" t="s">
        <v>19483</v>
      </c>
      <c r="D10552" t="s">
        <v>19484</v>
      </c>
      <c r="E10552" t="str">
        <f>HYPERLINK("https://patents.google.com/patent/US6243105B1/en")</f>
        <v>https://patents.google.com/patent/US6243105B1/en</v>
      </c>
    </row>
    <row r="10553" spans="3:5" x14ac:dyDescent="0.25">
      <c r="C10553" t="s">
        <v>19485</v>
      </c>
      <c r="D10553" t="s">
        <v>19486</v>
      </c>
      <c r="E10553" t="str">
        <f>HYPERLINK("https://patents.google.com/patent/US6581039B2/en")</f>
        <v>https://patents.google.com/patent/US6581039B2/en</v>
      </c>
    </row>
    <row r="10554" spans="3:5" x14ac:dyDescent="0.25">
      <c r="C10554" t="s">
        <v>19487</v>
      </c>
      <c r="D10554" t="s">
        <v>19488</v>
      </c>
      <c r="E10554" t="str">
        <f>HYPERLINK("https://patents.google.com/patent/US7117432B1/en")</f>
        <v>https://patents.google.com/patent/US7117432B1/en</v>
      </c>
    </row>
    <row r="10555" spans="3:5" x14ac:dyDescent="0.25">
      <c r="C10555" t="s">
        <v>19489</v>
      </c>
      <c r="D10555" t="s">
        <v>19490</v>
      </c>
      <c r="E10555" t="str">
        <f>HYPERLINK("https://patents.google.com/patent/US6612522B1/en")</f>
        <v>https://patents.google.com/patent/US6612522B1/en</v>
      </c>
    </row>
    <row r="10556" spans="3:5" x14ac:dyDescent="0.25">
      <c r="C10556" t="s">
        <v>19491</v>
      </c>
      <c r="D10556" t="s">
        <v>19492</v>
      </c>
      <c r="E10556" t="str">
        <f>HYPERLINK("https://patents.google.com/patent/US9129295B2/en")</f>
        <v>https://patents.google.com/patent/US9129295B2/en</v>
      </c>
    </row>
    <row r="10557" spans="3:5" x14ac:dyDescent="0.25">
      <c r="C10557" t="s">
        <v>19493</v>
      </c>
      <c r="D10557" t="s">
        <v>19494</v>
      </c>
      <c r="E10557" t="str">
        <f>HYPERLINK("https://patents.google.com/patent/US9128281B2/en")</f>
        <v>https://patents.google.com/patent/US9128281B2/en</v>
      </c>
    </row>
    <row r="10558" spans="3:5" x14ac:dyDescent="0.25">
      <c r="C10558" t="s">
        <v>19495</v>
      </c>
      <c r="D10558" t="s">
        <v>19496</v>
      </c>
      <c r="E10558" t="str">
        <f>HYPERLINK("https://patents.google.com/patent/US6942454B2/en")</f>
        <v>https://patents.google.com/patent/US6942454B2/en</v>
      </c>
    </row>
    <row r="10559" spans="3:5" x14ac:dyDescent="0.25">
      <c r="C10559" t="s">
        <v>19497</v>
      </c>
      <c r="D10559" t="s">
        <v>19498</v>
      </c>
      <c r="E10559" t="str">
        <f>HYPERLINK("https://patents.google.com/patent/US5426900A/en")</f>
        <v>https://patents.google.com/patent/US5426900A/en</v>
      </c>
    </row>
    <row r="10560" spans="3:5" x14ac:dyDescent="0.25">
      <c r="C10560" t="s">
        <v>19499</v>
      </c>
      <c r="D10560" t="s">
        <v>19500</v>
      </c>
      <c r="E10560" t="str">
        <f>HYPERLINK("https://patents.google.com/patent/US6568595B1/en")</f>
        <v>https://patents.google.com/patent/US6568595B1/en</v>
      </c>
    </row>
    <row r="10561" spans="3:5" x14ac:dyDescent="0.25">
      <c r="C10561" t="s">
        <v>19501</v>
      </c>
      <c r="D10561" t="s">
        <v>19502</v>
      </c>
      <c r="E10561" t="str">
        <f>HYPERLINK("https://patents.google.com/patent/US6339750B1/en")</f>
        <v>https://patents.google.com/patent/US6339750B1/en</v>
      </c>
    </row>
    <row r="10562" spans="3:5" x14ac:dyDescent="0.25">
      <c r="C10562" t="s">
        <v>19503</v>
      </c>
      <c r="D10562" t="s">
        <v>19504</v>
      </c>
      <c r="E10562" t="str">
        <f>HYPERLINK("https://patents.google.com/patent/US5566349A/en")</f>
        <v>https://patents.google.com/patent/US5566349A/en</v>
      </c>
    </row>
    <row r="10563" spans="3:5" x14ac:dyDescent="0.25">
      <c r="C10563" t="s">
        <v>19505</v>
      </c>
      <c r="D10563" t="s">
        <v>19506</v>
      </c>
      <c r="E10563" t="str">
        <f>HYPERLINK("https://patents.google.com/patent/US8230343B2/en")</f>
        <v>https://patents.google.com/patent/US8230343B2/en</v>
      </c>
    </row>
    <row r="10564" spans="3:5" x14ac:dyDescent="0.25">
      <c r="C10564" t="s">
        <v>19507</v>
      </c>
      <c r="D10564" t="s">
        <v>19508</v>
      </c>
      <c r="E10564" t="str">
        <f>HYPERLINK("https://patents.google.com/patent/US8062134B2/en")</f>
        <v>https://patents.google.com/patent/US8062134B2/en</v>
      </c>
    </row>
    <row r="10565" spans="3:5" x14ac:dyDescent="0.25">
      <c r="C10565" t="s">
        <v>19509</v>
      </c>
      <c r="D10565" t="s">
        <v>19510</v>
      </c>
      <c r="E10565" t="str">
        <f>HYPERLINK("https://patents.google.com/patent/US7225199B1/en")</f>
        <v>https://patents.google.com/patent/US7225199B1/en</v>
      </c>
    </row>
    <row r="10566" spans="3:5" x14ac:dyDescent="0.25">
      <c r="C10566" t="s">
        <v>19511</v>
      </c>
      <c r="D10566" t="s">
        <v>19512</v>
      </c>
      <c r="E10566" t="str">
        <f>HYPERLINK("https://patents.google.com/patent/US8032508B2/en")</f>
        <v>https://patents.google.com/patent/US8032508B2/en</v>
      </c>
    </row>
    <row r="10567" spans="3:5" x14ac:dyDescent="0.25">
      <c r="C10567" t="s">
        <v>19513</v>
      </c>
      <c r="D10567" t="s">
        <v>19514</v>
      </c>
      <c r="E10567" t="str">
        <f>HYPERLINK("https://patents.google.com/patent/US5577042A/en")</f>
        <v>https://patents.google.com/patent/US5577042A/en</v>
      </c>
    </row>
    <row r="10568" spans="3:5" x14ac:dyDescent="0.25">
      <c r="C10568" t="s">
        <v>19515</v>
      </c>
      <c r="D10568" t="s">
        <v>19516</v>
      </c>
      <c r="E10568" t="str">
        <f>HYPERLINK("https://patents.google.com/patent/US5729720A/en")</f>
        <v>https://patents.google.com/patent/US5729720A/en</v>
      </c>
    </row>
    <row r="10569" spans="3:5" x14ac:dyDescent="0.25">
      <c r="C10569" t="s">
        <v>19517</v>
      </c>
      <c r="D10569" t="s">
        <v>19518</v>
      </c>
      <c r="E10569" t="str">
        <f>HYPERLINK("https://patents.google.com/patent/CN207228764U/en")</f>
        <v>https://patents.google.com/patent/CN207228764U/en</v>
      </c>
    </row>
    <row r="10570" spans="3:5" x14ac:dyDescent="0.25">
      <c r="C10570" t="s">
        <v>19519</v>
      </c>
      <c r="D10570" t="s">
        <v>19520</v>
      </c>
      <c r="E10570" t="str">
        <f>HYPERLINK("https://patents.google.com/patent/US7985911B2/en")</f>
        <v>https://patents.google.com/patent/US7985911B2/en</v>
      </c>
    </row>
    <row r="10571" spans="3:5" x14ac:dyDescent="0.25">
      <c r="C10571" t="s">
        <v>19521</v>
      </c>
      <c r="D10571" t="s">
        <v>19522</v>
      </c>
      <c r="E10571" t="str">
        <f>HYPERLINK("https://patents.google.com/patent/US6823068B1/en")</f>
        <v>https://patents.google.com/patent/US6823068B1/en</v>
      </c>
    </row>
    <row r="10572" spans="3:5" x14ac:dyDescent="0.25">
      <c r="C10572" t="s">
        <v>19523</v>
      </c>
      <c r="D10572" t="s">
        <v>19524</v>
      </c>
      <c r="E10572" t="str">
        <f>HYPERLINK("https://patents.google.com/patent/US7496687B2/en")</f>
        <v>https://patents.google.com/patent/US7496687B2/en</v>
      </c>
    </row>
    <row r="10573" spans="3:5" x14ac:dyDescent="0.25">
      <c r="C10573" t="s">
        <v>19525</v>
      </c>
      <c r="D10573" t="s">
        <v>19526</v>
      </c>
      <c r="E10573" t="str">
        <f>HYPERLINK("https://patents.google.com/patent/DE102004014001A1/en")</f>
        <v>https://patents.google.com/patent/DE102004014001A1/en</v>
      </c>
    </row>
    <row r="10574" spans="3:5" x14ac:dyDescent="0.25">
      <c r="C10574" t="s">
        <v>19527</v>
      </c>
      <c r="D10574" t="s">
        <v>19528</v>
      </c>
      <c r="E10574" t="str">
        <f>HYPERLINK("https://patents.google.com/patent/US20030036944A1/en")</f>
        <v>https://patents.google.com/patent/US20030036944A1/en</v>
      </c>
    </row>
    <row r="10575" spans="3:5" x14ac:dyDescent="0.25">
      <c r="C10575" t="s">
        <v>19529</v>
      </c>
      <c r="D10575" t="s">
        <v>19530</v>
      </c>
      <c r="E10575" t="str">
        <f>HYPERLINK("https://patents.google.com/patent/US20020042733A1/en")</f>
        <v>https://patents.google.com/patent/US20020042733A1/en</v>
      </c>
    </row>
    <row r="10576" spans="3:5" x14ac:dyDescent="0.25">
      <c r="C10576" t="s">
        <v>19382</v>
      </c>
      <c r="D10576" t="s">
        <v>19531</v>
      </c>
      <c r="E10576" t="str">
        <f>HYPERLINK("https://patents.google.com/patent/US7562051B1/en")</f>
        <v>https://patents.google.com/patent/US7562051B1/en</v>
      </c>
    </row>
    <row r="10577" spans="3:5" x14ac:dyDescent="0.25">
      <c r="C10577" t="s">
        <v>19532</v>
      </c>
      <c r="D10577" t="s">
        <v>19533</v>
      </c>
      <c r="E10577" t="str">
        <f>HYPERLINK("https://patents.google.com/patent/US20040219961A1/en")</f>
        <v>https://patents.google.com/patent/US20040219961A1/en</v>
      </c>
    </row>
    <row r="10578" spans="3:5" x14ac:dyDescent="0.25">
      <c r="C10578" t="s">
        <v>19534</v>
      </c>
      <c r="D10578" t="s">
        <v>19535</v>
      </c>
      <c r="E10578" t="str">
        <f>HYPERLINK("https://patents.google.com/patent/US7080153B2/en")</f>
        <v>https://patents.google.com/patent/US7080153B2/en</v>
      </c>
    </row>
    <row r="10579" spans="3:5" x14ac:dyDescent="0.25">
      <c r="C10579" t="s">
        <v>19536</v>
      </c>
      <c r="D10579" t="s">
        <v>19537</v>
      </c>
      <c r="E10579" t="str">
        <f>HYPERLINK("https://patents.google.com/patent/US20010050658A1/en")</f>
        <v>https://patents.google.com/patent/US20010050658A1/en</v>
      </c>
    </row>
    <row r="10580" spans="3:5" x14ac:dyDescent="0.25">
      <c r="C10580" t="s">
        <v>19538</v>
      </c>
      <c r="D10580" t="s">
        <v>19539</v>
      </c>
      <c r="E10580" t="str">
        <f>HYPERLINK("https://patents.google.com/patent/US20140074629A1/en")</f>
        <v>https://patents.google.com/patent/US20140074629A1/en</v>
      </c>
    </row>
    <row r="10581" spans="3:5" x14ac:dyDescent="0.25">
      <c r="C10581" t="s">
        <v>19540</v>
      </c>
      <c r="D10581" t="s">
        <v>19541</v>
      </c>
      <c r="E10581" t="str">
        <f>HYPERLINK("https://patents.google.com/patent/US20040225716A1/en")</f>
        <v>https://patents.google.com/patent/US20040225716A1/en</v>
      </c>
    </row>
    <row r="10582" spans="3:5" x14ac:dyDescent="0.25">
      <c r="C10582" t="s">
        <v>19542</v>
      </c>
      <c r="D10582" t="s">
        <v>19543</v>
      </c>
      <c r="E10582" t="str">
        <f>HYPERLINK("https://patents.google.com/patent/KR101355885B1/en")</f>
        <v>https://patents.google.com/patent/KR101355885B1/en</v>
      </c>
    </row>
    <row r="10583" spans="3:5" x14ac:dyDescent="0.25">
      <c r="C10583" t="s">
        <v>19544</v>
      </c>
      <c r="D10583" t="s">
        <v>19545</v>
      </c>
      <c r="E10583" t="str">
        <f>HYPERLINK("https://patents.google.com/patent/US6975836B2/en")</f>
        <v>https://patents.google.com/patent/US6975836B2/en</v>
      </c>
    </row>
    <row r="10584" spans="3:5" x14ac:dyDescent="0.25">
      <c r="C10584" t="s">
        <v>19546</v>
      </c>
      <c r="D10584" t="s">
        <v>19547</v>
      </c>
      <c r="E10584" t="str">
        <f>HYPERLINK("https://patents.google.com/patent/US20020085030A1/en")</f>
        <v>https://patents.google.com/patent/US20020085030A1/en</v>
      </c>
    </row>
    <row r="10585" spans="3:5" x14ac:dyDescent="0.25">
      <c r="C10585" t="s">
        <v>19548</v>
      </c>
      <c r="D10585" t="s">
        <v>19549</v>
      </c>
      <c r="E10585" t="str">
        <f>HYPERLINK("https://patents.google.com/patent/US20020087592A1/en")</f>
        <v>https://patents.google.com/patent/US20020087592A1/en</v>
      </c>
    </row>
    <row r="10586" spans="3:5" x14ac:dyDescent="0.25">
      <c r="C10586" t="s">
        <v>19550</v>
      </c>
      <c r="D10586" t="s">
        <v>19551</v>
      </c>
      <c r="E10586" t="str">
        <f>HYPERLINK("https://patents.google.com/patent/US20080147546A1/en")</f>
        <v>https://patents.google.com/patent/US20080147546A1/en</v>
      </c>
    </row>
    <row r="10587" spans="3:5" x14ac:dyDescent="0.25">
      <c r="C10587" t="s">
        <v>19552</v>
      </c>
      <c r="D10587" t="s">
        <v>19553</v>
      </c>
      <c r="E10587" t="str">
        <f>HYPERLINK("https://patents.google.com/patent/US20120113144A1/en")</f>
        <v>https://patents.google.com/patent/US20120113144A1/en</v>
      </c>
    </row>
    <row r="10588" spans="3:5" x14ac:dyDescent="0.25">
      <c r="C10588" t="s">
        <v>19554</v>
      </c>
      <c r="D10588" t="s">
        <v>19555</v>
      </c>
      <c r="E10588" t="str">
        <f>HYPERLINK("https://patents.google.com/patent/US7966638B2/en")</f>
        <v>https://patents.google.com/patent/US7966638B2/en</v>
      </c>
    </row>
    <row r="10589" spans="3:5" x14ac:dyDescent="0.25">
      <c r="C10589" t="s">
        <v>19556</v>
      </c>
      <c r="D10589" t="s">
        <v>19557</v>
      </c>
      <c r="E10589" t="str">
        <f>HYPERLINK("https://patents.google.com/patent/US20010051876A1/en")</f>
        <v>https://patents.google.com/patent/US20010051876A1/en</v>
      </c>
    </row>
    <row r="10590" spans="3:5" x14ac:dyDescent="0.25">
      <c r="C10590" t="s">
        <v>19558</v>
      </c>
      <c r="D10590" t="s">
        <v>19559</v>
      </c>
      <c r="E10590" t="str">
        <f>HYPERLINK("https://patents.google.com/patent/US20020194601A1/en")</f>
        <v>https://patents.google.com/patent/US20020194601A1/en</v>
      </c>
    </row>
    <row r="10591" spans="3:5" x14ac:dyDescent="0.25">
      <c r="C10591" t="s">
        <v>19449</v>
      </c>
      <c r="D10591" t="s">
        <v>19560</v>
      </c>
      <c r="E10591" t="str">
        <f>HYPERLINK("https://patents.google.com/patent/US20090013052A1/en")</f>
        <v>https://patents.google.com/patent/US20090013052A1/en</v>
      </c>
    </row>
    <row r="10592" spans="3:5" x14ac:dyDescent="0.25">
      <c r="C10592" t="s">
        <v>19561</v>
      </c>
      <c r="D10592" t="s">
        <v>19562</v>
      </c>
      <c r="E10592" t="str">
        <f>HYPERLINK("https://patents.google.com/patent/US20140063054A1/en")</f>
        <v>https://patents.google.com/patent/US20140063054A1/en</v>
      </c>
    </row>
    <row r="10593" spans="3:5" x14ac:dyDescent="0.25">
      <c r="C10593" t="s">
        <v>19563</v>
      </c>
      <c r="D10593" t="s">
        <v>19564</v>
      </c>
      <c r="E10593" t="str">
        <f>HYPERLINK("https://patents.google.com/patent/US20140063055A1/en")</f>
        <v>https://patents.google.com/patent/US20140063055A1/en</v>
      </c>
    </row>
    <row r="10594" spans="3:5" x14ac:dyDescent="0.25">
      <c r="C10594" t="s">
        <v>8441</v>
      </c>
      <c r="D10594" t="s">
        <v>19565</v>
      </c>
      <c r="E10594" t="str">
        <f>HYPERLINK("https://patents.google.com/patent/US20120004747A1/en")</f>
        <v>https://patents.google.com/patent/US20120004747A1/en</v>
      </c>
    </row>
    <row r="10595" spans="3:5" x14ac:dyDescent="0.25">
      <c r="C10595" t="s">
        <v>19566</v>
      </c>
      <c r="D10595" t="s">
        <v>19567</v>
      </c>
      <c r="E10595" t="str">
        <f>HYPERLINK("https://patents.google.com/patent/US20030110503A1/en")</f>
        <v>https://patents.google.com/patent/US20030110503A1/en</v>
      </c>
    </row>
    <row r="10596" spans="3:5" x14ac:dyDescent="0.25">
      <c r="C10596" t="s">
        <v>19568</v>
      </c>
      <c r="D10596" t="s">
        <v>19569</v>
      </c>
      <c r="E10596" t="str">
        <f>HYPERLINK("https://patents.google.com/patent/US20070208751A1/en")</f>
        <v>https://patents.google.com/patent/US20070208751A1/en</v>
      </c>
    </row>
    <row r="10597" spans="3:5" x14ac:dyDescent="0.25">
      <c r="C10597" t="s">
        <v>19570</v>
      </c>
      <c r="D10597" t="s">
        <v>19571</v>
      </c>
      <c r="E10597" t="str">
        <f>HYPERLINK("https://patents.google.com/patent/US20120194553A1/en")</f>
        <v>https://patents.google.com/patent/US20120194553A1/en</v>
      </c>
    </row>
    <row r="10598" spans="3:5" x14ac:dyDescent="0.25">
      <c r="C10598" t="s">
        <v>19572</v>
      </c>
      <c r="D10598" t="s">
        <v>19573</v>
      </c>
      <c r="E10598" t="str">
        <f>HYPERLINK("https://patents.google.com/patent/US20120194550A1/en")</f>
        <v>https://patents.google.com/patent/US20120194550A1/en</v>
      </c>
    </row>
    <row r="10599" spans="3:5" x14ac:dyDescent="0.25">
      <c r="C10599" t="s">
        <v>19574</v>
      </c>
      <c r="D10599" t="s">
        <v>19575</v>
      </c>
      <c r="E10599" t="str">
        <f>HYPERLINK("https://patents.google.com/patent/US20020120501A1/en")</f>
        <v>https://patents.google.com/patent/US20020120501A1/en</v>
      </c>
    </row>
    <row r="10600" spans="3:5" x14ac:dyDescent="0.25">
      <c r="C10600" t="s">
        <v>19576</v>
      </c>
      <c r="D10600" t="s">
        <v>19577</v>
      </c>
      <c r="E10600" t="str">
        <f>HYPERLINK("https://patents.google.com/patent/US20060041655A1/en")</f>
        <v>https://patents.google.com/patent/US20060041655A1/en</v>
      </c>
    </row>
    <row r="10601" spans="3:5" x14ac:dyDescent="0.25">
      <c r="C10601" t="s">
        <v>19578</v>
      </c>
      <c r="D10601" t="s">
        <v>19579</v>
      </c>
      <c r="E10601" t="str">
        <f>HYPERLINK("https://patents.google.com/patent/US20070033419A1/en")</f>
        <v>https://patents.google.com/patent/US20070033419A1/en</v>
      </c>
    </row>
    <row r="10602" spans="3:5" x14ac:dyDescent="0.25">
      <c r="C10602" t="s">
        <v>19580</v>
      </c>
      <c r="D10602" t="s">
        <v>19581</v>
      </c>
      <c r="E10602" t="str">
        <f>HYPERLINK("https://patents.google.com/patent/US20020010584A1/en")</f>
        <v>https://patents.google.com/patent/US20020010584A1/en</v>
      </c>
    </row>
    <row r="10603" spans="3:5" x14ac:dyDescent="0.25">
      <c r="C10603" t="s">
        <v>19582</v>
      </c>
      <c r="D10603" t="s">
        <v>19583</v>
      </c>
      <c r="E10603" t="str">
        <f>HYPERLINK("https://patents.google.com/patent/US20050132305A1/en")</f>
        <v>https://patents.google.com/patent/US20050132305A1/en</v>
      </c>
    </row>
    <row r="10604" spans="3:5" x14ac:dyDescent="0.25">
      <c r="C10604" t="s">
        <v>19584</v>
      </c>
      <c r="D10604" t="s">
        <v>19585</v>
      </c>
      <c r="E10604" t="str">
        <f>HYPERLINK("https://patents.google.com/patent/US20080163379A1/en")</f>
        <v>https://patents.google.com/patent/US20080163379A1/en</v>
      </c>
    </row>
    <row r="10605" spans="3:5" x14ac:dyDescent="0.25">
      <c r="C10605" t="s">
        <v>19586</v>
      </c>
      <c r="D10605" t="s">
        <v>19587</v>
      </c>
      <c r="E10605" t="str">
        <f>HYPERLINK("https://patents.google.com/patent/US20090077124A1/en")</f>
        <v>https://patents.google.com/patent/US20090077124A1/en</v>
      </c>
    </row>
    <row r="10606" spans="3:5" x14ac:dyDescent="0.25">
      <c r="C10606" t="s">
        <v>19588</v>
      </c>
      <c r="D10606" t="s">
        <v>19589</v>
      </c>
      <c r="E10606" t="str">
        <f>HYPERLINK("https://patents.google.com/patent/US20070161382A1/en")</f>
        <v>https://patents.google.com/patent/US20070161382A1/en</v>
      </c>
    </row>
    <row r="10607" spans="3:5" x14ac:dyDescent="0.25">
      <c r="C10607" t="s">
        <v>19590</v>
      </c>
      <c r="D10607" t="s">
        <v>19591</v>
      </c>
      <c r="E10607" t="str">
        <f>HYPERLINK("https://patents.google.com/patent/US20120062743A1/en")</f>
        <v>https://patents.google.com/patent/US20120062743A1/en</v>
      </c>
    </row>
    <row r="10608" spans="3:5" x14ac:dyDescent="0.25">
      <c r="C10608" t="s">
        <v>19592</v>
      </c>
      <c r="D10608" t="s">
        <v>19593</v>
      </c>
      <c r="E10608" t="str">
        <f>HYPERLINK("https://patents.google.com/patent/US20030217362A1/en")</f>
        <v>https://patents.google.com/patent/US20030217362A1/en</v>
      </c>
    </row>
    <row r="10609" spans="3:5" x14ac:dyDescent="0.25">
      <c r="C10609" t="s">
        <v>19594</v>
      </c>
      <c r="D10609" t="s">
        <v>19595</v>
      </c>
      <c r="E10609" t="str">
        <f>HYPERLINK("https://patents.google.com/patent/US20090165140A1/en")</f>
        <v>https://patents.google.com/patent/US20090165140A1/en</v>
      </c>
    </row>
    <row r="10610" spans="3:5" x14ac:dyDescent="0.25">
      <c r="C10610" t="s">
        <v>19596</v>
      </c>
      <c r="D10610" t="s">
        <v>19597</v>
      </c>
      <c r="E10610" t="str">
        <f>HYPERLINK("https://patents.google.com/patent/US20070265220A1/en")</f>
        <v>https://patents.google.com/patent/US20070265220A1/en</v>
      </c>
    </row>
    <row r="10611" spans="3:5" x14ac:dyDescent="0.25">
      <c r="C10611" t="s">
        <v>19598</v>
      </c>
      <c r="D10611" t="s">
        <v>19599</v>
      </c>
      <c r="E10611" t="str">
        <f>HYPERLINK("https://patents.google.com/patent/US20080268876A1/en")</f>
        <v>https://patents.google.com/patent/US20080268876A1/en</v>
      </c>
    </row>
    <row r="10612" spans="3:5" x14ac:dyDescent="0.25">
      <c r="C10612" t="s">
        <v>19600</v>
      </c>
      <c r="D10612" t="s">
        <v>19601</v>
      </c>
      <c r="E10612" t="str">
        <f>HYPERLINK("https://patents.google.com/patent/US20060015925A1/en")</f>
        <v>https://patents.google.com/patent/US20060015925A1/en</v>
      </c>
    </row>
    <row r="10613" spans="3:5" x14ac:dyDescent="0.25">
      <c r="C10613" t="s">
        <v>19602</v>
      </c>
      <c r="D10613" t="s">
        <v>19603</v>
      </c>
      <c r="E10613" t="str">
        <f>HYPERLINK("https://patents.google.com/patent/US20030125958A1/en")</f>
        <v>https://patents.google.com/patent/US20030125958A1/en</v>
      </c>
    </row>
    <row r="10614" spans="3:5" x14ac:dyDescent="0.25">
      <c r="C10614" t="s">
        <v>19604</v>
      </c>
      <c r="D10614" t="s">
        <v>19605</v>
      </c>
      <c r="E10614" t="str">
        <f>HYPERLINK("https://patents.google.com/patent/US20120242697A1/en")</f>
        <v>https://patents.google.com/patent/US20120242697A1/en</v>
      </c>
    </row>
    <row r="10615" spans="3:5" x14ac:dyDescent="0.25">
      <c r="C10615" t="s">
        <v>19606</v>
      </c>
      <c r="D10615" t="s">
        <v>19607</v>
      </c>
      <c r="E10615" t="str">
        <f>HYPERLINK("https://patents.google.com/patent/US20100222102A1/en")</f>
        <v>https://patents.google.com/patent/US20100222102A1/en</v>
      </c>
    </row>
    <row r="10616" spans="3:5" x14ac:dyDescent="0.25">
      <c r="C10616" t="s">
        <v>8098</v>
      </c>
      <c r="D10616" t="s">
        <v>19608</v>
      </c>
      <c r="E10616" t="str">
        <f>HYPERLINK("https://patents.google.com/patent/US20080120029A1/en")</f>
        <v>https://patents.google.com/patent/US20080120029A1/en</v>
      </c>
    </row>
    <row r="10617" spans="3:5" x14ac:dyDescent="0.25">
      <c r="C10617" t="s">
        <v>19609</v>
      </c>
      <c r="D10617" t="s">
        <v>19610</v>
      </c>
      <c r="E10617" t="str">
        <f>HYPERLINK("https://patents.google.com/patent/US20030204847A1/en")</f>
        <v>https://patents.google.com/patent/US20030204847A1/en</v>
      </c>
    </row>
    <row r="10618" spans="3:5" x14ac:dyDescent="0.25">
      <c r="C10618" t="s">
        <v>19611</v>
      </c>
      <c r="D10618" t="s">
        <v>19612</v>
      </c>
      <c r="E10618" t="str">
        <f>HYPERLINK("https://patents.google.com/patent/US20040199575A1/en")</f>
        <v>https://patents.google.com/patent/US20040199575A1/en</v>
      </c>
    </row>
    <row r="10619" spans="3:5" x14ac:dyDescent="0.25">
      <c r="C10619" t="s">
        <v>19613</v>
      </c>
      <c r="D10619" t="s">
        <v>19614</v>
      </c>
      <c r="E10619" t="str">
        <f>HYPERLINK("https://patents.google.com/patent/US20050276570A1/en")</f>
        <v>https://patents.google.com/patent/US20050276570A1/en</v>
      </c>
    </row>
    <row r="10620" spans="3:5" x14ac:dyDescent="0.25">
      <c r="C10620" t="s">
        <v>19615</v>
      </c>
      <c r="D10620" t="s">
        <v>19616</v>
      </c>
      <c r="E10620" t="str">
        <f>HYPERLINK("https://patents.google.com/patent/US20080248849A1/en")</f>
        <v>https://patents.google.com/patent/US20080248849A1/en</v>
      </c>
    </row>
    <row r="10621" spans="3:5" x14ac:dyDescent="0.25">
      <c r="C10621" t="s">
        <v>19617</v>
      </c>
      <c r="D10621" t="s">
        <v>19618</v>
      </c>
      <c r="E10621" t="str">
        <f>HYPERLINK("https://patents.google.com/patent/US20070244811A1/en")</f>
        <v>https://patents.google.com/patent/US20070244811A1/en</v>
      </c>
    </row>
    <row r="10622" spans="3:5" x14ac:dyDescent="0.25">
      <c r="C10622" t="s">
        <v>19619</v>
      </c>
      <c r="D10622" t="s">
        <v>19620</v>
      </c>
      <c r="E10622" t="str">
        <f>HYPERLINK("https://patents.google.com/patent/US20050022114A1/en")</f>
        <v>https://patents.google.com/patent/US20050022114A1/en</v>
      </c>
    </row>
    <row r="10623" spans="3:5" x14ac:dyDescent="0.25">
      <c r="C10623" t="s">
        <v>19621</v>
      </c>
      <c r="D10623" t="s">
        <v>19622</v>
      </c>
      <c r="E10623" t="str">
        <f>HYPERLINK("https://patents.google.com/patent/US20120242698A1/en")</f>
        <v>https://patents.google.com/patent/US20120242698A1/en</v>
      </c>
    </row>
    <row r="10624" spans="3:5" x14ac:dyDescent="0.25">
      <c r="C10624" t="s">
        <v>19623</v>
      </c>
      <c r="D10624" t="s">
        <v>19624</v>
      </c>
      <c r="E10624" t="str">
        <f>HYPERLINK("https://patents.google.com/patent/US20080141180A1/en")</f>
        <v>https://patents.google.com/patent/US20080141180A1/en</v>
      </c>
    </row>
    <row r="10625" spans="3:5" x14ac:dyDescent="0.25">
      <c r="C10625" t="s">
        <v>19625</v>
      </c>
      <c r="D10625" t="s">
        <v>19626</v>
      </c>
      <c r="E10625" t="str">
        <f>HYPERLINK("https://patents.google.com/patent/US20080262717A1/en")</f>
        <v>https://patents.google.com/patent/US20080262717A1/en</v>
      </c>
    </row>
    <row r="10626" spans="3:5" x14ac:dyDescent="0.25">
      <c r="C10626" t="s">
        <v>19627</v>
      </c>
      <c r="D10626" t="s">
        <v>19628</v>
      </c>
      <c r="E10626" t="str">
        <f>HYPERLINK("https://patents.google.com/patent/US20120235885A1/en")</f>
        <v>https://patents.google.com/patent/US20120235885A1/en</v>
      </c>
    </row>
    <row r="10627" spans="3:5" x14ac:dyDescent="0.25">
      <c r="C10627" t="s">
        <v>19629</v>
      </c>
      <c r="D10627" t="s">
        <v>19630</v>
      </c>
      <c r="E10627" t="str">
        <f>HYPERLINK("https://patents.google.com/patent/US20020090934A1/en")</f>
        <v>https://patents.google.com/patent/US20020090934A1/en</v>
      </c>
    </row>
    <row r="10628" spans="3:5" x14ac:dyDescent="0.25">
      <c r="C10628" t="s">
        <v>19631</v>
      </c>
      <c r="D10628" t="s">
        <v>19632</v>
      </c>
      <c r="E10628" t="str">
        <f>HYPERLINK("https://patents.google.com/patent/US20140071818A1/en")</f>
        <v>https://patents.google.com/patent/US20140071818A1/en</v>
      </c>
    </row>
    <row r="10629" spans="3:5" x14ac:dyDescent="0.25">
      <c r="C10629" t="s">
        <v>19633</v>
      </c>
      <c r="D10629" t="s">
        <v>19634</v>
      </c>
      <c r="E10629" t="str">
        <f>HYPERLINK("https://patents.google.com/patent/US20040098754A1/en")</f>
        <v>https://patents.google.com/patent/US20040098754A1/en</v>
      </c>
    </row>
    <row r="10630" spans="3:5" x14ac:dyDescent="0.25">
      <c r="C10630" t="s">
        <v>19635</v>
      </c>
      <c r="D10630" t="s">
        <v>19636</v>
      </c>
      <c r="E10630" t="str">
        <f>HYPERLINK("https://patents.google.com/patent/US20030112467A1/en")</f>
        <v>https://patents.google.com/patent/US20030112467A1/en</v>
      </c>
    </row>
    <row r="10631" spans="3:5" x14ac:dyDescent="0.25">
      <c r="C10631" t="s">
        <v>19637</v>
      </c>
      <c r="D10631" t="s">
        <v>19638</v>
      </c>
      <c r="E10631" t="str">
        <f>HYPERLINK("https://patents.google.com/patent/US20070255652A1/en")</f>
        <v>https://patents.google.com/patent/US20070255652A1/en</v>
      </c>
    </row>
    <row r="10632" spans="3:5" x14ac:dyDescent="0.25">
      <c r="C10632" t="s">
        <v>19639</v>
      </c>
      <c r="D10632" t="s">
        <v>19640</v>
      </c>
      <c r="E10632" t="str">
        <f>HYPERLINK("https://patents.google.com/patent/US20060059129A1/en")</f>
        <v>https://patents.google.com/patent/US20060059129A1/en</v>
      </c>
    </row>
    <row r="10633" spans="3:5" x14ac:dyDescent="0.25">
      <c r="C10633" t="s">
        <v>18850</v>
      </c>
      <c r="D10633" t="s">
        <v>19641</v>
      </c>
      <c r="E10633" t="str">
        <f>HYPERLINK("https://patents.google.com/patent/US20110191417A1/en")</f>
        <v>https://patents.google.com/patent/US20110191417A1/en</v>
      </c>
    </row>
    <row r="10634" spans="3:5" x14ac:dyDescent="0.25">
      <c r="C10634" t="s">
        <v>19642</v>
      </c>
      <c r="D10634" t="s">
        <v>19643</v>
      </c>
      <c r="E10634" t="str">
        <f>HYPERLINK("https://patents.google.com/patent/US20130314303A1/en")</f>
        <v>https://patents.google.com/patent/US20130314303A1/en</v>
      </c>
    </row>
    <row r="10635" spans="3:5" x14ac:dyDescent="0.25">
      <c r="C10635" t="s">
        <v>19644</v>
      </c>
      <c r="D10635" t="s">
        <v>19645</v>
      </c>
      <c r="E10635" t="str">
        <f>HYPERLINK("https://patents.google.com/patent/US20080254881A1/en")</f>
        <v>https://patents.google.com/patent/US20080254881A1/en</v>
      </c>
    </row>
    <row r="10636" spans="3:5" x14ac:dyDescent="0.25">
      <c r="C10636" t="s">
        <v>19646</v>
      </c>
      <c r="D10636" t="s">
        <v>19647</v>
      </c>
      <c r="E10636" t="str">
        <f>HYPERLINK("https://patents.google.com/patent/US20090061974A1/en")</f>
        <v>https://patents.google.com/patent/US20090061974A1/en</v>
      </c>
    </row>
    <row r="10637" spans="3:5" x14ac:dyDescent="0.25">
      <c r="C10637" t="s">
        <v>19648</v>
      </c>
      <c r="D10637" t="s">
        <v>19649</v>
      </c>
      <c r="E10637" t="str">
        <f>HYPERLINK("https://patents.google.com/patent/US20040143450A1/en")</f>
        <v>https://patents.google.com/patent/US20040143450A1/en</v>
      </c>
    </row>
    <row r="10638" spans="3:5" x14ac:dyDescent="0.25">
      <c r="C10638" t="s">
        <v>19650</v>
      </c>
      <c r="D10638" t="s">
        <v>19651</v>
      </c>
      <c r="E10638" t="str">
        <f>HYPERLINK("https://patents.google.com/patent/US20090300528A1/en")</f>
        <v>https://patents.google.com/patent/US20090300528A1/en</v>
      </c>
    </row>
    <row r="10639" spans="3:5" x14ac:dyDescent="0.25">
      <c r="C10639" t="s">
        <v>19652</v>
      </c>
      <c r="D10639" t="s">
        <v>19653</v>
      </c>
      <c r="E10639" t="str">
        <f>HYPERLINK("https://patents.google.com/patent/US20110041153A1/en")</f>
        <v>https://patents.google.com/patent/US20110041153A1/en</v>
      </c>
    </row>
    <row r="10640" spans="3:5" x14ac:dyDescent="0.25">
      <c r="C10640" t="s">
        <v>19654</v>
      </c>
      <c r="D10640" t="s">
        <v>19655</v>
      </c>
      <c r="E10640" t="str">
        <f>HYPERLINK("https://patents.google.com/patent/US20090216747A1/en")</f>
        <v>https://patents.google.com/patent/US20090216747A1/en</v>
      </c>
    </row>
    <row r="10641" spans="3:5" x14ac:dyDescent="0.25">
      <c r="C10641" t="s">
        <v>19656</v>
      </c>
      <c r="D10641" t="s">
        <v>19657</v>
      </c>
      <c r="E10641" t="str">
        <f>HYPERLINK("https://patents.google.com/patent/US20120212414A1/en")</f>
        <v>https://patents.google.com/patent/US20120212414A1/en</v>
      </c>
    </row>
    <row r="10642" spans="3:5" x14ac:dyDescent="0.25">
      <c r="C10642" t="s">
        <v>19658</v>
      </c>
      <c r="D10642" t="s">
        <v>19659</v>
      </c>
      <c r="E10642" t="str">
        <f>HYPERLINK("https://patents.google.com/patent/US20120194419A1/en")</f>
        <v>https://patents.google.com/patent/US20120194419A1/en</v>
      </c>
    </row>
    <row r="10643" spans="3:5" x14ac:dyDescent="0.25">
      <c r="C10643" t="s">
        <v>19660</v>
      </c>
      <c r="D10643" t="s">
        <v>19661</v>
      </c>
      <c r="E10643" t="str">
        <f>HYPERLINK("https://patents.google.com/patent/US20120194549A1/en")</f>
        <v>https://patents.google.com/patent/US20120194549A1/en</v>
      </c>
    </row>
    <row r="10644" spans="3:5" x14ac:dyDescent="0.25">
      <c r="C10644" t="s">
        <v>19662</v>
      </c>
      <c r="D10644" t="s">
        <v>19663</v>
      </c>
      <c r="E10644" t="str">
        <f>HYPERLINK("https://patents.google.com/patent/US20080120342A1/en")</f>
        <v>https://patents.google.com/patent/US20080120342A1/en</v>
      </c>
    </row>
    <row r="10645" spans="3:5" x14ac:dyDescent="0.25">
      <c r="C10645" t="s">
        <v>19664</v>
      </c>
      <c r="D10645" t="s">
        <v>19665</v>
      </c>
      <c r="E10645" t="str">
        <f>HYPERLINK("https://patents.google.com/patent/US20100125605A1/en")</f>
        <v>https://patents.google.com/patent/US20100125605A1/en</v>
      </c>
    </row>
    <row r="10646" spans="3:5" x14ac:dyDescent="0.25">
      <c r="C10646" t="s">
        <v>19666</v>
      </c>
      <c r="D10646" t="s">
        <v>19667</v>
      </c>
      <c r="E10646" t="str">
        <f>HYPERLINK("https://patents.google.com/patent/US20120200601A1/en")</f>
        <v>https://patents.google.com/patent/US20120200601A1/en</v>
      </c>
    </row>
    <row r="10647" spans="3:5" x14ac:dyDescent="0.25">
      <c r="C10647" t="s">
        <v>19668</v>
      </c>
      <c r="D10647" t="s">
        <v>19669</v>
      </c>
      <c r="E10647" t="str">
        <f>HYPERLINK("https://patents.google.com/patent/US20030009740A1/en")</f>
        <v>https://patents.google.com/patent/US20030009740A1/en</v>
      </c>
    </row>
    <row r="10648" spans="3:5" x14ac:dyDescent="0.25">
      <c r="C10648" t="s">
        <v>19574</v>
      </c>
      <c r="D10648" t="s">
        <v>19670</v>
      </c>
      <c r="E10648" t="str">
        <f>HYPERLINK("https://patents.google.com/patent/US20020065826A1/en")</f>
        <v>https://patents.google.com/patent/US20020065826A1/en</v>
      </c>
    </row>
    <row r="10649" spans="3:5" x14ac:dyDescent="0.25">
      <c r="C10649" t="s">
        <v>19671</v>
      </c>
      <c r="D10649" t="s">
        <v>19672</v>
      </c>
      <c r="E10649" t="str">
        <f>HYPERLINK("https://patents.google.com/patent/US20020049705A1/en")</f>
        <v>https://patents.google.com/patent/US20020049705A1/en</v>
      </c>
    </row>
    <row r="10650" spans="3:5" x14ac:dyDescent="0.25">
      <c r="C10650" t="s">
        <v>19673</v>
      </c>
      <c r="D10650" t="s">
        <v>19674</v>
      </c>
      <c r="E10650" t="str">
        <f>HYPERLINK("https://patents.google.com/patent/US20120316962A1/en")</f>
        <v>https://patents.google.com/patent/US20120316962A1/en</v>
      </c>
    </row>
    <row r="10651" spans="3:5" x14ac:dyDescent="0.25">
      <c r="C10651" t="s">
        <v>19675</v>
      </c>
      <c r="D10651" t="s">
        <v>19676</v>
      </c>
      <c r="E10651" t="str">
        <f>HYPERLINK("https://patents.google.com/patent/US20100125569A1/en")</f>
        <v>https://patents.google.com/patent/US20100125569A1/en</v>
      </c>
    </row>
    <row r="10652" spans="3:5" x14ac:dyDescent="0.25">
      <c r="C10652" t="s">
        <v>19677</v>
      </c>
      <c r="D10652" t="s">
        <v>19678</v>
      </c>
      <c r="E10652" t="str">
        <f>HYPERLINK("https://patents.google.com/patent/US20120194418A1/en")</f>
        <v>https://patents.google.com/patent/US20120194418A1/en</v>
      </c>
    </row>
    <row r="10653" spans="3:5" x14ac:dyDescent="0.25">
      <c r="C10653" t="s">
        <v>19679</v>
      </c>
      <c r="D10653" t="s">
        <v>19680</v>
      </c>
      <c r="E10653" t="str">
        <f>HYPERLINK("https://patents.google.com/patent/US20120206485A1/en")</f>
        <v>https://patents.google.com/patent/US20120206485A1/en</v>
      </c>
    </row>
    <row r="10654" spans="3:5" x14ac:dyDescent="0.25">
      <c r="C10654" t="s">
        <v>19681</v>
      </c>
      <c r="D10654" t="s">
        <v>19682</v>
      </c>
      <c r="E10654" t="str">
        <f>HYPERLINK("https://patents.google.com/patent/US20080281622A1/en")</f>
        <v>https://patents.google.com/patent/US20080281622A1/en</v>
      </c>
    </row>
    <row r="10655" spans="3:5" x14ac:dyDescent="0.25">
      <c r="C10655" t="s">
        <v>19683</v>
      </c>
      <c r="D10655" t="s">
        <v>19684</v>
      </c>
      <c r="E10655" t="str">
        <f>HYPERLINK("https://patents.google.com/patent/US20100125563A1/en")</f>
        <v>https://patents.google.com/patent/US20100125563A1/en</v>
      </c>
    </row>
    <row r="10656" spans="3:5" x14ac:dyDescent="0.25">
      <c r="C10656" t="s">
        <v>19685</v>
      </c>
      <c r="D10656" t="s">
        <v>19686</v>
      </c>
      <c r="E10656" t="str">
        <f>HYPERLINK("https://patents.google.com/patent/US20090069038A1/en")</f>
        <v>https://patents.google.com/patent/US20090069038A1/en</v>
      </c>
    </row>
    <row r="10657" spans="3:5" x14ac:dyDescent="0.25">
      <c r="C10657" t="s">
        <v>19687</v>
      </c>
      <c r="D10657" t="s">
        <v>19688</v>
      </c>
      <c r="E10657" t="str">
        <f>HYPERLINK("https://patents.google.com/patent/US20080194928A1/en")</f>
        <v>https://patents.google.com/patent/US20080194928A1/en</v>
      </c>
    </row>
    <row r="10658" spans="3:5" x14ac:dyDescent="0.25">
      <c r="C10658" t="s">
        <v>19689</v>
      </c>
      <c r="D10658" t="s">
        <v>19690</v>
      </c>
      <c r="E10658" t="str">
        <f>HYPERLINK("https://patents.google.com/patent/US20110282727A1/en")</f>
        <v>https://patents.google.com/patent/US20110282727A1/en</v>
      </c>
    </row>
    <row r="10659" spans="3:5" x14ac:dyDescent="0.25">
      <c r="C10659" t="s">
        <v>19691</v>
      </c>
      <c r="D10659" t="s">
        <v>19692</v>
      </c>
      <c r="E10659" t="str">
        <f>HYPERLINK("https://patents.google.com/patent/US20090220216A1/en")</f>
        <v>https://patents.google.com/patent/US20090220216A1/en</v>
      </c>
    </row>
    <row r="10660" spans="3:5" x14ac:dyDescent="0.25">
      <c r="C10660" t="s">
        <v>19693</v>
      </c>
      <c r="D10660" t="s">
        <v>19694</v>
      </c>
      <c r="E10660" t="str">
        <f>HYPERLINK("https://patents.google.com/patent/US20020085029A1/en")</f>
        <v>https://patents.google.com/patent/US20020085029A1/en</v>
      </c>
    </row>
    <row r="10661" spans="3:5" x14ac:dyDescent="0.25">
      <c r="C10661" t="s">
        <v>19695</v>
      </c>
      <c r="D10661" t="s">
        <v>19696</v>
      </c>
      <c r="E10661" t="str">
        <f>HYPERLINK("https://patents.google.com/patent/US20030136874A1/en")</f>
        <v>https://patents.google.com/patent/US20030136874A1/en</v>
      </c>
    </row>
    <row r="10662" spans="3:5" x14ac:dyDescent="0.25">
      <c r="C10662" t="s">
        <v>19697</v>
      </c>
      <c r="D10662" t="s">
        <v>19698</v>
      </c>
      <c r="E10662" t="str">
        <f>HYPERLINK("https://patents.google.com/patent/US20080120196A1/en")</f>
        <v>https://patents.google.com/patent/US20080120196A1/en</v>
      </c>
    </row>
    <row r="10663" spans="3:5" x14ac:dyDescent="0.25">
      <c r="C10663" t="s">
        <v>19699</v>
      </c>
      <c r="D10663" t="s">
        <v>19700</v>
      </c>
      <c r="E10663" t="str">
        <f>HYPERLINK("https://patents.google.com/patent/US20120194420A1/en")</f>
        <v>https://patents.google.com/patent/US20120194420A1/en</v>
      </c>
    </row>
    <row r="10664" spans="3:5" x14ac:dyDescent="0.25">
      <c r="C10664" t="s">
        <v>19701</v>
      </c>
      <c r="D10664" t="s">
        <v>19702</v>
      </c>
      <c r="E10664" t="str">
        <f>HYPERLINK("https://patents.google.com/patent/US20030055652A1/en")</f>
        <v>https://patents.google.com/patent/US20030055652A1/en</v>
      </c>
    </row>
    <row r="10665" spans="3:5" x14ac:dyDescent="0.25">
      <c r="C10665" t="s">
        <v>19703</v>
      </c>
      <c r="D10665" t="s">
        <v>19704</v>
      </c>
      <c r="E10665" t="str">
        <f>HYPERLINK("https://patents.google.com/patent/US20080119953A1/en")</f>
        <v>https://patents.google.com/patent/US20080119953A1/en</v>
      </c>
    </row>
    <row r="10666" spans="3:5" x14ac:dyDescent="0.25">
      <c r="C10666" t="s">
        <v>19705</v>
      </c>
      <c r="D10666" t="s">
        <v>19706</v>
      </c>
      <c r="E10666" t="str">
        <f>HYPERLINK("https://patents.google.com/patent/US20120194552A1/en")</f>
        <v>https://patents.google.com/patent/US20120194552A1/en</v>
      </c>
    </row>
    <row r="10667" spans="3:5" x14ac:dyDescent="0.25">
      <c r="C10667" t="s">
        <v>19707</v>
      </c>
      <c r="D10667" t="s">
        <v>19708</v>
      </c>
      <c r="E10667" t="str">
        <f>HYPERLINK("https://patents.google.com/patent/US20070186007A1/en")</f>
        <v>https://patents.google.com/patent/US20070186007A1/en</v>
      </c>
    </row>
    <row r="10668" spans="3:5" x14ac:dyDescent="0.25">
      <c r="C10668" t="s">
        <v>19709</v>
      </c>
      <c r="D10668" t="s">
        <v>19710</v>
      </c>
      <c r="E10668" t="str">
        <f>HYPERLINK("https://patents.google.com/patent/US20120206335A1/en")</f>
        <v>https://patents.google.com/patent/US20120206335A1/en</v>
      </c>
    </row>
    <row r="10669" spans="3:5" x14ac:dyDescent="0.25">
      <c r="C10669" t="s">
        <v>19711</v>
      </c>
      <c r="D10669" t="s">
        <v>19712</v>
      </c>
      <c r="E10669" t="str">
        <f>HYPERLINK("https://patents.google.com/patent/US20120212406A1/en")</f>
        <v>https://patents.google.com/patent/US20120212406A1/en</v>
      </c>
    </row>
    <row r="10670" spans="3:5" x14ac:dyDescent="0.25">
      <c r="C10670" t="s">
        <v>19713</v>
      </c>
      <c r="D10670" t="s">
        <v>19714</v>
      </c>
      <c r="E10670" t="str">
        <f>HYPERLINK("https://patents.google.com/patent/US20030113100A1/en")</f>
        <v>https://patents.google.com/patent/US20030113100A1/en</v>
      </c>
    </row>
    <row r="10671" spans="3:5" x14ac:dyDescent="0.25">
      <c r="C10671" t="s">
        <v>19715</v>
      </c>
      <c r="D10671" t="s">
        <v>19716</v>
      </c>
      <c r="E10671" t="str">
        <f>HYPERLINK("https://patents.google.com/patent/US20050250125A1/en")</f>
        <v>https://patents.google.com/patent/US20050250125A1/en</v>
      </c>
    </row>
    <row r="10672" spans="3:5" x14ac:dyDescent="0.25">
      <c r="C10672" t="s">
        <v>19717</v>
      </c>
      <c r="D10672" t="s">
        <v>19718</v>
      </c>
      <c r="E10672" t="str">
        <f>HYPERLINK("https://patents.google.com/patent/US20120236031A1/en")</f>
        <v>https://patents.google.com/patent/US20120236031A1/en</v>
      </c>
    </row>
    <row r="10673" spans="3:5" x14ac:dyDescent="0.25">
      <c r="C10673" t="s">
        <v>19719</v>
      </c>
      <c r="D10673" t="s">
        <v>19720</v>
      </c>
      <c r="E10673" t="str">
        <f>HYPERLINK("https://patents.google.com/patent/EP1087323A1/en")</f>
        <v>https://patents.google.com/patent/EP1087323A1/en</v>
      </c>
    </row>
    <row r="10674" spans="3:5" x14ac:dyDescent="0.25">
      <c r="C10674" t="s">
        <v>19721</v>
      </c>
      <c r="D10674" t="s">
        <v>19722</v>
      </c>
      <c r="E10674" t="str">
        <f>HYPERLINK("https://patents.google.com/patent/US20080262714A1/en")</f>
        <v>https://patents.google.com/patent/US20080262714A1/en</v>
      </c>
    </row>
    <row r="10675" spans="3:5" x14ac:dyDescent="0.25">
      <c r="C10675" t="s">
        <v>19723</v>
      </c>
      <c r="D10675" t="s">
        <v>19724</v>
      </c>
      <c r="E10675" t="str">
        <f>HYPERLINK("https://patents.google.com/patent/US20120194551A1/en")</f>
        <v>https://patents.google.com/patent/US20120194551A1/en</v>
      </c>
    </row>
    <row r="10676" spans="3:5" x14ac:dyDescent="0.25">
      <c r="C10676" t="s">
        <v>19725</v>
      </c>
      <c r="D10676" t="s">
        <v>19726</v>
      </c>
      <c r="E10676" t="str">
        <f>HYPERLINK("https://patents.google.com/patent/US20120236030A1/en")</f>
        <v>https://patents.google.com/patent/US20120236030A1/en</v>
      </c>
    </row>
    <row r="10677" spans="3:5" x14ac:dyDescent="0.25">
      <c r="C10677" t="s">
        <v>19433</v>
      </c>
      <c r="D10677" t="s">
        <v>19727</v>
      </c>
      <c r="E10677" t="str">
        <f>HYPERLINK("https://patents.google.com/patent/US20120235886A1/en")</f>
        <v>https://patents.google.com/patent/US20120235886A1/en</v>
      </c>
    </row>
    <row r="10678" spans="3:5" x14ac:dyDescent="0.25">
      <c r="C10678" t="s">
        <v>19728</v>
      </c>
      <c r="D10678" t="s">
        <v>19729</v>
      </c>
      <c r="E10678" t="str">
        <f>HYPERLINK("https://patents.google.com/patent/US20110289142A1/en")</f>
        <v>https://patents.google.com/patent/US20110289142A1/en</v>
      </c>
    </row>
    <row r="10679" spans="3:5" x14ac:dyDescent="0.25">
      <c r="C10679" t="s">
        <v>19730</v>
      </c>
      <c r="D10679" t="s">
        <v>19731</v>
      </c>
      <c r="E10679" t="str">
        <f>HYPERLINK("https://patents.google.com/patent/US20070005590A1/en")</f>
        <v>https://patents.google.com/patent/US20070005590A1/en</v>
      </c>
    </row>
    <row r="10680" spans="3:5" x14ac:dyDescent="0.25">
      <c r="C10680" t="s">
        <v>19732</v>
      </c>
      <c r="D10680" t="s">
        <v>19733</v>
      </c>
      <c r="E10680" t="str">
        <f>HYPERLINK("https://patents.google.com/patent/US20120206323A1/en")</f>
        <v>https://patents.google.com/patent/US20120206323A1/en</v>
      </c>
    </row>
    <row r="10681" spans="3:5" x14ac:dyDescent="0.25">
      <c r="C10681" t="s">
        <v>19734</v>
      </c>
      <c r="D10681" t="s">
        <v>19735</v>
      </c>
      <c r="E10681" t="str">
        <f>HYPERLINK("https://patents.google.com/patent/US20080162382A1/en")</f>
        <v>https://patents.google.com/patent/US20080162382A1/en</v>
      </c>
    </row>
    <row r="10682" spans="3:5" x14ac:dyDescent="0.25">
      <c r="C10682" t="s">
        <v>19654</v>
      </c>
      <c r="D10682" t="s">
        <v>19736</v>
      </c>
      <c r="E10682" t="str">
        <f>HYPERLINK("https://patents.google.com/patent/US20100175006A1/en")</f>
        <v>https://patents.google.com/patent/US20100175006A1/en</v>
      </c>
    </row>
    <row r="10683" spans="3:5" x14ac:dyDescent="0.25">
      <c r="C10683" t="s">
        <v>19737</v>
      </c>
      <c r="D10683" t="s">
        <v>19738</v>
      </c>
      <c r="E10683" t="str">
        <f>HYPERLINK("https://patents.google.com/patent/US20120242678A1/en")</f>
        <v>https://patents.google.com/patent/US20120242678A1/en</v>
      </c>
    </row>
    <row r="10684" spans="3:5" x14ac:dyDescent="0.25">
      <c r="C10684" t="s">
        <v>19739</v>
      </c>
      <c r="D10684" t="s">
        <v>19740</v>
      </c>
      <c r="E10684" t="str">
        <f>HYPERLINK("https://patents.google.com/patent/US20080120330A1/en")</f>
        <v>https://patents.google.com/patent/US20080120330A1/en</v>
      </c>
    </row>
    <row r="10685" spans="3:5" x14ac:dyDescent="0.25">
      <c r="C10685" t="s">
        <v>19741</v>
      </c>
      <c r="D10685" t="s">
        <v>19742</v>
      </c>
      <c r="E10685" t="str">
        <f>HYPERLINK("https://patents.google.com/patent/US20100076863A1/en")</f>
        <v>https://patents.google.com/patent/US20100076863A1/en</v>
      </c>
    </row>
    <row r="10686" spans="3:5" x14ac:dyDescent="0.25">
      <c r="C10686" t="s">
        <v>19743</v>
      </c>
      <c r="D10686" t="s">
        <v>19744</v>
      </c>
      <c r="E10686" t="str">
        <f>HYPERLINK("https://patents.google.com/patent/US20120206334A1/en")</f>
        <v>https://patents.google.com/patent/US20120206334A1/en</v>
      </c>
    </row>
    <row r="10687" spans="3:5" x14ac:dyDescent="0.25">
      <c r="C10687" t="s">
        <v>19745</v>
      </c>
      <c r="D10687" t="s">
        <v>19746</v>
      </c>
      <c r="E10687" t="str">
        <f>HYPERLINK("https://patents.google.com/patent/US20090052863A1/en")</f>
        <v>https://patents.google.com/patent/US20090052863A1/en</v>
      </c>
    </row>
    <row r="10688" spans="3:5" x14ac:dyDescent="0.25">
      <c r="C10688" t="s">
        <v>19747</v>
      </c>
      <c r="D10688" t="s">
        <v>19748</v>
      </c>
      <c r="E10688" t="str">
        <f>HYPERLINK("https://patents.google.com/patent/US20120235883A1/en")</f>
        <v>https://patents.google.com/patent/US20120235883A1/en</v>
      </c>
    </row>
    <row r="10689" spans="3:5" x14ac:dyDescent="0.25">
      <c r="C10689" t="s">
        <v>19749</v>
      </c>
      <c r="D10689" t="s">
        <v>19750</v>
      </c>
      <c r="E10689" t="str">
        <f>HYPERLINK("https://patents.google.com/patent/US20070255805A1/en")</f>
        <v>https://patents.google.com/patent/US20070255805A1/en</v>
      </c>
    </row>
    <row r="10690" spans="3:5" x14ac:dyDescent="0.25">
      <c r="C10690" t="s">
        <v>19751</v>
      </c>
      <c r="D10690" t="s">
        <v>19752</v>
      </c>
      <c r="E10690" t="str">
        <f>HYPERLINK("https://patents.google.com/patent/US20110214050A1/en")</f>
        <v>https://patents.google.com/patent/US20110214050A1/en</v>
      </c>
    </row>
    <row r="10691" spans="3:5" x14ac:dyDescent="0.25">
      <c r="C10691" t="s">
        <v>19753</v>
      </c>
      <c r="D10691" t="s">
        <v>19754</v>
      </c>
      <c r="E10691" t="str">
        <f>HYPERLINK("https://patents.google.com/patent/US20120235887A1/en")</f>
        <v>https://patents.google.com/patent/US20120235887A1/en</v>
      </c>
    </row>
    <row r="10692" spans="3:5" x14ac:dyDescent="0.25">
      <c r="C10692" t="s">
        <v>19755</v>
      </c>
      <c r="D10692" t="s">
        <v>19756</v>
      </c>
      <c r="E10692" t="str">
        <f>HYPERLINK("https://patents.google.com/patent/US20050096937A1/en")</f>
        <v>https://patents.google.com/patent/US20050096937A1/en</v>
      </c>
    </row>
    <row r="10693" spans="3:5" x14ac:dyDescent="0.25">
      <c r="C10693" t="s">
        <v>19757</v>
      </c>
      <c r="D10693" t="s">
        <v>19758</v>
      </c>
      <c r="E10693" t="str">
        <f>HYPERLINK("https://patents.google.com/patent/US20070162501A1/en")</f>
        <v>https://patents.google.com/patent/US20070162501A1/en</v>
      </c>
    </row>
    <row r="10694" spans="3:5" x14ac:dyDescent="0.25">
      <c r="C10694" t="s">
        <v>19759</v>
      </c>
      <c r="D10694" t="s">
        <v>19760</v>
      </c>
      <c r="E10694" t="str">
        <f>HYPERLINK("https://patents.google.com/patent/US20120072420A1/en")</f>
        <v>https://patents.google.com/patent/US20120072420A1/en</v>
      </c>
    </row>
    <row r="10695" spans="3:5" x14ac:dyDescent="0.25">
      <c r="C10695" t="s">
        <v>19761</v>
      </c>
      <c r="D10695" t="s">
        <v>19762</v>
      </c>
      <c r="E10695" t="str">
        <f>HYPERLINK("https://patents.google.com/patent/US20080120311A1/en")</f>
        <v>https://patents.google.com/patent/US20080120311A1/en</v>
      </c>
    </row>
    <row r="10696" spans="3:5" x14ac:dyDescent="0.25">
      <c r="C10696" t="s">
        <v>19763</v>
      </c>
      <c r="D10696" t="s">
        <v>19764</v>
      </c>
      <c r="E10696" t="str">
        <f>HYPERLINK("https://patents.google.com/patent/US20070185777A1/en")</f>
        <v>https://patents.google.com/patent/US20070185777A1/en</v>
      </c>
    </row>
    <row r="10697" spans="3:5" x14ac:dyDescent="0.25">
      <c r="C10697" t="s">
        <v>19765</v>
      </c>
      <c r="D10697" t="s">
        <v>19766</v>
      </c>
      <c r="E10697" t="str">
        <f>HYPERLINK("https://patents.google.com/patent/US20120206322A1/en")</f>
        <v>https://patents.google.com/patent/US20120206322A1/en</v>
      </c>
    </row>
    <row r="10698" spans="3:5" x14ac:dyDescent="0.25">
      <c r="C10698" t="s">
        <v>19767</v>
      </c>
      <c r="D10698" t="s">
        <v>19768</v>
      </c>
      <c r="E10698" t="str">
        <f>HYPERLINK("https://patents.google.com/patent/US20060190808A1/en")</f>
        <v>https://patents.google.com/patent/US20060190808A1/en</v>
      </c>
    </row>
    <row r="10699" spans="3:5" x14ac:dyDescent="0.25">
      <c r="C10699" t="s">
        <v>19769</v>
      </c>
      <c r="D10699" t="s">
        <v>19770</v>
      </c>
      <c r="E10699" t="str">
        <f>HYPERLINK("https://patents.google.com/patent/US20080140702A1/en")</f>
        <v>https://patents.google.com/patent/US20080140702A1/en</v>
      </c>
    </row>
    <row r="10700" spans="3:5" x14ac:dyDescent="0.25">
      <c r="C10700" t="s">
        <v>19771</v>
      </c>
      <c r="D10700" t="s">
        <v>19772</v>
      </c>
      <c r="E10700" t="str">
        <f>HYPERLINK("https://patents.google.com/patent/US20080120312A1/en")</f>
        <v>https://patents.google.com/patent/US20080120312A1/en</v>
      </c>
    </row>
    <row r="10701" spans="3:5" x14ac:dyDescent="0.25">
      <c r="C10701" t="s">
        <v>19773</v>
      </c>
      <c r="D10701" t="s">
        <v>19774</v>
      </c>
      <c r="E10701" t="str">
        <f>HYPERLINK("https://patents.google.com/patent/US20080263640A1/en")</f>
        <v>https://patents.google.com/patent/US20080263640A1/en</v>
      </c>
    </row>
    <row r="10702" spans="3:5" x14ac:dyDescent="0.25">
      <c r="C10702" t="s">
        <v>19775</v>
      </c>
      <c r="D10702" t="s">
        <v>19776</v>
      </c>
      <c r="E10702" t="str">
        <f>HYPERLINK("https://patents.google.com/patent/US20130325870A1/en")</f>
        <v>https://patents.google.com/patent/US20130325870A1/en</v>
      </c>
    </row>
    <row r="10703" spans="3:5" x14ac:dyDescent="0.25">
      <c r="C10703" t="s">
        <v>19777</v>
      </c>
      <c r="D10703" t="s">
        <v>19778</v>
      </c>
      <c r="E10703" t="str">
        <f>HYPERLINK("https://patents.google.com/patent/US20120235884A1/en")</f>
        <v>https://patents.google.com/patent/US20120235884A1/en</v>
      </c>
    </row>
    <row r="10704" spans="3:5" x14ac:dyDescent="0.25">
      <c r="C10704" t="s">
        <v>19779</v>
      </c>
      <c r="D10704" t="s">
        <v>19780</v>
      </c>
      <c r="E10704" t="str">
        <f>HYPERLINK("https://patents.google.com/patent/US20120200499A1/en")</f>
        <v>https://patents.google.com/patent/US20120200499A1/en</v>
      </c>
    </row>
    <row r="10705" spans="3:5" x14ac:dyDescent="0.25">
      <c r="C10705" t="s">
        <v>19781</v>
      </c>
      <c r="D10705" t="s">
        <v>19782</v>
      </c>
      <c r="E10705" t="str">
        <f>HYPERLINK("https://patents.google.com/patent/CN103198385A/en")</f>
        <v>https://patents.google.com/patent/CN103198385A/en</v>
      </c>
    </row>
    <row r="10706" spans="3:5" x14ac:dyDescent="0.25">
      <c r="C10706" t="s">
        <v>19783</v>
      </c>
      <c r="D10706" t="s">
        <v>19784</v>
      </c>
      <c r="E10706" t="str">
        <f>HYPERLINK("https://patents.google.com/patent/US20020089534A1/en")</f>
        <v>https://patents.google.com/patent/US20020089534A1/en</v>
      </c>
    </row>
    <row r="10707" spans="3:5" x14ac:dyDescent="0.25">
      <c r="C10707" t="s">
        <v>19785</v>
      </c>
      <c r="D10707" t="s">
        <v>19786</v>
      </c>
      <c r="E10707" t="str">
        <f>HYPERLINK("https://patents.google.com/patent/US20120200488A1/en")</f>
        <v>https://patents.google.com/patent/US20120200488A1/en</v>
      </c>
    </row>
    <row r="10708" spans="3:5" x14ac:dyDescent="0.25">
      <c r="C10708" t="s">
        <v>19787</v>
      </c>
      <c r="D10708" t="s">
        <v>19788</v>
      </c>
      <c r="E10708" t="str">
        <f>HYPERLINK("https://patents.google.com/patent/US20080171602A1/en")</f>
        <v>https://patents.google.com/patent/US20080171602A1/en</v>
      </c>
    </row>
    <row r="10709" spans="3:5" x14ac:dyDescent="0.25">
      <c r="C10709" t="s">
        <v>19789</v>
      </c>
      <c r="D10709" t="s">
        <v>19790</v>
      </c>
      <c r="E10709" t="str">
        <f>HYPERLINK("https://patents.google.com/patent/US20100125562A1/en")</f>
        <v>https://patents.google.com/patent/US20100125562A1/en</v>
      </c>
    </row>
    <row r="10710" spans="3:5" x14ac:dyDescent="0.25">
      <c r="C10710" t="s">
        <v>19791</v>
      </c>
      <c r="D10710" t="s">
        <v>19792</v>
      </c>
      <c r="E10710" t="str">
        <f>HYPERLINK("https://patents.google.com/patent/US20160149956A1/en")</f>
        <v>https://patents.google.com/patent/US20160149956A1/en</v>
      </c>
    </row>
    <row r="10711" spans="3:5" x14ac:dyDescent="0.25">
      <c r="C10711" t="s">
        <v>19793</v>
      </c>
      <c r="D10711" t="s">
        <v>19794</v>
      </c>
      <c r="E10711" t="str">
        <f>HYPERLINK("https://patents.google.com/patent/US20080216107A1/en")</f>
        <v>https://patents.google.com/patent/US20080216107A1/en</v>
      </c>
    </row>
    <row r="10712" spans="3:5" x14ac:dyDescent="0.25">
      <c r="C10712" t="s">
        <v>19705</v>
      </c>
      <c r="D10712" t="s">
        <v>19795</v>
      </c>
      <c r="E10712" t="str">
        <f>HYPERLINK("https://patents.google.com/patent/US20150309316A1/en")</f>
        <v>https://patents.google.com/patent/US20150309316A1/en</v>
      </c>
    </row>
    <row r="10713" spans="3:5" x14ac:dyDescent="0.25">
      <c r="C10713" t="s">
        <v>19796</v>
      </c>
      <c r="D10713" t="s">
        <v>19797</v>
      </c>
      <c r="E10713" t="str">
        <f>HYPERLINK("https://patents.google.com/patent/US20120240177A1/en")</f>
        <v>https://patents.google.com/patent/US20120240177A1/en</v>
      </c>
    </row>
    <row r="10714" spans="3:5" x14ac:dyDescent="0.25">
      <c r="C10714" t="s">
        <v>19798</v>
      </c>
      <c r="D10714" t="s">
        <v>19799</v>
      </c>
      <c r="E10714" t="str">
        <f>HYPERLINK("https://patents.google.com/patent/US20120046110A1/en")</f>
        <v>https://patents.google.com/patent/US20120046110A1/en</v>
      </c>
    </row>
    <row r="10715" spans="3:5" x14ac:dyDescent="0.25">
      <c r="C10715" t="s">
        <v>19800</v>
      </c>
      <c r="D10715" t="s">
        <v>19801</v>
      </c>
      <c r="E10715" t="str">
        <f>HYPERLINK("https://patents.google.com/patent/US20100191608A1/en")</f>
        <v>https://patents.google.com/patent/US20100191608A1/en</v>
      </c>
    </row>
    <row r="10716" spans="3:5" x14ac:dyDescent="0.25">
      <c r="C10716" t="s">
        <v>19802</v>
      </c>
      <c r="D10716" t="s">
        <v>19803</v>
      </c>
      <c r="E10716" t="str">
        <f>HYPERLINK("https://patents.google.com/patent/US20040036611A1/en")</f>
        <v>https://patents.google.com/patent/US20040036611A1/en</v>
      </c>
    </row>
    <row r="10717" spans="3:5" x14ac:dyDescent="0.25">
      <c r="C10717" t="s">
        <v>19804</v>
      </c>
      <c r="D10717" t="s">
        <v>19805</v>
      </c>
      <c r="E10717" t="str">
        <f>HYPERLINK("https://patents.google.com/patent/US20080126171A1/en")</f>
        <v>https://patents.google.com/patent/US20080126171A1/en</v>
      </c>
    </row>
    <row r="10718" spans="3:5" x14ac:dyDescent="0.25">
      <c r="C10718" t="s">
        <v>19806</v>
      </c>
      <c r="D10718" t="s">
        <v>19807</v>
      </c>
      <c r="E10718" t="str">
        <f>HYPERLINK("https://patents.google.com/patent/US20140173660A1/en")</f>
        <v>https://patents.google.com/patent/US20140173660A1/en</v>
      </c>
    </row>
    <row r="10719" spans="3:5" x14ac:dyDescent="0.25">
      <c r="C10719" t="s">
        <v>19808</v>
      </c>
      <c r="D10719" t="s">
        <v>19809</v>
      </c>
      <c r="E10719" t="str">
        <f>HYPERLINK("https://patents.google.com/patent/US8312484B1/en")</f>
        <v>https://patents.google.com/patent/US8312484B1/en</v>
      </c>
    </row>
    <row r="10720" spans="3:5" x14ac:dyDescent="0.25">
      <c r="C10720" t="s">
        <v>19654</v>
      </c>
      <c r="D10720" t="s">
        <v>19810</v>
      </c>
      <c r="E10720" t="str">
        <f>HYPERLINK("https://patents.google.com/patent/US20120197896A1/en")</f>
        <v>https://patents.google.com/patent/US20120197896A1/en</v>
      </c>
    </row>
    <row r="10721" spans="3:5" x14ac:dyDescent="0.25">
      <c r="C10721" t="s">
        <v>19811</v>
      </c>
      <c r="D10721" t="s">
        <v>19812</v>
      </c>
      <c r="E10721" t="str">
        <f>HYPERLINK("https://patents.google.com/patent/US20080005669A1/en")</f>
        <v>https://patents.google.com/patent/US20080005669A1/en</v>
      </c>
    </row>
    <row r="10722" spans="3:5" x14ac:dyDescent="0.25">
      <c r="C10722" t="s">
        <v>19813</v>
      </c>
      <c r="D10722" t="s">
        <v>19814</v>
      </c>
      <c r="E10722" t="str">
        <f>HYPERLINK("https://patents.google.com/patent/US20120249586A1/en")</f>
        <v>https://patents.google.com/patent/US20120249586A1/en</v>
      </c>
    </row>
    <row r="10723" spans="3:5" x14ac:dyDescent="0.25">
      <c r="C10723" t="s">
        <v>19815</v>
      </c>
      <c r="D10723" t="s">
        <v>19816</v>
      </c>
      <c r="E10723" t="str">
        <f>HYPERLINK("https://patents.google.com/patent/US20100113065A1/en")</f>
        <v>https://patents.google.com/patent/US20100113065A1/en</v>
      </c>
    </row>
    <row r="10724" spans="3:5" x14ac:dyDescent="0.25">
      <c r="C10724" t="s">
        <v>19817</v>
      </c>
      <c r="D10724" t="s">
        <v>19818</v>
      </c>
      <c r="E10724" t="str">
        <f>HYPERLINK("https://patents.google.com/patent/US6208717B1/en")</f>
        <v>https://patents.google.com/patent/US6208717B1/en</v>
      </c>
    </row>
    <row r="10725" spans="3:5" x14ac:dyDescent="0.25">
      <c r="C10725" t="s">
        <v>19819</v>
      </c>
      <c r="D10725" t="s">
        <v>19820</v>
      </c>
      <c r="E10725" t="str">
        <f>HYPERLINK("https://patents.google.com/patent/US20120246024A1/en")</f>
        <v>https://patents.google.com/patent/US20120246024A1/en</v>
      </c>
    </row>
    <row r="10726" spans="3:5" x14ac:dyDescent="0.25">
      <c r="C10726" t="s">
        <v>19821</v>
      </c>
      <c r="D10726" t="s">
        <v>19822</v>
      </c>
      <c r="E10726" t="str">
        <f>HYPERLINK("https://patents.google.com/patent/US20110300916A1/en")</f>
        <v>https://patents.google.com/patent/US20110300916A1/en</v>
      </c>
    </row>
    <row r="10727" spans="3:5" x14ac:dyDescent="0.25">
      <c r="C10727" t="s">
        <v>19823</v>
      </c>
      <c r="D10727" t="s">
        <v>19824</v>
      </c>
      <c r="E10727" t="str">
        <f>HYPERLINK("https://patents.google.com/patent/US20020144007A1/en")</f>
        <v>https://patents.google.com/patent/US20020144007A1/en</v>
      </c>
    </row>
    <row r="10728" spans="3:5" x14ac:dyDescent="0.25">
      <c r="C10728" t="s">
        <v>19825</v>
      </c>
      <c r="D10728" t="s">
        <v>19826</v>
      </c>
      <c r="E10728" t="str">
        <f>HYPERLINK("https://patents.google.com/patent/US20070185721A1/en")</f>
        <v>https://patents.google.com/patent/US20070185721A1/en</v>
      </c>
    </row>
    <row r="10729" spans="3:5" x14ac:dyDescent="0.25">
      <c r="C10729" t="s">
        <v>19827</v>
      </c>
      <c r="D10729" t="s">
        <v>19828</v>
      </c>
      <c r="E10729" t="str">
        <f>HYPERLINK("https://patents.google.com/patent/US20110292299A1/en")</f>
        <v>https://patents.google.com/patent/US20110292299A1/en</v>
      </c>
    </row>
    <row r="10730" spans="3:5" x14ac:dyDescent="0.25">
      <c r="C10730" t="s">
        <v>19829</v>
      </c>
      <c r="D10730" t="s">
        <v>19830</v>
      </c>
      <c r="E10730" t="str">
        <f>HYPERLINK("https://patents.google.com/patent/WO1994011967A1/en")</f>
        <v>https://patents.google.com/patent/WO1994011967A1/en</v>
      </c>
    </row>
    <row r="10731" spans="3:5" x14ac:dyDescent="0.25">
      <c r="C10731" t="s">
        <v>19831</v>
      </c>
      <c r="D10731" t="s">
        <v>19832</v>
      </c>
      <c r="E10731" t="str">
        <f>HYPERLINK("https://patents.google.com/patent/US20090287596A1/en")</f>
        <v>https://patents.google.com/patent/US20090287596A1/en</v>
      </c>
    </row>
    <row r="10732" spans="3:5" x14ac:dyDescent="0.25">
      <c r="C10732" t="s">
        <v>19833</v>
      </c>
      <c r="D10732" t="s">
        <v>19834</v>
      </c>
      <c r="E10732" t="str">
        <f>HYPERLINK("https://patents.google.com/patent/US7562028B1/en")</f>
        <v>https://patents.google.com/patent/US7562028B1/en</v>
      </c>
    </row>
    <row r="10733" spans="3:5" x14ac:dyDescent="0.25">
      <c r="C10733" t="s">
        <v>19835</v>
      </c>
      <c r="D10733" t="s">
        <v>19836</v>
      </c>
      <c r="E10733" t="str">
        <f>HYPERLINK("https://patents.google.com/patent/US20100296801A1/en")</f>
        <v>https://patents.google.com/patent/US20100296801A1/en</v>
      </c>
    </row>
    <row r="10734" spans="3:5" x14ac:dyDescent="0.25">
      <c r="C10734" t="s">
        <v>8441</v>
      </c>
      <c r="D10734" t="s">
        <v>19837</v>
      </c>
      <c r="E10734" t="str">
        <f>HYPERLINK("https://patents.google.com/patent/US20110269534A1/en")</f>
        <v>https://patents.google.com/patent/US20110269534A1/en</v>
      </c>
    </row>
    <row r="10735" spans="3:5" x14ac:dyDescent="0.25">
      <c r="C10735" t="s">
        <v>19838</v>
      </c>
      <c r="D10735" t="s">
        <v>19839</v>
      </c>
      <c r="E10735" t="str">
        <f>HYPERLINK("https://patents.google.com/patent/US20080238768A1/en")</f>
        <v>https://patents.google.com/patent/US20080238768A1/en</v>
      </c>
    </row>
    <row r="10736" spans="3:5" x14ac:dyDescent="0.25">
      <c r="C10736" t="s">
        <v>19840</v>
      </c>
      <c r="D10736" t="s">
        <v>19841</v>
      </c>
      <c r="E10736" t="str">
        <f>HYPERLINK("https://patents.google.com/patent/US20130314214A1/en")</f>
        <v>https://patents.google.com/patent/US20130314214A1/en</v>
      </c>
    </row>
    <row r="10737" spans="3:5" x14ac:dyDescent="0.25">
      <c r="C10737" t="s">
        <v>19842</v>
      </c>
      <c r="D10737" t="s">
        <v>19843</v>
      </c>
      <c r="E10737" t="str">
        <f>HYPERLINK("https://patents.google.com/patent/US20090307234A1/en")</f>
        <v>https://patents.google.com/patent/US20090307234A1/en</v>
      </c>
    </row>
    <row r="10738" spans="3:5" x14ac:dyDescent="0.25">
      <c r="C10738" t="s">
        <v>19505</v>
      </c>
      <c r="D10738" t="s">
        <v>19844</v>
      </c>
      <c r="E10738" t="str">
        <f>HYPERLINK("https://patents.google.com/patent/WO2002102079A1/en")</f>
        <v>https://patents.google.com/patent/WO2002102079A1/en</v>
      </c>
    </row>
    <row r="10739" spans="3:5" x14ac:dyDescent="0.25">
      <c r="C10739" t="s">
        <v>19845</v>
      </c>
      <c r="D10739" t="s">
        <v>19846</v>
      </c>
      <c r="E10739" t="str">
        <f>HYPERLINK("https://patents.google.com/patent/US20120143952A1/en")</f>
        <v>https://patents.google.com/patent/US20120143952A1/en</v>
      </c>
    </row>
    <row r="10740" spans="3:5" x14ac:dyDescent="0.25">
      <c r="C10740" t="s">
        <v>19847</v>
      </c>
      <c r="D10740" t="s">
        <v>19848</v>
      </c>
      <c r="E10740" t="str">
        <f>HYPERLINK("https://patents.google.com/patent/US20030004861A1/en")</f>
        <v>https://patents.google.com/patent/US20030004861A1/en</v>
      </c>
    </row>
    <row r="10741" spans="3:5" x14ac:dyDescent="0.25">
      <c r="C10741" t="s">
        <v>19849</v>
      </c>
      <c r="D10741" t="s">
        <v>19850</v>
      </c>
      <c r="E10741" t="str">
        <f>HYPERLINK("https://patents.google.com/patent/US20100005156A1/en")</f>
        <v>https://patents.google.com/patent/US20100005156A1/en</v>
      </c>
    </row>
    <row r="10742" spans="3:5" x14ac:dyDescent="0.25">
      <c r="C10742" t="s">
        <v>19798</v>
      </c>
      <c r="D10742" t="s">
        <v>19851</v>
      </c>
      <c r="E10742" t="str">
        <f>HYPERLINK("https://patents.google.com/patent/US20120058826A1/en")</f>
        <v>https://patents.google.com/patent/US20120058826A1/en</v>
      </c>
    </row>
    <row r="10743" spans="3:5" x14ac:dyDescent="0.25">
      <c r="C10743" t="s">
        <v>19852</v>
      </c>
      <c r="D10743" t="s">
        <v>19853</v>
      </c>
      <c r="E10743" t="str">
        <f>HYPERLINK("https://patents.google.com/patent/US20120092348A1/en")</f>
        <v>https://patents.google.com/patent/US20120092348A1/en</v>
      </c>
    </row>
    <row r="10744" spans="3:5" x14ac:dyDescent="0.25">
      <c r="C10744" t="s">
        <v>8332</v>
      </c>
      <c r="D10744" t="s">
        <v>19854</v>
      </c>
      <c r="E10744" t="str">
        <f>HYPERLINK("https://patents.google.com/patent/US7823905B2/en")</f>
        <v>https://patents.google.com/patent/US7823905B2/en</v>
      </c>
    </row>
    <row r="10745" spans="3:5" x14ac:dyDescent="0.25">
      <c r="C10745" t="s">
        <v>19855</v>
      </c>
      <c r="D10745" t="s">
        <v>19856</v>
      </c>
      <c r="E10745" t="str">
        <f>HYPERLINK("https://patents.google.com/patent/US20110161802A1/en")</f>
        <v>https://patents.google.com/patent/US20110161802A1/en</v>
      </c>
    </row>
    <row r="10746" spans="3:5" x14ac:dyDescent="0.25">
      <c r="C10746" t="s">
        <v>19857</v>
      </c>
      <c r="D10746" t="s">
        <v>19858</v>
      </c>
      <c r="E10746" t="str">
        <f>HYPERLINK("https://patents.google.com/patent/US20070054745A1/en")</f>
        <v>https://patents.google.com/patent/US20070054745A1/en</v>
      </c>
    </row>
    <row r="10747" spans="3:5" x14ac:dyDescent="0.25">
      <c r="C10747" t="s">
        <v>19859</v>
      </c>
      <c r="D10747" t="s">
        <v>19860</v>
      </c>
      <c r="E10747" t="str">
        <f>HYPERLINK("https://patents.google.com/patent/US20120072463A1/en")</f>
        <v>https://patents.google.com/patent/US20120072463A1/en</v>
      </c>
    </row>
    <row r="10748" spans="3:5" x14ac:dyDescent="0.25">
      <c r="C10748" t="s">
        <v>19861</v>
      </c>
      <c r="D10748" t="s">
        <v>19862</v>
      </c>
      <c r="E10748" t="str">
        <f>HYPERLINK("https://patents.google.com/patent/US20130117155A1/en")</f>
        <v>https://patents.google.com/patent/US20130117155A1/en</v>
      </c>
    </row>
    <row r="10749" spans="3:5" x14ac:dyDescent="0.25">
      <c r="C10749" t="s">
        <v>19863</v>
      </c>
      <c r="D10749" t="s">
        <v>19864</v>
      </c>
      <c r="E10749" t="str">
        <f>HYPERLINK("https://patents.google.com/patent/WO2013038433A1/en")</f>
        <v>https://patents.google.com/patent/WO2013038433A1/en</v>
      </c>
    </row>
    <row r="10750" spans="3:5" x14ac:dyDescent="0.25">
      <c r="C10750" t="s">
        <v>15691</v>
      </c>
      <c r="D10750" t="s">
        <v>19865</v>
      </c>
      <c r="E10750" t="str">
        <f>HYPERLINK("https://patents.google.com/patent/US20140129354A1/en")</f>
        <v>https://patents.google.com/patent/US20140129354A1/en</v>
      </c>
    </row>
    <row r="10751" spans="3:5" x14ac:dyDescent="0.25">
      <c r="C10751" t="s">
        <v>19866</v>
      </c>
      <c r="D10751" t="s">
        <v>19867</v>
      </c>
      <c r="E10751" t="str">
        <f>HYPERLINK("https://patents.google.com/patent/CN101561969A/en")</f>
        <v>https://patents.google.com/patent/CN101561969A/en</v>
      </c>
    </row>
    <row r="10752" spans="3:5" x14ac:dyDescent="0.25">
      <c r="C10752" t="s">
        <v>19868</v>
      </c>
      <c r="D10752" t="s">
        <v>19869</v>
      </c>
      <c r="E10752" t="str">
        <f>HYPERLINK("https://patents.google.com/patent/JP2013517566A/en")</f>
        <v>https://patents.google.com/patent/JP2013517566A/en</v>
      </c>
    </row>
    <row r="10753" spans="3:5" x14ac:dyDescent="0.25">
      <c r="C10753" t="s">
        <v>19493</v>
      </c>
      <c r="D10753" t="s">
        <v>19870</v>
      </c>
      <c r="E10753" t="str">
        <f>HYPERLINK("https://patents.google.com/patent/WO2012037290A2/en")</f>
        <v>https://patents.google.com/patent/WO2012037290A2/en</v>
      </c>
    </row>
    <row r="10754" spans="3:5" x14ac:dyDescent="0.25">
      <c r="C10754" t="s">
        <v>19871</v>
      </c>
      <c r="D10754" t="s">
        <v>19872</v>
      </c>
      <c r="E10754" t="str">
        <f>HYPERLINK("https://patents.google.com/patent/CN101561825A/en")</f>
        <v>https://patents.google.com/patent/CN101561825A/en</v>
      </c>
    </row>
    <row r="10755" spans="3:5" x14ac:dyDescent="0.25">
      <c r="C10755" t="s">
        <v>19873</v>
      </c>
      <c r="D10755" t="s">
        <v>19874</v>
      </c>
      <c r="E10755" t="str">
        <f>HYPERLINK("https://patents.google.com/patent/WO2008142472A1/en")</f>
        <v>https://patents.google.com/patent/WO2008142472A1/en</v>
      </c>
    </row>
    <row r="10756" spans="3:5" x14ac:dyDescent="0.25">
      <c r="C10756" t="s">
        <v>19875</v>
      </c>
      <c r="D10756" t="s">
        <v>19876</v>
      </c>
      <c r="E10756" t="str">
        <f>HYPERLINK("https://patents.google.com/patent/US20120072419A1/en")</f>
        <v>https://patents.google.com/patent/US20120072419A1/en</v>
      </c>
    </row>
    <row r="10757" spans="3:5" x14ac:dyDescent="0.25">
      <c r="C10757" t="s">
        <v>19877</v>
      </c>
      <c r="D10757" t="s">
        <v>19878</v>
      </c>
      <c r="E10757" t="str">
        <f>HYPERLINK("https://patents.google.com/patent/US20050060238A1/en")</f>
        <v>https://patents.google.com/patent/US20050060238A1/en</v>
      </c>
    </row>
    <row r="10758" spans="3:5" x14ac:dyDescent="0.25">
      <c r="C10758" t="s">
        <v>19879</v>
      </c>
      <c r="D10758" t="s">
        <v>19880</v>
      </c>
      <c r="E10758" t="str">
        <f>HYPERLINK("https://patents.google.com/patent/US20110173146A1/en")</f>
        <v>https://patents.google.com/patent/US20110173146A1/en</v>
      </c>
    </row>
    <row r="10759" spans="3:5" x14ac:dyDescent="0.25">
      <c r="C10759" t="s">
        <v>19881</v>
      </c>
      <c r="D10759" t="s">
        <v>19882</v>
      </c>
      <c r="E10759" t="str">
        <f>HYPERLINK("https://patents.google.com/patent/US20110244882A1/en")</f>
        <v>https://patents.google.com/patent/US20110244882A1/en</v>
      </c>
    </row>
    <row r="10760" spans="3:5" x14ac:dyDescent="0.25">
      <c r="C10760" t="s">
        <v>19883</v>
      </c>
      <c r="D10760" t="s">
        <v>19884</v>
      </c>
      <c r="E10760" t="str">
        <f>HYPERLINK("https://patents.google.com/patent/US20010034624A1/en")</f>
        <v>https://patents.google.com/patent/US20010034624A1/en</v>
      </c>
    </row>
    <row r="10761" spans="3:5" x14ac:dyDescent="0.25">
      <c r="C10761" t="s">
        <v>19885</v>
      </c>
      <c r="D10761" t="s">
        <v>19886</v>
      </c>
      <c r="E10761" t="str">
        <f>HYPERLINK("https://patents.google.com/patent/WO2001017169A2/en")</f>
        <v>https://patents.google.com/patent/WO2001017169A2/en</v>
      </c>
    </row>
    <row r="10762" spans="3:5" x14ac:dyDescent="0.25">
      <c r="C10762" t="s">
        <v>19887</v>
      </c>
      <c r="D10762" t="s">
        <v>19888</v>
      </c>
      <c r="E10762" t="str">
        <f>HYPERLINK("https://patents.google.com/patent/US20060116930A1/en")</f>
        <v>https://patents.google.com/patent/US20060116930A1/en</v>
      </c>
    </row>
    <row r="10763" spans="3:5" x14ac:dyDescent="0.25">
      <c r="C10763" t="s">
        <v>19889</v>
      </c>
      <c r="D10763" t="s">
        <v>19890</v>
      </c>
      <c r="E10763" t="str">
        <f>HYPERLINK("https://patents.google.com/patent/US20120151509A1/en")</f>
        <v>https://patents.google.com/patent/US20120151509A1/en</v>
      </c>
    </row>
    <row r="10764" spans="3:5" x14ac:dyDescent="0.25">
      <c r="C10764" t="s">
        <v>19891</v>
      </c>
      <c r="D10764" t="s">
        <v>19892</v>
      </c>
      <c r="E10764" t="str">
        <f>HYPERLINK("https://patents.google.com/patent/EP1003017A2/en")</f>
        <v>https://patents.google.com/patent/EP1003017A2/en</v>
      </c>
    </row>
    <row r="10765" spans="3:5" x14ac:dyDescent="0.25">
      <c r="C10765" t="s">
        <v>19893</v>
      </c>
      <c r="D10765" t="s">
        <v>19894</v>
      </c>
      <c r="E10765" t="str">
        <f>HYPERLINK("https://patents.google.com/patent/US20120042000A1/en")</f>
        <v>https://patents.google.com/patent/US20120042000A1/en</v>
      </c>
    </row>
    <row r="10766" spans="3:5" x14ac:dyDescent="0.25">
      <c r="C10766" t="s">
        <v>19895</v>
      </c>
      <c r="D10766" t="s">
        <v>19896</v>
      </c>
      <c r="E10766" t="str">
        <f>HYPERLINK("https://patents.google.com/patent/CN1932799A/en")</f>
        <v>https://patents.google.com/patent/CN1932799A/en</v>
      </c>
    </row>
    <row r="10767" spans="3:5" x14ac:dyDescent="0.25">
      <c r="C10767" t="s">
        <v>19897</v>
      </c>
      <c r="D10767" t="s">
        <v>19898</v>
      </c>
      <c r="E10767" t="str">
        <f>HYPERLINK("https://patents.google.com/patent/CN101022353A/en")</f>
        <v>https://patents.google.com/patent/CN101022353A/en</v>
      </c>
    </row>
    <row r="10768" spans="3:5" x14ac:dyDescent="0.25">
      <c r="C10768" t="s">
        <v>19899</v>
      </c>
      <c r="D10768" t="s">
        <v>19900</v>
      </c>
      <c r="E10768" t="str">
        <f>HYPERLINK("https://patents.google.com/patent/US20150067512A1/en")</f>
        <v>https://patents.google.com/patent/US20150067512A1/en</v>
      </c>
    </row>
    <row r="10769" spans="3:5" x14ac:dyDescent="0.25">
      <c r="C10769" t="s">
        <v>19901</v>
      </c>
      <c r="D10769" t="s">
        <v>19902</v>
      </c>
      <c r="E10769" t="str">
        <f>HYPERLINK("https://patents.google.com/patent/US20120233631A1/en")</f>
        <v>https://patents.google.com/patent/US20120233631A1/en</v>
      </c>
    </row>
    <row r="10770" spans="3:5" x14ac:dyDescent="0.25">
      <c r="C10770" t="s">
        <v>19903</v>
      </c>
      <c r="D10770" t="s">
        <v>19904</v>
      </c>
      <c r="E10770" t="str">
        <f>HYPERLINK("https://patents.google.com/patent/US20090062017A1/en")</f>
        <v>https://patents.google.com/patent/US20090062017A1/en</v>
      </c>
    </row>
    <row r="10771" spans="3:5" x14ac:dyDescent="0.25">
      <c r="C10771" t="s">
        <v>19905</v>
      </c>
      <c r="D10771" t="s">
        <v>19906</v>
      </c>
      <c r="E10771" t="str">
        <f>HYPERLINK("https://patents.google.com/patent/CN103268115A/en")</f>
        <v>https://patents.google.com/patent/CN103268115A/en</v>
      </c>
    </row>
    <row r="10772" spans="3:5" x14ac:dyDescent="0.25">
      <c r="C10772" t="s">
        <v>19747</v>
      </c>
      <c r="D10772" t="s">
        <v>19907</v>
      </c>
      <c r="E10772" t="str">
        <f>HYPERLINK("https://patents.google.com/patent/US20160187654A1/en")</f>
        <v>https://patents.google.com/patent/US20160187654A1/en</v>
      </c>
    </row>
    <row r="10773" spans="3:5" x14ac:dyDescent="0.25">
      <c r="C10773" t="s">
        <v>19908</v>
      </c>
      <c r="D10773" t="s">
        <v>19909</v>
      </c>
      <c r="E10773" t="str">
        <f>HYPERLINK("https://patents.google.com/patent/CN102633077A/en")</f>
        <v>https://patents.google.com/patent/CN102633077A/en</v>
      </c>
    </row>
    <row r="10774" spans="3:5" x14ac:dyDescent="0.25">
      <c r="C10774" t="s">
        <v>19910</v>
      </c>
      <c r="D10774" t="s">
        <v>19911</v>
      </c>
      <c r="E10774" t="str">
        <f>HYPERLINK("https://patents.google.com/patent/US20160227471A1/en")</f>
        <v>https://patents.google.com/patent/US20160227471A1/en</v>
      </c>
    </row>
    <row r="10775" spans="3:5" x14ac:dyDescent="0.25">
      <c r="C10775" t="s">
        <v>19912</v>
      </c>
      <c r="D10775" t="s">
        <v>19913</v>
      </c>
      <c r="E10775" t="str">
        <f>HYPERLINK("https://patents.google.com/patent/US20070180387A1/en")</f>
        <v>https://patents.google.com/patent/US20070180387A1/en</v>
      </c>
    </row>
    <row r="10776" spans="3:5" x14ac:dyDescent="0.25">
      <c r="C10776" t="s">
        <v>19914</v>
      </c>
      <c r="D10776" t="s">
        <v>19915</v>
      </c>
      <c r="E10776" t="str">
        <f>HYPERLINK("https://patents.google.com/patent/KR20090000643A/en")</f>
        <v>https://patents.google.com/patent/KR20090000643A/en</v>
      </c>
    </row>
    <row r="10777" spans="3:5" x14ac:dyDescent="0.25">
      <c r="C10777" t="s">
        <v>19730</v>
      </c>
      <c r="D10777" t="s">
        <v>19916</v>
      </c>
      <c r="E10777" t="str">
        <f>HYPERLINK("https://patents.google.com/patent/US20100299201A1/en")</f>
        <v>https://patents.google.com/patent/US20100299201A1/en</v>
      </c>
    </row>
    <row r="10778" spans="3:5" x14ac:dyDescent="0.25">
      <c r="C10778" t="s">
        <v>19917</v>
      </c>
      <c r="D10778" t="s">
        <v>19918</v>
      </c>
      <c r="E10778" t="str">
        <f>HYPERLINK("https://patents.google.com/patent/US20120239469A1/en")</f>
        <v>https://patents.google.com/patent/US20120239469A1/en</v>
      </c>
    </row>
    <row r="10779" spans="3:5" x14ac:dyDescent="0.25">
      <c r="C10779" t="s">
        <v>19919</v>
      </c>
      <c r="D10779" t="s">
        <v>19920</v>
      </c>
      <c r="E10779" t="str">
        <f>HYPERLINK("https://patents.google.com/patent/CN1987857A/en")</f>
        <v>https://patents.google.com/patent/CN1987857A/en</v>
      </c>
    </row>
    <row r="10780" spans="3:5" x14ac:dyDescent="0.25">
      <c r="C10780" t="s">
        <v>19921</v>
      </c>
      <c r="D10780" t="s">
        <v>19922</v>
      </c>
      <c r="E10780" t="str">
        <f>HYPERLINK("https://patents.google.com/patent/US20120047077A1/en")</f>
        <v>https://patents.google.com/patent/US20120047077A1/en</v>
      </c>
    </row>
    <row r="10781" spans="3:5" x14ac:dyDescent="0.25">
      <c r="C10781" t="s">
        <v>19923</v>
      </c>
      <c r="D10781" t="s">
        <v>19924</v>
      </c>
      <c r="E10781" t="str">
        <f>HYPERLINK("https://patents.google.com/patent/JP2001326867A/en")</f>
        <v>https://patents.google.com/patent/JP2001326867A/en</v>
      </c>
    </row>
    <row r="10782" spans="3:5" x14ac:dyDescent="0.25">
      <c r="C10782" t="s">
        <v>19925</v>
      </c>
      <c r="D10782" t="s">
        <v>19926</v>
      </c>
      <c r="E10782" t="str">
        <f>HYPERLINK("https://patents.google.com/patent/WO2001009792A2/en")</f>
        <v>https://patents.google.com/patent/WO2001009792A2/en</v>
      </c>
    </row>
    <row r="10783" spans="3:5" x14ac:dyDescent="0.25">
      <c r="C10783" t="s">
        <v>19927</v>
      </c>
      <c r="D10783" t="s">
        <v>19928</v>
      </c>
      <c r="E10783" t="str">
        <f>HYPERLINK("https://patents.google.com/patent/US20140351870A1/en")</f>
        <v>https://patents.google.com/patent/US20140351870A1/en</v>
      </c>
    </row>
    <row r="10784" spans="3:5" x14ac:dyDescent="0.25">
      <c r="C10784" t="s">
        <v>19929</v>
      </c>
      <c r="D10784" t="s">
        <v>19930</v>
      </c>
      <c r="E10784" t="str">
        <f>HYPERLINK("https://patents.google.com/patent/US20140143806A1/en")</f>
        <v>https://patents.google.com/patent/US20140143806A1/en</v>
      </c>
    </row>
    <row r="10785" spans="3:5" x14ac:dyDescent="0.25">
      <c r="C10785" t="s">
        <v>19796</v>
      </c>
      <c r="D10785" t="s">
        <v>19931</v>
      </c>
      <c r="E10785" t="str">
        <f>HYPERLINK("https://patents.google.com/patent/US20120240144A1/en")</f>
        <v>https://patents.google.com/patent/US20120240144A1/en</v>
      </c>
    </row>
    <row r="10786" spans="3:5" x14ac:dyDescent="0.25">
      <c r="C10786" t="s">
        <v>19932</v>
      </c>
      <c r="D10786" t="s">
        <v>19933</v>
      </c>
      <c r="E10786" t="str">
        <f>HYPERLINK("https://patents.google.com/patent/US20130252594A1/en")</f>
        <v>https://patents.google.com/patent/US20130252594A1/en</v>
      </c>
    </row>
    <row r="10787" spans="3:5" x14ac:dyDescent="0.25">
      <c r="C10787" t="s">
        <v>19934</v>
      </c>
      <c r="D10787" t="s">
        <v>19935</v>
      </c>
      <c r="E10787" t="str">
        <f>HYPERLINK("https://patents.google.com/patent/JP2008027454A/en")</f>
        <v>https://patents.google.com/patent/JP2008027454A/en</v>
      </c>
    </row>
    <row r="10788" spans="3:5" x14ac:dyDescent="0.25">
      <c r="C10788" t="s">
        <v>19936</v>
      </c>
      <c r="D10788" t="s">
        <v>19937</v>
      </c>
      <c r="E10788" t="str">
        <f>HYPERLINK("https://patents.google.com/patent/CN101207805A/en")</f>
        <v>https://patents.google.com/patent/CN101207805A/en</v>
      </c>
    </row>
    <row r="10789" spans="3:5" x14ac:dyDescent="0.25">
      <c r="C10789" t="s">
        <v>19938</v>
      </c>
      <c r="D10789" t="s">
        <v>19939</v>
      </c>
      <c r="E10789" t="str">
        <f>HYPERLINK("https://patents.google.com/patent/US20100100907A1/en")</f>
        <v>https://patents.google.com/patent/US20100100907A1/en</v>
      </c>
    </row>
    <row r="10790" spans="3:5" x14ac:dyDescent="0.25">
      <c r="C10790" t="s">
        <v>19940</v>
      </c>
      <c r="D10790" t="s">
        <v>19941</v>
      </c>
      <c r="E10790" t="str">
        <f>HYPERLINK("https://patents.google.com/patent/KR20100094021A/en")</f>
        <v>https://patents.google.com/patent/KR20100094021A/en</v>
      </c>
    </row>
    <row r="10791" spans="3:5" x14ac:dyDescent="0.25">
      <c r="C10791" t="s">
        <v>19942</v>
      </c>
      <c r="D10791" t="s">
        <v>19943</v>
      </c>
      <c r="E10791" t="str">
        <f>HYPERLINK("https://patents.google.com/patent/WO2007082534A1/en")</f>
        <v>https://patents.google.com/patent/WO2007082534A1/en</v>
      </c>
    </row>
    <row r="10792" spans="3:5" x14ac:dyDescent="0.25">
      <c r="C10792" t="s">
        <v>19944</v>
      </c>
      <c r="D10792" t="s">
        <v>19945</v>
      </c>
      <c r="E10792" t="str">
        <f>HYPERLINK("https://patents.google.com/patent/US3266541A/en")</f>
        <v>https://patents.google.com/patent/US3266541A/en</v>
      </c>
    </row>
    <row r="10793" spans="3:5" x14ac:dyDescent="0.25">
      <c r="C10793" t="s">
        <v>19946</v>
      </c>
      <c r="D10793" t="s">
        <v>19947</v>
      </c>
      <c r="E10793" t="str">
        <f>HYPERLINK("https://patents.google.com/patent/US8631351B2/en")</f>
        <v>https://patents.google.com/patent/US8631351B2/en</v>
      </c>
    </row>
    <row r="10794" spans="3:5" x14ac:dyDescent="0.25">
      <c r="C10794" t="s">
        <v>19948</v>
      </c>
      <c r="D10794" t="s">
        <v>19949</v>
      </c>
      <c r="E10794" t="str">
        <f>HYPERLINK("https://patents.google.com/patent/WO2000041118A2/en")</f>
        <v>https://patents.google.com/patent/WO2000041118A2/en</v>
      </c>
    </row>
    <row r="10795" spans="3:5" x14ac:dyDescent="0.25">
      <c r="C10795" t="s">
        <v>19950</v>
      </c>
      <c r="D10795" t="s">
        <v>19951</v>
      </c>
      <c r="E10795" t="str">
        <f>HYPERLINK("https://patents.google.com/patent/US3154307A/en")</f>
        <v>https://patents.google.com/patent/US3154307A/en</v>
      </c>
    </row>
    <row r="10796" spans="3:5" x14ac:dyDescent="0.25">
      <c r="C10796" t="s">
        <v>19952</v>
      </c>
      <c r="D10796" t="s">
        <v>19953</v>
      </c>
      <c r="E10796" t="str">
        <f>HYPERLINK("https://patents.google.com/patent/US20090157439A1/en")</f>
        <v>https://patents.google.com/patent/US20090157439A1/en</v>
      </c>
    </row>
    <row r="10797" spans="3:5" x14ac:dyDescent="0.25">
      <c r="C10797" t="s">
        <v>19954</v>
      </c>
      <c r="D10797" t="s">
        <v>19955</v>
      </c>
      <c r="E10797" t="str">
        <f>HYPERLINK("https://patents.google.com/patent/US20120067954A1/en")</f>
        <v>https://patents.google.com/patent/US20120067954A1/en</v>
      </c>
    </row>
    <row r="10798" spans="3:5" x14ac:dyDescent="0.25">
      <c r="C10798" t="s">
        <v>19956</v>
      </c>
      <c r="D10798" t="s">
        <v>19957</v>
      </c>
      <c r="E10798" t="str">
        <f>HYPERLINK("https://patents.google.com/patent/CN102289739A/en")</f>
        <v>https://patents.google.com/patent/CN102289739A/en</v>
      </c>
    </row>
    <row r="10799" spans="3:5" x14ac:dyDescent="0.25">
      <c r="C10799" t="s">
        <v>19958</v>
      </c>
      <c r="D10799" t="s">
        <v>19959</v>
      </c>
      <c r="E10799" t="str">
        <f>HYPERLINK("https://patents.google.com/patent/US20150300831A1/en")</f>
        <v>https://patents.google.com/patent/US20150300831A1/en</v>
      </c>
    </row>
    <row r="10800" spans="3:5" x14ac:dyDescent="0.25">
      <c r="C10800" t="s">
        <v>19960</v>
      </c>
      <c r="D10800" t="s">
        <v>19961</v>
      </c>
      <c r="E10800" t="str">
        <f>HYPERLINK("https://patents.google.com/patent/US20040018838A1/en")</f>
        <v>https://patents.google.com/patent/US20040018838A1/en</v>
      </c>
    </row>
    <row r="10801" spans="3:5" x14ac:dyDescent="0.25">
      <c r="C10801" t="s">
        <v>19962</v>
      </c>
      <c r="D10801" t="s">
        <v>19963</v>
      </c>
      <c r="E10801" t="str">
        <f>HYPERLINK("https://patents.google.com/patent/WO2001011511A1/en")</f>
        <v>https://patents.google.com/patent/WO2001011511A1/en</v>
      </c>
    </row>
    <row r="10802" spans="3:5" x14ac:dyDescent="0.25">
      <c r="C10802" t="s">
        <v>19964</v>
      </c>
      <c r="D10802" t="s">
        <v>19965</v>
      </c>
      <c r="E10802" t="str">
        <f>HYPERLINK("https://patents.google.com/patent/CN1892691A/en")</f>
        <v>https://patents.google.com/patent/CN1892691A/en</v>
      </c>
    </row>
    <row r="10803" spans="3:5" x14ac:dyDescent="0.25">
      <c r="C10803" t="s">
        <v>19966</v>
      </c>
      <c r="D10803" t="s">
        <v>19967</v>
      </c>
      <c r="E10803" t="str">
        <f>HYPERLINK("https://patents.google.com/patent/US2374105A/en")</f>
        <v>https://patents.google.com/patent/US2374105A/en</v>
      </c>
    </row>
    <row r="10804" spans="3:5" x14ac:dyDescent="0.25">
      <c r="C10804" t="s">
        <v>19968</v>
      </c>
      <c r="D10804" t="s">
        <v>19969</v>
      </c>
      <c r="E10804" t="str">
        <f>HYPERLINK("https://patents.google.com/patent/US7872365B2/en")</f>
        <v>https://patents.google.com/patent/US7872365B2/en</v>
      </c>
    </row>
    <row r="10805" spans="3:5" x14ac:dyDescent="0.25">
      <c r="C10805" t="s">
        <v>19970</v>
      </c>
      <c r="D10805" t="s">
        <v>19971</v>
      </c>
      <c r="E10805" t="str">
        <f>HYPERLINK("https://patents.google.com/patent/CN101968833A/en")</f>
        <v>https://patents.google.com/patent/CN101968833A/en</v>
      </c>
    </row>
    <row r="10806" spans="3:5" x14ac:dyDescent="0.25">
      <c r="C10806" t="s">
        <v>19972</v>
      </c>
      <c r="D10806" t="s">
        <v>19973</v>
      </c>
      <c r="E10806" t="str">
        <f>HYPERLINK("https://patents.google.com/patent/US20100228630A1/en")</f>
        <v>https://patents.google.com/patent/US20100228630A1/en</v>
      </c>
    </row>
    <row r="10807" spans="3:5" x14ac:dyDescent="0.25">
      <c r="C10807" t="s">
        <v>19974</v>
      </c>
      <c r="D10807" t="s">
        <v>19975</v>
      </c>
      <c r="E10807" t="str">
        <f>HYPERLINK("https://patents.google.com/patent/US20120101883A1/en")</f>
        <v>https://patents.google.com/patent/US20120101883A1/en</v>
      </c>
    </row>
    <row r="10808" spans="3:5" x14ac:dyDescent="0.25">
      <c r="C10808" t="s">
        <v>19976</v>
      </c>
      <c r="D10808" t="s">
        <v>19977</v>
      </c>
      <c r="E10808" t="str">
        <f>HYPERLINK("https://patents.google.com/patent/JP2009510551A/en")</f>
        <v>https://patents.google.com/patent/JP2009510551A/en</v>
      </c>
    </row>
    <row r="10809" spans="3:5" x14ac:dyDescent="0.25">
      <c r="C10809" t="s">
        <v>19978</v>
      </c>
      <c r="D10809" t="s">
        <v>19979</v>
      </c>
      <c r="E10809" t="str">
        <f>HYPERLINK("https://patents.google.com/patent/WO2001016765A1/en")</f>
        <v>https://patents.google.com/patent/WO2001016765A1/en</v>
      </c>
    </row>
    <row r="10810" spans="3:5" x14ac:dyDescent="0.25">
      <c r="C10810" t="s">
        <v>19477</v>
      </c>
      <c r="D10810" t="s">
        <v>19980</v>
      </c>
      <c r="E10810" t="str">
        <f>HYPERLINK("https://patents.google.com/patent/US20120089499A1/en")</f>
        <v>https://patents.google.com/patent/US20120089499A1/en</v>
      </c>
    </row>
    <row r="10811" spans="3:5" x14ac:dyDescent="0.25">
      <c r="C10811" t="s">
        <v>19981</v>
      </c>
      <c r="D10811" t="s">
        <v>19982</v>
      </c>
      <c r="E10811" t="str">
        <f>HYPERLINK("https://patents.google.com/patent/US20080162287A1/en")</f>
        <v>https://patents.google.com/patent/US20080162287A1/en</v>
      </c>
    </row>
    <row r="10812" spans="3:5" x14ac:dyDescent="0.25">
      <c r="C10812" t="s">
        <v>19983</v>
      </c>
      <c r="D10812" t="s">
        <v>19984</v>
      </c>
      <c r="E10812" t="str">
        <f>HYPERLINK("https://patents.google.com/patent/US20030149759A1/en")</f>
        <v>https://patents.google.com/patent/US20030149759A1/en</v>
      </c>
    </row>
    <row r="10813" spans="3:5" x14ac:dyDescent="0.25">
      <c r="C10813" t="s">
        <v>19985</v>
      </c>
      <c r="D10813" t="s">
        <v>19986</v>
      </c>
      <c r="E10813" t="str">
        <f>HYPERLINK("https://patents.google.com/patent/JP2007048132A/en")</f>
        <v>https://patents.google.com/patent/JP2007048132A/en</v>
      </c>
    </row>
    <row r="10814" spans="3:5" x14ac:dyDescent="0.25">
      <c r="C10814" t="s">
        <v>19987</v>
      </c>
      <c r="D10814" t="s">
        <v>19988</v>
      </c>
      <c r="E10814" t="str">
        <f>HYPERLINK("https://patents.google.com/patent/CN1938562A/en")</f>
        <v>https://patents.google.com/patent/CN1938562A/en</v>
      </c>
    </row>
    <row r="10815" spans="3:5" x14ac:dyDescent="0.25">
      <c r="C10815" t="s">
        <v>19989</v>
      </c>
      <c r="D10815" t="s">
        <v>19990</v>
      </c>
      <c r="E10815" t="str">
        <f>HYPERLINK("https://patents.google.com/patent/WO2001009831A2/en")</f>
        <v>https://patents.google.com/patent/WO2001009831A2/en</v>
      </c>
    </row>
    <row r="10816" spans="3:5" x14ac:dyDescent="0.25">
      <c r="C10816" t="s">
        <v>19991</v>
      </c>
      <c r="D10816" t="s">
        <v>19992</v>
      </c>
      <c r="E10816" t="str">
        <f>HYPERLINK("https://patents.google.com/patent/WO2001090912A1/en")</f>
        <v>https://patents.google.com/patent/WO2001090912A1/en</v>
      </c>
    </row>
    <row r="10817" spans="3:5" x14ac:dyDescent="0.25">
      <c r="C10817" t="s">
        <v>8238</v>
      </c>
      <c r="D10817" t="s">
        <v>19993</v>
      </c>
      <c r="E10817" t="str">
        <f>HYPERLINK("https://patents.google.com/patent/US20110276555A1/en")</f>
        <v>https://patents.google.com/patent/US20110276555A1/en</v>
      </c>
    </row>
    <row r="10818" spans="3:5" x14ac:dyDescent="0.25">
      <c r="C10818" t="s">
        <v>19842</v>
      </c>
      <c r="D10818" t="s">
        <v>19994</v>
      </c>
      <c r="E10818" t="str">
        <f>HYPERLINK("https://patents.google.com/patent/US20110320375A1/en")</f>
        <v>https://patents.google.com/patent/US20110320375A1/en</v>
      </c>
    </row>
    <row r="10819" spans="3:5" x14ac:dyDescent="0.25">
      <c r="C10819" t="s">
        <v>19995</v>
      </c>
      <c r="D10819" t="s">
        <v>19996</v>
      </c>
      <c r="E10819" t="str">
        <f>HYPERLINK("https://patents.google.com/patent/WO2003079134A2/en")</f>
        <v>https://patents.google.com/patent/WO2003079134A2/en</v>
      </c>
    </row>
    <row r="10820" spans="3:5" x14ac:dyDescent="0.25">
      <c r="C10820" t="s">
        <v>19997</v>
      </c>
      <c r="D10820" t="s">
        <v>19998</v>
      </c>
      <c r="E10820" t="str">
        <f>HYPERLINK("https://patents.google.com/patent/US20140081717A1/en")</f>
        <v>https://patents.google.com/patent/US20140081717A1/en</v>
      </c>
    </row>
    <row r="10821" spans="3:5" x14ac:dyDescent="0.25">
      <c r="C10821" t="s">
        <v>19999</v>
      </c>
      <c r="D10821" t="s">
        <v>20000</v>
      </c>
      <c r="E10821" t="str">
        <f>HYPERLINK("https://patents.google.com/patent/CN1364262A/en")</f>
        <v>https://patents.google.com/patent/CN1364262A/en</v>
      </c>
    </row>
    <row r="10822" spans="3:5" x14ac:dyDescent="0.25">
      <c r="C10822" t="s">
        <v>20001</v>
      </c>
      <c r="D10822" t="s">
        <v>20002</v>
      </c>
      <c r="E10822" t="str">
        <f>HYPERLINK("https://patents.google.com/patent/US5237792A/en")</f>
        <v>https://patents.google.com/patent/US5237792A/en</v>
      </c>
    </row>
    <row r="10823" spans="3:5" x14ac:dyDescent="0.25">
      <c r="C10823" t="s">
        <v>20003</v>
      </c>
      <c r="D10823" t="s">
        <v>20004</v>
      </c>
      <c r="E10823" t="str">
        <f>HYPERLINK("https://patents.google.com/patent/US20130007935A1/en")</f>
        <v>https://patents.google.com/patent/US20130007935A1/en</v>
      </c>
    </row>
    <row r="10824" spans="3:5" x14ac:dyDescent="0.25">
      <c r="C10824" t="s">
        <v>20005</v>
      </c>
      <c r="D10824" t="s">
        <v>20006</v>
      </c>
      <c r="E10824" t="str">
        <f>HYPERLINK("https://patents.google.com/patent/CN105096662A/en")</f>
        <v>https://patents.google.com/patent/CN105096662A/en</v>
      </c>
    </row>
    <row r="10825" spans="3:5" x14ac:dyDescent="0.25">
      <c r="C10825" t="s">
        <v>20007</v>
      </c>
      <c r="D10825" t="s">
        <v>20008</v>
      </c>
      <c r="E10825" t="str">
        <f>HYPERLINK("https://patents.google.com/patent/US20130035856A1/en")</f>
        <v>https://patents.google.com/patent/US20130035856A1/en</v>
      </c>
    </row>
    <row r="10826" spans="3:5" x14ac:dyDescent="0.25">
      <c r="C10826" t="s">
        <v>20009</v>
      </c>
      <c r="D10826" t="s">
        <v>20010</v>
      </c>
      <c r="E10826" t="str">
        <f>HYPERLINK("https://patents.google.com/patent/WO2001017313A1/en")</f>
        <v>https://patents.google.com/patent/WO2001017313A1/en</v>
      </c>
    </row>
    <row r="10827" spans="3:5" x14ac:dyDescent="0.25">
      <c r="C10827" t="s">
        <v>20011</v>
      </c>
      <c r="D10827" t="s">
        <v>20012</v>
      </c>
      <c r="E10827" t="str">
        <f>HYPERLINK("https://patents.google.com/patent/CN104809634B/en")</f>
        <v>https://patents.google.com/patent/CN104809634B/en</v>
      </c>
    </row>
    <row r="10828" spans="3:5" x14ac:dyDescent="0.25">
      <c r="C10828" t="s">
        <v>20013</v>
      </c>
      <c r="D10828" t="s">
        <v>20014</v>
      </c>
      <c r="E10828" t="str">
        <f>HYPERLINK("https://patents.google.com/patent/CN104778435A/en")</f>
        <v>https://patents.google.com/patent/CN104778435A/en</v>
      </c>
    </row>
    <row r="10829" spans="3:5" x14ac:dyDescent="0.25">
      <c r="C10829" t="s">
        <v>20015</v>
      </c>
      <c r="D10829" t="s">
        <v>20016</v>
      </c>
      <c r="E10829" t="str">
        <f>HYPERLINK("https://patents.google.com/patent/US20100274606A1/en")</f>
        <v>https://patents.google.com/patent/US20100274606A1/en</v>
      </c>
    </row>
    <row r="10830" spans="3:5" x14ac:dyDescent="0.25">
      <c r="C10830" t="s">
        <v>20017</v>
      </c>
      <c r="D10830" t="s">
        <v>20018</v>
      </c>
      <c r="E10830" t="str">
        <f>HYPERLINK("https://patents.google.com/patent/US20160335272A1/en")</f>
        <v>https://patents.google.com/patent/US20160335272A1/en</v>
      </c>
    </row>
    <row r="10831" spans="3:5" x14ac:dyDescent="0.25">
      <c r="C10831" t="s">
        <v>20019</v>
      </c>
      <c r="D10831" t="s">
        <v>20020</v>
      </c>
      <c r="E10831" t="str">
        <f>HYPERLINK("https://patents.google.com/patent/FR2716176A1/en")</f>
        <v>https://patents.google.com/patent/FR2716176A1/en</v>
      </c>
    </row>
    <row r="10832" spans="3:5" x14ac:dyDescent="0.25">
      <c r="C10832" t="s">
        <v>20021</v>
      </c>
      <c r="D10832" t="s">
        <v>20022</v>
      </c>
      <c r="E10832" t="str">
        <f>HYPERLINK("https://patents.google.com/patent/CN1262836A/en")</f>
        <v>https://patents.google.com/patent/CN1262836A/en</v>
      </c>
    </row>
    <row r="10833" spans="1:5" x14ac:dyDescent="0.25">
      <c r="C10833" t="s">
        <v>19946</v>
      </c>
      <c r="D10833" t="s">
        <v>20023</v>
      </c>
      <c r="E10833" t="str">
        <f>HYPERLINK("https://patents.google.com/patent/US8527525B2/en")</f>
        <v>https://patents.google.com/patent/US8527525B2/en</v>
      </c>
    </row>
    <row r="10834" spans="1:5" x14ac:dyDescent="0.25">
      <c r="C10834" t="s">
        <v>20024</v>
      </c>
      <c r="D10834" t="s">
        <v>20025</v>
      </c>
      <c r="E10834" t="str">
        <f>HYPERLINK("https://patents.google.com/patent/CN101189326A/en")</f>
        <v>https://patents.google.com/patent/CN101189326A/en</v>
      </c>
    </row>
    <row r="10835" spans="1:5" x14ac:dyDescent="0.25">
      <c r="C10835" t="s">
        <v>20026</v>
      </c>
      <c r="D10835" t="s">
        <v>20027</v>
      </c>
      <c r="E10835" t="str">
        <f>HYPERLINK("https://patents.google.com/patent/CN103761930A/en")</f>
        <v>https://patents.google.com/patent/CN103761930A/en</v>
      </c>
    </row>
    <row r="10836" spans="1:5" x14ac:dyDescent="0.25">
      <c r="C10836" t="s">
        <v>20028</v>
      </c>
      <c r="D10836" t="s">
        <v>20029</v>
      </c>
      <c r="E10836" t="str">
        <f>HYPERLINK("https://patents.google.com/patent/CN202952882U/en")</f>
        <v>https://patents.google.com/patent/CN202952882U/en</v>
      </c>
    </row>
    <row r="10837" spans="1:5" x14ac:dyDescent="0.25">
      <c r="C10837" t="s">
        <v>20030</v>
      </c>
      <c r="D10837" t="s">
        <v>20031</v>
      </c>
      <c r="E10837" t="str">
        <f>HYPERLINK("https://patents.google.com/patent/JPH10510120A/en")</f>
        <v>https://patents.google.com/patent/JPH10510120A/en</v>
      </c>
    </row>
    <row r="10838" spans="1:5" x14ac:dyDescent="0.25">
      <c r="C10838" t="s">
        <v>19519</v>
      </c>
      <c r="D10838" t="s">
        <v>20032</v>
      </c>
      <c r="E10838" t="str">
        <f>HYPERLINK("https://patents.google.com/patent/WO2008137289A2/en")</f>
        <v>https://patents.google.com/patent/WO2008137289A2/en</v>
      </c>
    </row>
    <row r="10839" spans="1:5" x14ac:dyDescent="0.25">
      <c r="C10839" t="s">
        <v>19550</v>
      </c>
      <c r="D10839" t="s">
        <v>20033</v>
      </c>
      <c r="E10839" t="str">
        <f>HYPERLINK("https://patents.google.com/patent/WO2009082369A1/en")</f>
        <v>https://patents.google.com/patent/WO2009082369A1/en</v>
      </c>
    </row>
    <row r="10840" spans="1:5" x14ac:dyDescent="0.25">
      <c r="C10840" t="s">
        <v>20034</v>
      </c>
      <c r="D10840" t="s">
        <v>20035</v>
      </c>
      <c r="E10840" t="str">
        <f>HYPERLINK("https://patents.google.com/patent/CN101506834A/en")</f>
        <v>https://patents.google.com/patent/CN101506834A/en</v>
      </c>
    </row>
    <row r="10841" spans="1:5" x14ac:dyDescent="0.25">
      <c r="C10841" t="s">
        <v>20036</v>
      </c>
      <c r="D10841" t="s">
        <v>20037</v>
      </c>
      <c r="E10841" t="str">
        <f>HYPERLINK("https://patents.google.com/patent/US20170064551A1/en")</f>
        <v>https://patents.google.com/patent/US20170064551A1/en</v>
      </c>
    </row>
    <row r="10842" spans="1:5" x14ac:dyDescent="0.25">
      <c r="C10842" t="s">
        <v>20038</v>
      </c>
      <c r="D10842" t="s">
        <v>20039</v>
      </c>
      <c r="E10842" t="str">
        <f>HYPERLINK("https://patents.google.com/patent/US20180152759A1/en")</f>
        <v>https://patents.google.com/patent/US20180152759A1/en</v>
      </c>
    </row>
    <row r="10843" spans="1:5" x14ac:dyDescent="0.25">
      <c r="C10843" t="s">
        <v>20038</v>
      </c>
      <c r="D10843" t="s">
        <v>20040</v>
      </c>
      <c r="E10843" t="str">
        <f>HYPERLINK("https://patents.google.com/patent/US20180152758A1/en")</f>
        <v>https://patents.google.com/patent/US20180152758A1/en</v>
      </c>
    </row>
    <row r="10844" spans="1:5" x14ac:dyDescent="0.25">
      <c r="A10844" t="s">
        <v>1391</v>
      </c>
      <c r="B10844">
        <v>717</v>
      </c>
    </row>
    <row r="10845" spans="1:5" x14ac:dyDescent="0.25">
      <c r="C10845" t="s">
        <v>20041</v>
      </c>
      <c r="D10845" t="s">
        <v>20042</v>
      </c>
      <c r="E10845" t="str">
        <f>HYPERLINK("https://patents.google.com/patent/CN102385384A/en")</f>
        <v>https://patents.google.com/patent/CN102385384A/en</v>
      </c>
    </row>
    <row r="10846" spans="1:5" x14ac:dyDescent="0.25">
      <c r="C10846" t="s">
        <v>18538</v>
      </c>
      <c r="D10846" t="s">
        <v>20043</v>
      </c>
      <c r="E10846" t="str">
        <f>HYPERLINK("https://patents.google.com/patent/CN102314824A/en")</f>
        <v>https://patents.google.com/patent/CN102314824A/en</v>
      </c>
    </row>
    <row r="10847" spans="1:5" x14ac:dyDescent="0.25">
      <c r="C10847" t="s">
        <v>20044</v>
      </c>
      <c r="D10847" t="s">
        <v>20045</v>
      </c>
      <c r="E10847" t="str">
        <f>HYPERLINK("https://patents.google.com/patent/CN206541196U/en")</f>
        <v>https://patents.google.com/patent/CN206541196U/en</v>
      </c>
    </row>
    <row r="10848" spans="1:5" x14ac:dyDescent="0.25">
      <c r="C10848" t="s">
        <v>18538</v>
      </c>
      <c r="D10848" t="s">
        <v>20046</v>
      </c>
      <c r="E10848" t="str">
        <f>HYPERLINK("https://patents.google.com/patent/CN206913160U/en")</f>
        <v>https://patents.google.com/patent/CN206913160U/en</v>
      </c>
    </row>
    <row r="10849" spans="3:5" x14ac:dyDescent="0.25">
      <c r="C10849" t="s">
        <v>20047</v>
      </c>
      <c r="D10849" t="s">
        <v>20048</v>
      </c>
      <c r="E10849" t="str">
        <f>HYPERLINK("https://patents.google.com/patent/CN107065863A/en")</f>
        <v>https://patents.google.com/patent/CN107065863A/en</v>
      </c>
    </row>
    <row r="10850" spans="3:5" x14ac:dyDescent="0.25">
      <c r="C10850" t="s">
        <v>20049</v>
      </c>
      <c r="D10850" t="s">
        <v>20050</v>
      </c>
      <c r="E10850" t="str">
        <f>HYPERLINK("https://patents.google.com/patent/CN108247649A/en")</f>
        <v>https://patents.google.com/patent/CN108247649A/en</v>
      </c>
    </row>
    <row r="10851" spans="3:5" x14ac:dyDescent="0.25">
      <c r="C10851" t="s">
        <v>20051</v>
      </c>
      <c r="D10851" t="s">
        <v>20052</v>
      </c>
      <c r="E10851" t="str">
        <f>HYPERLINK("https://patents.google.com/patent/CN104298240A/en")</f>
        <v>https://patents.google.com/patent/CN104298240A/en</v>
      </c>
    </row>
    <row r="10852" spans="3:5" x14ac:dyDescent="0.25">
      <c r="C10852" t="s">
        <v>20053</v>
      </c>
      <c r="D10852" t="s">
        <v>20054</v>
      </c>
      <c r="E10852" t="str">
        <f>HYPERLINK("https://patents.google.com/patent/CN105563484A/en")</f>
        <v>https://patents.google.com/patent/CN105563484A/en</v>
      </c>
    </row>
    <row r="10853" spans="3:5" x14ac:dyDescent="0.25">
      <c r="C10853" t="s">
        <v>20055</v>
      </c>
      <c r="D10853" t="s">
        <v>20056</v>
      </c>
      <c r="E10853" t="str">
        <f>HYPERLINK("https://patents.google.com/patent/CN103226924A/en")</f>
        <v>https://patents.google.com/patent/CN103226924A/en</v>
      </c>
    </row>
    <row r="10854" spans="3:5" x14ac:dyDescent="0.25">
      <c r="C10854" t="s">
        <v>20057</v>
      </c>
      <c r="D10854" t="s">
        <v>20058</v>
      </c>
      <c r="E10854" t="str">
        <f>HYPERLINK("https://patents.google.com/patent/CN202230387U/en")</f>
        <v>https://patents.google.com/patent/CN202230387U/en</v>
      </c>
    </row>
    <row r="10855" spans="3:5" x14ac:dyDescent="0.25">
      <c r="C10855" t="s">
        <v>20059</v>
      </c>
      <c r="D10855" t="s">
        <v>20060</v>
      </c>
      <c r="E10855" t="str">
        <f>HYPERLINK("https://patents.google.com/patent/CN102411749A/en")</f>
        <v>https://patents.google.com/patent/CN102411749A/en</v>
      </c>
    </row>
    <row r="10856" spans="3:5" x14ac:dyDescent="0.25">
      <c r="C10856" t="s">
        <v>20061</v>
      </c>
      <c r="D10856" t="s">
        <v>20062</v>
      </c>
      <c r="E10856" t="str">
        <f>HYPERLINK("https://patents.google.com/patent/CN103760866A/en")</f>
        <v>https://patents.google.com/patent/CN103760866A/en</v>
      </c>
    </row>
    <row r="10857" spans="3:5" x14ac:dyDescent="0.25">
      <c r="C10857" t="s">
        <v>20063</v>
      </c>
      <c r="D10857" t="s">
        <v>20064</v>
      </c>
      <c r="E10857" t="str">
        <f>HYPERLINK("https://patents.google.com/patent/CN107972048A/en")</f>
        <v>https://patents.google.com/patent/CN107972048A/en</v>
      </c>
    </row>
    <row r="10858" spans="3:5" x14ac:dyDescent="0.25">
      <c r="C10858" t="s">
        <v>20065</v>
      </c>
      <c r="D10858" t="s">
        <v>20066</v>
      </c>
      <c r="E10858" t="str">
        <f>HYPERLINK("https://patents.google.com/patent/CN106168801A/en")</f>
        <v>https://patents.google.com/patent/CN106168801A/en</v>
      </c>
    </row>
    <row r="10859" spans="3:5" x14ac:dyDescent="0.25">
      <c r="C10859" t="s">
        <v>20067</v>
      </c>
      <c r="D10859" t="s">
        <v>20068</v>
      </c>
      <c r="E10859" t="str">
        <f>HYPERLINK("https://patents.google.com/patent/CN103676643B/en")</f>
        <v>https://patents.google.com/patent/CN103676643B/en</v>
      </c>
    </row>
    <row r="10860" spans="3:5" x14ac:dyDescent="0.25">
      <c r="C10860" t="s">
        <v>18538</v>
      </c>
      <c r="D10860" t="s">
        <v>20069</v>
      </c>
      <c r="E10860" t="str">
        <f>HYPERLINK("https://patents.google.com/patent/JP2003340764A/en")</f>
        <v>https://patents.google.com/patent/JP2003340764A/en</v>
      </c>
    </row>
    <row r="10861" spans="3:5" x14ac:dyDescent="0.25">
      <c r="C10861" t="s">
        <v>20070</v>
      </c>
      <c r="D10861" t="s">
        <v>20071</v>
      </c>
      <c r="E10861" t="str">
        <f>HYPERLINK("https://patents.google.com/patent/CN202394269U/en")</f>
        <v>https://patents.google.com/patent/CN202394269U/en</v>
      </c>
    </row>
    <row r="10862" spans="3:5" x14ac:dyDescent="0.25">
      <c r="C10862" t="s">
        <v>20072</v>
      </c>
      <c r="D10862" t="s">
        <v>20073</v>
      </c>
      <c r="E10862" t="str">
        <f>HYPERLINK("https://patents.google.com/patent/JP2001116582A/en")</f>
        <v>https://patents.google.com/patent/JP2001116582A/en</v>
      </c>
    </row>
    <row r="10863" spans="3:5" x14ac:dyDescent="0.25">
      <c r="C10863" t="s">
        <v>15294</v>
      </c>
      <c r="D10863" t="s">
        <v>20074</v>
      </c>
      <c r="E10863" t="str">
        <f>HYPERLINK("https://patents.google.com/patent/CN205734943U/en")</f>
        <v>https://patents.google.com/patent/CN205734943U/en</v>
      </c>
    </row>
    <row r="10864" spans="3:5" x14ac:dyDescent="0.25">
      <c r="C10864" t="s">
        <v>8671</v>
      </c>
      <c r="D10864" t="s">
        <v>20075</v>
      </c>
      <c r="E10864" t="str">
        <f>HYPERLINK("https://patents.google.com/patent/CN107608352A/en")</f>
        <v>https://patents.google.com/patent/CN107608352A/en</v>
      </c>
    </row>
    <row r="10865" spans="3:5" x14ac:dyDescent="0.25">
      <c r="C10865" t="s">
        <v>20076</v>
      </c>
      <c r="D10865" t="s">
        <v>20077</v>
      </c>
      <c r="E10865" t="str">
        <f>HYPERLINK("https://patents.google.com/patent/CN104616239A/en")</f>
        <v>https://patents.google.com/patent/CN104616239A/en</v>
      </c>
    </row>
    <row r="10866" spans="3:5" x14ac:dyDescent="0.25">
      <c r="C10866" t="s">
        <v>20078</v>
      </c>
      <c r="D10866" t="s">
        <v>20079</v>
      </c>
      <c r="E10866" t="str">
        <f>HYPERLINK("https://patents.google.com/patent/CN108594829A/en")</f>
        <v>https://patents.google.com/patent/CN108594829A/en</v>
      </c>
    </row>
    <row r="10867" spans="3:5" x14ac:dyDescent="0.25">
      <c r="C10867" t="s">
        <v>20080</v>
      </c>
      <c r="D10867" t="s">
        <v>20081</v>
      </c>
      <c r="E10867" t="str">
        <f>HYPERLINK("https://patents.google.com/patent/CN103388743A/en")</f>
        <v>https://patents.google.com/patent/CN103388743A/en</v>
      </c>
    </row>
    <row r="10868" spans="3:5" x14ac:dyDescent="0.25">
      <c r="C10868" t="s">
        <v>20082</v>
      </c>
      <c r="D10868" t="s">
        <v>20083</v>
      </c>
      <c r="E10868" t="str">
        <f>HYPERLINK("https://patents.google.com/patent/CN2657878Y/en")</f>
        <v>https://patents.google.com/patent/CN2657878Y/en</v>
      </c>
    </row>
    <row r="10869" spans="3:5" x14ac:dyDescent="0.25">
      <c r="C10869" t="s">
        <v>18538</v>
      </c>
      <c r="D10869" t="s">
        <v>20084</v>
      </c>
      <c r="E10869" t="str">
        <f>HYPERLINK("https://patents.google.com/patent/JP2011000656A/en")</f>
        <v>https://patents.google.com/patent/JP2011000656A/en</v>
      </c>
    </row>
    <row r="10870" spans="3:5" x14ac:dyDescent="0.25">
      <c r="C10870" t="s">
        <v>20085</v>
      </c>
      <c r="D10870" t="s">
        <v>20086</v>
      </c>
      <c r="E10870" t="str">
        <f>HYPERLINK("https://patents.google.com/patent/CN105234946A/en")</f>
        <v>https://patents.google.com/patent/CN105234946A/en</v>
      </c>
    </row>
    <row r="10871" spans="3:5" x14ac:dyDescent="0.25">
      <c r="C10871" t="s">
        <v>20087</v>
      </c>
      <c r="D10871" t="s">
        <v>20088</v>
      </c>
      <c r="E10871" t="str">
        <f>HYPERLINK("https://patents.google.com/patent/CN1289268C/en")</f>
        <v>https://patents.google.com/patent/CN1289268C/en</v>
      </c>
    </row>
    <row r="10872" spans="3:5" x14ac:dyDescent="0.25">
      <c r="C10872" t="s">
        <v>20089</v>
      </c>
      <c r="D10872" t="s">
        <v>20090</v>
      </c>
      <c r="E10872" t="str">
        <f>HYPERLINK("https://patents.google.com/patent/CN108469825A/en")</f>
        <v>https://patents.google.com/patent/CN108469825A/en</v>
      </c>
    </row>
    <row r="10873" spans="3:5" x14ac:dyDescent="0.25">
      <c r="C10873" t="s">
        <v>20091</v>
      </c>
      <c r="D10873" t="s">
        <v>20092</v>
      </c>
      <c r="E10873" t="str">
        <f>HYPERLINK("https://patents.google.com/patent/CN103465977A/en")</f>
        <v>https://patents.google.com/patent/CN103465977A/en</v>
      </c>
    </row>
    <row r="10874" spans="3:5" x14ac:dyDescent="0.25">
      <c r="C10874" t="s">
        <v>20093</v>
      </c>
      <c r="D10874" t="s">
        <v>20094</v>
      </c>
      <c r="E10874" t="str">
        <f>HYPERLINK("https://patents.google.com/patent/JP5423142B2/en")</f>
        <v>https://patents.google.com/patent/JP5423142B2/en</v>
      </c>
    </row>
    <row r="10875" spans="3:5" x14ac:dyDescent="0.25">
      <c r="C10875" t="s">
        <v>20095</v>
      </c>
      <c r="D10875" t="s">
        <v>20096</v>
      </c>
      <c r="E10875" t="str">
        <f>HYPERLINK("https://patents.google.com/patent/CN100999216A/en")</f>
        <v>https://patents.google.com/patent/CN100999216A/en</v>
      </c>
    </row>
    <row r="10876" spans="3:5" x14ac:dyDescent="0.25">
      <c r="C10876" t="s">
        <v>20097</v>
      </c>
      <c r="D10876" t="s">
        <v>20098</v>
      </c>
      <c r="E10876" t="str">
        <f>HYPERLINK("https://patents.google.com/patent/CN108280895A/en")</f>
        <v>https://patents.google.com/patent/CN108280895A/en</v>
      </c>
    </row>
    <row r="10877" spans="3:5" x14ac:dyDescent="0.25">
      <c r="C10877" t="s">
        <v>20099</v>
      </c>
      <c r="D10877" t="s">
        <v>20100</v>
      </c>
      <c r="E10877" t="str">
        <f>HYPERLINK("https://patents.google.com/patent/CN207008403U/en")</f>
        <v>https://patents.google.com/patent/CN207008403U/en</v>
      </c>
    </row>
    <row r="10878" spans="3:5" x14ac:dyDescent="0.25">
      <c r="C10878" t="s">
        <v>20101</v>
      </c>
      <c r="D10878" t="s">
        <v>20102</v>
      </c>
      <c r="E10878" t="str">
        <f>HYPERLINK("https://patents.google.com/patent/JP2006004334A/en")</f>
        <v>https://patents.google.com/patent/JP2006004334A/en</v>
      </c>
    </row>
    <row r="10879" spans="3:5" x14ac:dyDescent="0.25">
      <c r="C10879" t="s">
        <v>20103</v>
      </c>
      <c r="D10879" t="s">
        <v>20104</v>
      </c>
      <c r="E10879" t="str">
        <f>HYPERLINK("https://patents.google.com/patent/CN102794767A/en")</f>
        <v>https://patents.google.com/patent/CN102794767A/en</v>
      </c>
    </row>
    <row r="10880" spans="3:5" x14ac:dyDescent="0.25">
      <c r="C10880" t="s">
        <v>20105</v>
      </c>
      <c r="D10880" t="s">
        <v>20106</v>
      </c>
      <c r="E10880" t="str">
        <f>HYPERLINK("https://patents.google.com/patent/US20050078816A1/en")</f>
        <v>https://patents.google.com/patent/US20050078816A1/en</v>
      </c>
    </row>
    <row r="10881" spans="3:5" x14ac:dyDescent="0.25">
      <c r="C10881" t="s">
        <v>20107</v>
      </c>
      <c r="D10881" t="s">
        <v>20108</v>
      </c>
      <c r="E10881" t="str">
        <f>HYPERLINK("https://patents.google.com/patent/CN108182098A/en")</f>
        <v>https://patents.google.com/patent/CN108182098A/en</v>
      </c>
    </row>
    <row r="10882" spans="3:5" x14ac:dyDescent="0.25">
      <c r="C10882" t="s">
        <v>20109</v>
      </c>
      <c r="D10882" t="s">
        <v>20110</v>
      </c>
      <c r="E10882" t="str">
        <f>HYPERLINK("https://patents.google.com/patent/CN103904583A/en")</f>
        <v>https://patents.google.com/patent/CN103904583A/en</v>
      </c>
    </row>
    <row r="10883" spans="3:5" x14ac:dyDescent="0.25">
      <c r="C10883" t="s">
        <v>20111</v>
      </c>
      <c r="D10883" t="s">
        <v>20112</v>
      </c>
      <c r="E10883" t="str">
        <f>HYPERLINK("https://patents.google.com/patent/WO2004010310A1/en")</f>
        <v>https://patents.google.com/patent/WO2004010310A1/en</v>
      </c>
    </row>
    <row r="10884" spans="3:5" x14ac:dyDescent="0.25">
      <c r="C10884" t="s">
        <v>20113</v>
      </c>
      <c r="D10884" t="s">
        <v>20114</v>
      </c>
      <c r="E10884" t="str">
        <f>HYPERLINK("https://patents.google.com/patent/US5800177A/en")</f>
        <v>https://patents.google.com/patent/US5800177A/en</v>
      </c>
    </row>
    <row r="10885" spans="3:5" x14ac:dyDescent="0.25">
      <c r="C10885" t="s">
        <v>20115</v>
      </c>
      <c r="D10885" t="s">
        <v>20116</v>
      </c>
      <c r="E10885" t="str">
        <f>HYPERLINK("https://patents.google.com/patent/CN204056042U/en")</f>
        <v>https://patents.google.com/patent/CN204056042U/en</v>
      </c>
    </row>
    <row r="10886" spans="3:5" x14ac:dyDescent="0.25">
      <c r="C10886" t="s">
        <v>15356</v>
      </c>
      <c r="D10886" t="s">
        <v>20117</v>
      </c>
      <c r="E10886" t="str">
        <f>HYPERLINK("https://patents.google.com/patent/US6252544B1/en")</f>
        <v>https://patents.google.com/patent/US6252544B1/en</v>
      </c>
    </row>
    <row r="10887" spans="3:5" x14ac:dyDescent="0.25">
      <c r="C10887" t="s">
        <v>20118</v>
      </c>
      <c r="D10887" t="s">
        <v>20119</v>
      </c>
      <c r="E10887" t="str">
        <f>HYPERLINK("https://patents.google.com/patent/US5867800A/en")</f>
        <v>https://patents.google.com/patent/US5867800A/en</v>
      </c>
    </row>
    <row r="10888" spans="3:5" x14ac:dyDescent="0.25">
      <c r="C10888" t="s">
        <v>20120</v>
      </c>
      <c r="D10888" t="s">
        <v>20121</v>
      </c>
      <c r="E10888" t="str">
        <f>HYPERLINK("https://patents.google.com/patent/US6042555A/en")</f>
        <v>https://patents.google.com/patent/US6042555A/en</v>
      </c>
    </row>
    <row r="10889" spans="3:5" x14ac:dyDescent="0.25">
      <c r="C10889" t="s">
        <v>20122</v>
      </c>
      <c r="D10889" t="s">
        <v>20123</v>
      </c>
      <c r="E10889" t="str">
        <f>HYPERLINK("https://patents.google.com/patent/US6259969B1/en")</f>
        <v>https://patents.google.com/patent/US6259969B1/en</v>
      </c>
    </row>
    <row r="10890" spans="3:5" x14ac:dyDescent="0.25">
      <c r="C10890" t="s">
        <v>20124</v>
      </c>
      <c r="D10890" t="s">
        <v>20125</v>
      </c>
      <c r="E10890" t="str">
        <f>HYPERLINK("https://patents.google.com/patent/JP6134894B2/en")</f>
        <v>https://patents.google.com/patent/JP6134894B2/en</v>
      </c>
    </row>
    <row r="10891" spans="3:5" x14ac:dyDescent="0.25">
      <c r="C10891" t="s">
        <v>20126</v>
      </c>
      <c r="D10891" t="s">
        <v>20127</v>
      </c>
      <c r="E10891" t="str">
        <f>HYPERLINK("https://patents.google.com/patent/US7441953B2/en")</f>
        <v>https://patents.google.com/patent/US7441953B2/en</v>
      </c>
    </row>
    <row r="10892" spans="3:5" x14ac:dyDescent="0.25">
      <c r="C10892" t="s">
        <v>20128</v>
      </c>
      <c r="D10892" t="s">
        <v>20129</v>
      </c>
      <c r="E10892" t="str">
        <f>HYPERLINK("https://patents.google.com/patent/US6330539B1/en")</f>
        <v>https://patents.google.com/patent/US6330539B1/en</v>
      </c>
    </row>
    <row r="10893" spans="3:5" x14ac:dyDescent="0.25">
      <c r="C10893" t="s">
        <v>20130</v>
      </c>
      <c r="D10893" t="s">
        <v>20131</v>
      </c>
      <c r="E10893" t="str">
        <f>HYPERLINK("https://patents.google.com/patent/US6363301B1/en")</f>
        <v>https://patents.google.com/patent/US6363301B1/en</v>
      </c>
    </row>
    <row r="10894" spans="3:5" x14ac:dyDescent="0.25">
      <c r="C10894" t="s">
        <v>20132</v>
      </c>
      <c r="D10894" t="s">
        <v>20133</v>
      </c>
      <c r="E10894" t="str">
        <f>HYPERLINK("https://patents.google.com/patent/US5730574A/en")</f>
        <v>https://patents.google.com/patent/US5730574A/en</v>
      </c>
    </row>
    <row r="10895" spans="3:5" x14ac:dyDescent="0.25">
      <c r="C10895" t="s">
        <v>20134</v>
      </c>
      <c r="D10895" t="s">
        <v>20135</v>
      </c>
      <c r="E10895" t="str">
        <f>HYPERLINK("https://patents.google.com/patent/CN106774308A/en")</f>
        <v>https://patents.google.com/patent/CN106774308A/en</v>
      </c>
    </row>
    <row r="10896" spans="3:5" x14ac:dyDescent="0.25">
      <c r="C10896" t="s">
        <v>20136</v>
      </c>
      <c r="D10896" t="s">
        <v>20137</v>
      </c>
      <c r="E10896" t="str">
        <f>HYPERLINK("https://patents.google.com/patent/CN207020533U/en")</f>
        <v>https://patents.google.com/patent/CN207020533U/en</v>
      </c>
    </row>
    <row r="10897" spans="3:5" x14ac:dyDescent="0.25">
      <c r="C10897" t="s">
        <v>20138</v>
      </c>
      <c r="D10897" t="s">
        <v>20139</v>
      </c>
      <c r="E10897" t="str">
        <f>HYPERLINK("https://patents.google.com/patent/CN206263968U/en")</f>
        <v>https://patents.google.com/patent/CN206263968U/en</v>
      </c>
    </row>
    <row r="10898" spans="3:5" x14ac:dyDescent="0.25">
      <c r="C10898" t="s">
        <v>20140</v>
      </c>
      <c r="D10898" t="s">
        <v>20141</v>
      </c>
      <c r="E10898" t="str">
        <f>HYPERLINK("https://patents.google.com/patent/CN108521149A/en")</f>
        <v>https://patents.google.com/patent/CN108521149A/en</v>
      </c>
    </row>
    <row r="10899" spans="3:5" x14ac:dyDescent="0.25">
      <c r="C10899" t="s">
        <v>20142</v>
      </c>
      <c r="D10899" t="s">
        <v>20143</v>
      </c>
      <c r="E10899" t="str">
        <f>HYPERLINK("https://patents.google.com/patent/CN104656643A/en")</f>
        <v>https://patents.google.com/patent/CN104656643A/en</v>
      </c>
    </row>
    <row r="10900" spans="3:5" x14ac:dyDescent="0.25">
      <c r="C10900" t="s">
        <v>20144</v>
      </c>
      <c r="D10900" t="s">
        <v>20145</v>
      </c>
      <c r="E10900" t="str">
        <f>HYPERLINK("https://patents.google.com/patent/KR20110068830A/en")</f>
        <v>https://patents.google.com/patent/KR20110068830A/en</v>
      </c>
    </row>
    <row r="10901" spans="3:5" x14ac:dyDescent="0.25">
      <c r="C10901" t="s">
        <v>20146</v>
      </c>
      <c r="D10901" t="s">
        <v>20147</v>
      </c>
      <c r="E10901" t="str">
        <f>HYPERLINK("https://patents.google.com/patent/CN108000533A/en")</f>
        <v>https://patents.google.com/patent/CN108000533A/en</v>
      </c>
    </row>
    <row r="10902" spans="3:5" x14ac:dyDescent="0.25">
      <c r="C10902" t="s">
        <v>20148</v>
      </c>
      <c r="D10902" t="s">
        <v>20149</v>
      </c>
      <c r="E10902" t="str">
        <f>HYPERLINK("https://patents.google.com/patent/DE102006058553B4/en")</f>
        <v>https://patents.google.com/patent/DE102006058553B4/en</v>
      </c>
    </row>
    <row r="10903" spans="3:5" x14ac:dyDescent="0.25">
      <c r="C10903" t="s">
        <v>20150</v>
      </c>
      <c r="D10903" t="s">
        <v>20151</v>
      </c>
      <c r="E10903" t="str">
        <f>HYPERLINK("https://patents.google.com/patent/US7083611B2/en")</f>
        <v>https://patents.google.com/patent/US7083611B2/en</v>
      </c>
    </row>
    <row r="10904" spans="3:5" x14ac:dyDescent="0.25">
      <c r="C10904" t="s">
        <v>20152</v>
      </c>
      <c r="D10904" t="s">
        <v>20153</v>
      </c>
      <c r="E10904" t="str">
        <f>HYPERLINK("https://patents.google.com/patent/US6629087B1/en")</f>
        <v>https://patents.google.com/patent/US6629087B1/en</v>
      </c>
    </row>
    <row r="10905" spans="3:5" x14ac:dyDescent="0.25">
      <c r="C10905" t="s">
        <v>20154</v>
      </c>
      <c r="D10905" t="s">
        <v>20155</v>
      </c>
      <c r="E10905" t="str">
        <f>HYPERLINK("https://patents.google.com/patent/CN205255010U/en")</f>
        <v>https://patents.google.com/patent/CN205255010U/en</v>
      </c>
    </row>
    <row r="10906" spans="3:5" x14ac:dyDescent="0.25">
      <c r="C10906" t="s">
        <v>20156</v>
      </c>
      <c r="D10906" t="s">
        <v>20157</v>
      </c>
      <c r="E10906" t="str">
        <f>HYPERLINK("https://patents.google.com/patent/CN107742260A/en")</f>
        <v>https://patents.google.com/patent/CN107742260A/en</v>
      </c>
    </row>
    <row r="10907" spans="3:5" x14ac:dyDescent="0.25">
      <c r="C10907" t="s">
        <v>20158</v>
      </c>
      <c r="D10907" t="s">
        <v>20159</v>
      </c>
      <c r="E10907" t="str">
        <f>HYPERLINK("https://patents.google.com/patent/CN205521501U/en")</f>
        <v>https://patents.google.com/patent/CN205521501U/en</v>
      </c>
    </row>
    <row r="10908" spans="3:5" x14ac:dyDescent="0.25">
      <c r="C10908" t="s">
        <v>20160</v>
      </c>
      <c r="D10908" t="s">
        <v>20161</v>
      </c>
      <c r="E10908" t="str">
        <f>HYPERLINK("https://patents.google.com/patent/US20110288964A1/en")</f>
        <v>https://patents.google.com/patent/US20110288964A1/en</v>
      </c>
    </row>
    <row r="10909" spans="3:5" x14ac:dyDescent="0.25">
      <c r="C10909" t="s">
        <v>20162</v>
      </c>
      <c r="D10909" t="s">
        <v>20163</v>
      </c>
      <c r="E10909" t="str">
        <f>HYPERLINK("https://patents.google.com/patent/KR101295942B1/en")</f>
        <v>https://patents.google.com/patent/KR101295942B1/en</v>
      </c>
    </row>
    <row r="10910" spans="3:5" x14ac:dyDescent="0.25">
      <c r="C10910" t="s">
        <v>20164</v>
      </c>
      <c r="D10910" t="s">
        <v>20165</v>
      </c>
      <c r="E10910" t="str">
        <f>HYPERLINK("https://patents.google.com/patent/JP4957799B2/en")</f>
        <v>https://patents.google.com/patent/JP4957799B2/en</v>
      </c>
    </row>
    <row r="10911" spans="3:5" x14ac:dyDescent="0.25">
      <c r="C10911" t="s">
        <v>20166</v>
      </c>
      <c r="D10911" t="s">
        <v>20167</v>
      </c>
      <c r="E10911" t="str">
        <f>HYPERLINK("https://patents.google.com/patent/JP5055905B2/en")</f>
        <v>https://patents.google.com/patent/JP5055905B2/en</v>
      </c>
    </row>
    <row r="10912" spans="3:5" x14ac:dyDescent="0.25">
      <c r="C10912" t="s">
        <v>20168</v>
      </c>
      <c r="D10912" t="s">
        <v>20169</v>
      </c>
      <c r="E10912" t="str">
        <f>HYPERLINK("https://patents.google.com/patent/CN206840115U/en")</f>
        <v>https://patents.google.com/patent/CN206840115U/en</v>
      </c>
    </row>
    <row r="10913" spans="3:5" x14ac:dyDescent="0.25">
      <c r="C10913" t="s">
        <v>20170</v>
      </c>
      <c r="D10913" t="s">
        <v>20171</v>
      </c>
      <c r="E10913" t="str">
        <f>HYPERLINK("https://patents.google.com/patent/US20030028380A1/en")</f>
        <v>https://patents.google.com/patent/US20030028380A1/en</v>
      </c>
    </row>
    <row r="10914" spans="3:5" x14ac:dyDescent="0.25">
      <c r="C10914" t="s">
        <v>20172</v>
      </c>
      <c r="D10914" t="s">
        <v>20173</v>
      </c>
      <c r="E10914" t="str">
        <f>HYPERLINK("https://patents.google.com/patent/US20040177063A1/en")</f>
        <v>https://patents.google.com/patent/US20040177063A1/en</v>
      </c>
    </row>
    <row r="10915" spans="3:5" x14ac:dyDescent="0.25">
      <c r="C10915" t="s">
        <v>20174</v>
      </c>
      <c r="D10915" t="s">
        <v>20175</v>
      </c>
      <c r="E10915" t="str">
        <f>HYPERLINK("https://patents.google.com/patent/US20090287624A1/en")</f>
        <v>https://patents.google.com/patent/US20090287624A1/en</v>
      </c>
    </row>
    <row r="10916" spans="3:5" x14ac:dyDescent="0.25">
      <c r="C10916" t="s">
        <v>20176</v>
      </c>
      <c r="D10916" t="s">
        <v>20177</v>
      </c>
      <c r="E10916" t="str">
        <f>HYPERLINK("https://patents.google.com/patent/CN201755196U/en")</f>
        <v>https://patents.google.com/patent/CN201755196U/en</v>
      </c>
    </row>
    <row r="10917" spans="3:5" x14ac:dyDescent="0.25">
      <c r="C10917" t="s">
        <v>20178</v>
      </c>
      <c r="D10917" t="s">
        <v>20179</v>
      </c>
      <c r="E10917" t="str">
        <f>HYPERLINK("https://patents.google.com/patent/CN101428653A/en")</f>
        <v>https://patents.google.com/patent/CN101428653A/en</v>
      </c>
    </row>
    <row r="10918" spans="3:5" x14ac:dyDescent="0.25">
      <c r="C10918" t="s">
        <v>20180</v>
      </c>
      <c r="D10918" t="s">
        <v>20181</v>
      </c>
      <c r="E10918" t="str">
        <f>HYPERLINK("https://patents.google.com/patent/RU164511U1/en")</f>
        <v>https://patents.google.com/patent/RU164511U1/en</v>
      </c>
    </row>
    <row r="10919" spans="3:5" x14ac:dyDescent="0.25">
      <c r="C10919" t="s">
        <v>20182</v>
      </c>
      <c r="D10919" t="s">
        <v>20183</v>
      </c>
      <c r="E10919" t="str">
        <f>HYPERLINK("https://patents.google.com/patent/US20020157096A1/en")</f>
        <v>https://patents.google.com/patent/US20020157096A1/en</v>
      </c>
    </row>
    <row r="10920" spans="3:5" x14ac:dyDescent="0.25">
      <c r="C10920" t="s">
        <v>20184</v>
      </c>
      <c r="D10920" t="s">
        <v>20185</v>
      </c>
      <c r="E10920" t="str">
        <f>HYPERLINK("https://patents.google.com/patent/US20120265391A1/en")</f>
        <v>https://patents.google.com/patent/US20120265391A1/en</v>
      </c>
    </row>
    <row r="10921" spans="3:5" x14ac:dyDescent="0.25">
      <c r="C10921" t="s">
        <v>20186</v>
      </c>
      <c r="D10921" t="s">
        <v>20187</v>
      </c>
      <c r="E10921" t="str">
        <f>HYPERLINK("https://patents.google.com/patent/US20030020816A1/en")</f>
        <v>https://patents.google.com/patent/US20030020816A1/en</v>
      </c>
    </row>
    <row r="10922" spans="3:5" x14ac:dyDescent="0.25">
      <c r="C10922" t="s">
        <v>20188</v>
      </c>
      <c r="D10922" t="s">
        <v>20189</v>
      </c>
      <c r="E10922" t="str">
        <f>HYPERLINK("https://patents.google.com/patent/US20090044655A1/en")</f>
        <v>https://patents.google.com/patent/US20090044655A1/en</v>
      </c>
    </row>
    <row r="10923" spans="3:5" x14ac:dyDescent="0.25">
      <c r="C10923" t="s">
        <v>18003</v>
      </c>
      <c r="D10923" t="s">
        <v>20190</v>
      </c>
      <c r="E10923" t="str">
        <f>HYPERLINK("https://patents.google.com/patent/JP4411248B2/en")</f>
        <v>https://patents.google.com/patent/JP4411248B2/en</v>
      </c>
    </row>
    <row r="10924" spans="3:5" x14ac:dyDescent="0.25">
      <c r="C10924" t="s">
        <v>20191</v>
      </c>
      <c r="D10924" t="s">
        <v>20192</v>
      </c>
      <c r="E10924" t="str">
        <f>HYPERLINK("https://patents.google.com/patent/KR100904191B1/en")</f>
        <v>https://patents.google.com/patent/KR100904191B1/en</v>
      </c>
    </row>
    <row r="10925" spans="3:5" x14ac:dyDescent="0.25">
      <c r="C10925" t="s">
        <v>20193</v>
      </c>
      <c r="D10925" t="s">
        <v>20194</v>
      </c>
      <c r="E10925" t="str">
        <f>HYPERLINK("https://patents.google.com/patent/CN108161933A/en")</f>
        <v>https://patents.google.com/patent/CN108161933A/en</v>
      </c>
    </row>
    <row r="10926" spans="3:5" x14ac:dyDescent="0.25">
      <c r="C10926" t="s">
        <v>20195</v>
      </c>
      <c r="D10926" t="s">
        <v>20196</v>
      </c>
      <c r="E10926" t="str">
        <f>HYPERLINK("https://patents.google.com/patent/US20110274493A1/en")</f>
        <v>https://patents.google.com/patent/US20110274493A1/en</v>
      </c>
    </row>
    <row r="10927" spans="3:5" x14ac:dyDescent="0.25">
      <c r="C10927" t="s">
        <v>20197</v>
      </c>
      <c r="D10927" t="s">
        <v>20198</v>
      </c>
      <c r="E10927" t="str">
        <f>HYPERLINK("https://patents.google.com/patent/JP2018067785A/en")</f>
        <v>https://patents.google.com/patent/JP2018067785A/en</v>
      </c>
    </row>
    <row r="10928" spans="3:5" x14ac:dyDescent="0.25">
      <c r="C10928" t="s">
        <v>20199</v>
      </c>
      <c r="D10928" t="s">
        <v>20200</v>
      </c>
      <c r="E10928" t="str">
        <f>HYPERLINK("https://patents.google.com/patent/CN106058735A/en")</f>
        <v>https://patents.google.com/patent/CN106058735A/en</v>
      </c>
    </row>
    <row r="10929" spans="3:5" x14ac:dyDescent="0.25">
      <c r="C10929" t="s">
        <v>20201</v>
      </c>
      <c r="D10929" t="s">
        <v>20202</v>
      </c>
      <c r="E10929" t="str">
        <f>HYPERLINK("https://patents.google.com/patent/JP2008003860A/en")</f>
        <v>https://patents.google.com/patent/JP2008003860A/en</v>
      </c>
    </row>
    <row r="10930" spans="3:5" x14ac:dyDescent="0.25">
      <c r="C10930" t="s">
        <v>20203</v>
      </c>
      <c r="D10930" t="s">
        <v>20204</v>
      </c>
      <c r="E10930" t="str">
        <f>HYPERLINK("https://patents.google.com/patent/CN108415932A/en")</f>
        <v>https://patents.google.com/patent/CN108415932A/en</v>
      </c>
    </row>
    <row r="10931" spans="3:5" x14ac:dyDescent="0.25">
      <c r="C10931" t="s">
        <v>20205</v>
      </c>
      <c r="D10931" t="s">
        <v>20206</v>
      </c>
      <c r="E10931" t="str">
        <f>HYPERLINK("https://patents.google.com/patent/WO2018070686A1/en")</f>
        <v>https://patents.google.com/patent/WO2018070686A1/en</v>
      </c>
    </row>
    <row r="10932" spans="3:5" x14ac:dyDescent="0.25">
      <c r="C10932" t="s">
        <v>20207</v>
      </c>
      <c r="D10932" t="s">
        <v>20208</v>
      </c>
      <c r="E10932" t="str">
        <f>HYPERLINK("https://patents.google.com/patent/KR20090000637A/en")</f>
        <v>https://patents.google.com/patent/KR20090000637A/en</v>
      </c>
    </row>
    <row r="10933" spans="3:5" x14ac:dyDescent="0.25">
      <c r="C10933" t="s">
        <v>20209</v>
      </c>
      <c r="D10933" t="s">
        <v>20210</v>
      </c>
      <c r="E10933" t="str">
        <f>HYPERLINK("https://patents.google.com/patent/US20140136212A1/en")</f>
        <v>https://patents.google.com/patent/US20140136212A1/en</v>
      </c>
    </row>
    <row r="10934" spans="3:5" x14ac:dyDescent="0.25">
      <c r="C10934" t="s">
        <v>20211</v>
      </c>
      <c r="D10934" t="s">
        <v>20212</v>
      </c>
      <c r="E10934" t="str">
        <f>HYPERLINK("https://patents.google.com/patent/WO1993017839A1/en")</f>
        <v>https://patents.google.com/patent/WO1993017839A1/en</v>
      </c>
    </row>
    <row r="10935" spans="3:5" x14ac:dyDescent="0.25">
      <c r="C10935" t="s">
        <v>20213</v>
      </c>
      <c r="D10935" t="s">
        <v>20214</v>
      </c>
      <c r="E10935" t="str">
        <f>HYPERLINK("https://patents.google.com/patent/CN108303098B/en")</f>
        <v>https://patents.google.com/patent/CN108303098B/en</v>
      </c>
    </row>
    <row r="10936" spans="3:5" x14ac:dyDescent="0.25">
      <c r="C10936" t="s">
        <v>20215</v>
      </c>
      <c r="D10936" t="s">
        <v>20216</v>
      </c>
      <c r="E10936" t="str">
        <f>HYPERLINK("https://patents.google.com/patent/CN101711659A/en")</f>
        <v>https://patents.google.com/patent/CN101711659A/en</v>
      </c>
    </row>
    <row r="10937" spans="3:5" x14ac:dyDescent="0.25">
      <c r="C10937" t="s">
        <v>20217</v>
      </c>
      <c r="D10937" t="s">
        <v>20218</v>
      </c>
      <c r="E10937" t="str">
        <f>HYPERLINK("https://patents.google.com/patent/DE102011015973A1/en")</f>
        <v>https://patents.google.com/patent/DE102011015973A1/en</v>
      </c>
    </row>
    <row r="10938" spans="3:5" x14ac:dyDescent="0.25">
      <c r="C10938" t="s">
        <v>20219</v>
      </c>
      <c r="D10938" t="s">
        <v>20220</v>
      </c>
      <c r="E10938" t="str">
        <f>HYPERLINK("https://patents.google.com/patent/US7949437B2/en")</f>
        <v>https://patents.google.com/patent/US7949437B2/en</v>
      </c>
    </row>
    <row r="10939" spans="3:5" x14ac:dyDescent="0.25">
      <c r="C10939" t="s">
        <v>20221</v>
      </c>
      <c r="D10939" t="s">
        <v>20222</v>
      </c>
      <c r="E10939" t="str">
        <f>HYPERLINK("https://patents.google.com/patent/US7554282B2/en")</f>
        <v>https://patents.google.com/patent/US7554282B2/en</v>
      </c>
    </row>
    <row r="10940" spans="3:5" x14ac:dyDescent="0.25">
      <c r="C10940" t="s">
        <v>20223</v>
      </c>
      <c r="D10940" t="s">
        <v>20224</v>
      </c>
      <c r="E10940" t="str">
        <f>HYPERLINK("https://patents.google.com/patent/CN102243620A/en")</f>
        <v>https://patents.google.com/patent/CN102243620A/en</v>
      </c>
    </row>
    <row r="10941" spans="3:5" x14ac:dyDescent="0.25">
      <c r="C10941" t="s">
        <v>20225</v>
      </c>
      <c r="D10941" t="s">
        <v>20226</v>
      </c>
      <c r="E10941" t="str">
        <f>HYPERLINK("https://patents.google.com/patent/CN2199853Y/en")</f>
        <v>https://patents.google.com/patent/CN2199853Y/en</v>
      </c>
    </row>
    <row r="10942" spans="3:5" x14ac:dyDescent="0.25">
      <c r="C10942" t="s">
        <v>20227</v>
      </c>
      <c r="D10942" t="s">
        <v>20228</v>
      </c>
      <c r="E10942" t="str">
        <f>HYPERLINK("https://patents.google.com/patent/KR20050084024A/en")</f>
        <v>https://patents.google.com/patent/KR20050084024A/en</v>
      </c>
    </row>
    <row r="10943" spans="3:5" x14ac:dyDescent="0.25">
      <c r="C10943" t="s">
        <v>20229</v>
      </c>
      <c r="D10943" t="s">
        <v>20230</v>
      </c>
      <c r="E10943" t="str">
        <f>HYPERLINK("https://patents.google.com/patent/US5403140A/en")</f>
        <v>https://patents.google.com/patent/US5403140A/en</v>
      </c>
    </row>
    <row r="10944" spans="3:5" x14ac:dyDescent="0.25">
      <c r="C10944" t="s">
        <v>20231</v>
      </c>
      <c r="D10944" t="s">
        <v>20232</v>
      </c>
      <c r="E10944" t="str">
        <f>HYPERLINK("https://patents.google.com/patent/US6374748B1/en")</f>
        <v>https://patents.google.com/patent/US6374748B1/en</v>
      </c>
    </row>
    <row r="10945" spans="3:5" x14ac:dyDescent="0.25">
      <c r="C10945" t="s">
        <v>6789</v>
      </c>
      <c r="D10945" t="s">
        <v>20233</v>
      </c>
      <c r="E10945" t="str">
        <f>HYPERLINK("https://patents.google.com/patent/WO1999028800A1/en")</f>
        <v>https://patents.google.com/patent/WO1999028800A1/en</v>
      </c>
    </row>
    <row r="10946" spans="3:5" x14ac:dyDescent="0.25">
      <c r="C10946" t="s">
        <v>20234</v>
      </c>
      <c r="D10946" t="s">
        <v>20235</v>
      </c>
      <c r="E10946" t="str">
        <f>HYPERLINK("https://patents.google.com/patent/WO2002040224A1/en")</f>
        <v>https://patents.google.com/patent/WO2002040224A1/en</v>
      </c>
    </row>
    <row r="10947" spans="3:5" x14ac:dyDescent="0.25">
      <c r="C10947" t="s">
        <v>20236</v>
      </c>
      <c r="D10947" t="s">
        <v>20237</v>
      </c>
      <c r="E10947" t="str">
        <f>HYPERLINK("https://patents.google.com/patent/US20070217616A1/en")</f>
        <v>https://patents.google.com/patent/US20070217616A1/en</v>
      </c>
    </row>
    <row r="10948" spans="3:5" x14ac:dyDescent="0.25">
      <c r="C10948" t="s">
        <v>20238</v>
      </c>
      <c r="D10948" t="s">
        <v>20239</v>
      </c>
      <c r="E10948" t="str">
        <f>HYPERLINK("https://patents.google.com/patent/CN102750752A/en")</f>
        <v>https://patents.google.com/patent/CN102750752A/en</v>
      </c>
    </row>
    <row r="10949" spans="3:5" x14ac:dyDescent="0.25">
      <c r="C10949" t="s">
        <v>20240</v>
      </c>
      <c r="D10949" t="s">
        <v>20241</v>
      </c>
      <c r="E10949" t="str">
        <f>HYPERLINK("https://patents.google.com/patent/CN103855644A/en")</f>
        <v>https://patents.google.com/patent/CN103855644A/en</v>
      </c>
    </row>
    <row r="10950" spans="3:5" x14ac:dyDescent="0.25">
      <c r="C10950" t="s">
        <v>20242</v>
      </c>
      <c r="D10950" t="s">
        <v>20243</v>
      </c>
      <c r="E10950" t="str">
        <f>HYPERLINK("https://patents.google.com/patent/CN104834309A/en")</f>
        <v>https://patents.google.com/patent/CN104834309A/en</v>
      </c>
    </row>
    <row r="10951" spans="3:5" x14ac:dyDescent="0.25">
      <c r="C10951" t="s">
        <v>20244</v>
      </c>
      <c r="D10951" t="s">
        <v>20245</v>
      </c>
      <c r="E10951" t="str">
        <f>HYPERLINK("https://patents.google.com/patent/US20070260461A1/en")</f>
        <v>https://patents.google.com/patent/US20070260461A1/en</v>
      </c>
    </row>
    <row r="10952" spans="3:5" x14ac:dyDescent="0.25">
      <c r="C10952" t="s">
        <v>20246</v>
      </c>
      <c r="D10952" t="s">
        <v>20247</v>
      </c>
      <c r="E10952" t="str">
        <f>HYPERLINK("https://patents.google.com/patent/CN101672168A/en")</f>
        <v>https://patents.google.com/patent/CN101672168A/en</v>
      </c>
    </row>
    <row r="10953" spans="3:5" x14ac:dyDescent="0.25">
      <c r="C10953" t="s">
        <v>20248</v>
      </c>
      <c r="D10953" t="s">
        <v>20249</v>
      </c>
      <c r="E10953" t="str">
        <f>HYPERLINK("https://patents.google.com/patent/DE4124654A1/en")</f>
        <v>https://patents.google.com/patent/DE4124654A1/en</v>
      </c>
    </row>
    <row r="10954" spans="3:5" x14ac:dyDescent="0.25">
      <c r="C10954" t="s">
        <v>20250</v>
      </c>
      <c r="D10954" t="s">
        <v>20251</v>
      </c>
      <c r="E10954" t="str">
        <f>HYPERLINK("https://patents.google.com/patent/JP2001300876A/en")</f>
        <v>https://patents.google.com/patent/JP2001300876A/en</v>
      </c>
    </row>
    <row r="10955" spans="3:5" x14ac:dyDescent="0.25">
      <c r="C10955" t="s">
        <v>20252</v>
      </c>
      <c r="D10955" t="s">
        <v>20253</v>
      </c>
      <c r="E10955" t="str">
        <f>HYPERLINK("https://patents.google.com/patent/CN105068661A/en")</f>
        <v>https://patents.google.com/patent/CN105068661A/en</v>
      </c>
    </row>
    <row r="10956" spans="3:5" x14ac:dyDescent="0.25">
      <c r="C10956" t="s">
        <v>20254</v>
      </c>
      <c r="D10956" t="s">
        <v>20255</v>
      </c>
      <c r="E10956" t="str">
        <f>HYPERLINK("https://patents.google.com/patent/US20080235934A1/en")</f>
        <v>https://patents.google.com/patent/US20080235934A1/en</v>
      </c>
    </row>
    <row r="10957" spans="3:5" x14ac:dyDescent="0.25">
      <c r="C10957" t="s">
        <v>20256</v>
      </c>
      <c r="D10957" t="s">
        <v>20257</v>
      </c>
      <c r="E10957" t="str">
        <f>HYPERLINK("https://patents.google.com/patent/CN102535915A/en")</f>
        <v>https://patents.google.com/patent/CN102535915A/en</v>
      </c>
    </row>
    <row r="10958" spans="3:5" x14ac:dyDescent="0.25">
      <c r="C10958" t="s">
        <v>20258</v>
      </c>
      <c r="D10958" t="s">
        <v>20259</v>
      </c>
      <c r="E10958" t="str">
        <f>HYPERLINK("https://patents.google.com/patent/JP2008073501A/en")</f>
        <v>https://patents.google.com/patent/JP2008073501A/en</v>
      </c>
    </row>
    <row r="10959" spans="3:5" x14ac:dyDescent="0.25">
      <c r="C10959" t="s">
        <v>20120</v>
      </c>
      <c r="D10959" t="s">
        <v>20260</v>
      </c>
      <c r="E10959" t="str">
        <f>HYPERLINK("https://patents.google.com/patent/WO1998051451A2/en")</f>
        <v>https://patents.google.com/patent/WO1998051451A2/en</v>
      </c>
    </row>
    <row r="10960" spans="3:5" x14ac:dyDescent="0.25">
      <c r="C10960" t="s">
        <v>20261</v>
      </c>
      <c r="D10960" t="s">
        <v>20262</v>
      </c>
      <c r="E10960" t="str">
        <f>HYPERLINK("https://patents.google.com/patent/JP2006155039A/en")</f>
        <v>https://patents.google.com/patent/JP2006155039A/en</v>
      </c>
    </row>
    <row r="10961" spans="3:5" x14ac:dyDescent="0.25">
      <c r="C10961" t="s">
        <v>20263</v>
      </c>
      <c r="D10961" t="s">
        <v>20264</v>
      </c>
      <c r="E10961" t="str">
        <f>HYPERLINK("https://patents.google.com/patent/CN1647898A/en")</f>
        <v>https://patents.google.com/patent/CN1647898A/en</v>
      </c>
    </row>
    <row r="10962" spans="3:5" x14ac:dyDescent="0.25">
      <c r="C10962" t="s">
        <v>20265</v>
      </c>
      <c r="D10962" t="s">
        <v>20266</v>
      </c>
      <c r="E10962" t="str">
        <f>HYPERLINK("https://patents.google.com/patent/WO1998055903A1/en")</f>
        <v>https://patents.google.com/patent/WO1998055903A1/en</v>
      </c>
    </row>
    <row r="10963" spans="3:5" x14ac:dyDescent="0.25">
      <c r="C10963" t="s">
        <v>20267</v>
      </c>
      <c r="D10963" t="s">
        <v>20268</v>
      </c>
      <c r="E10963" t="str">
        <f>HYPERLINK("https://patents.google.com/patent/US5405142A/en")</f>
        <v>https://patents.google.com/patent/US5405142A/en</v>
      </c>
    </row>
    <row r="10964" spans="3:5" x14ac:dyDescent="0.25">
      <c r="C10964" t="s">
        <v>20269</v>
      </c>
      <c r="D10964" t="s">
        <v>20270</v>
      </c>
      <c r="E10964" t="str">
        <f>HYPERLINK("https://patents.google.com/patent/CN102340113A/en")</f>
        <v>https://patents.google.com/patent/CN102340113A/en</v>
      </c>
    </row>
    <row r="10965" spans="3:5" x14ac:dyDescent="0.25">
      <c r="C10965" t="s">
        <v>20271</v>
      </c>
      <c r="D10965" t="s">
        <v>20272</v>
      </c>
      <c r="E10965" t="str">
        <f>HYPERLINK("https://patents.google.com/patent/CN102914967A/en")</f>
        <v>https://patents.google.com/patent/CN102914967A/en</v>
      </c>
    </row>
    <row r="10966" spans="3:5" x14ac:dyDescent="0.25">
      <c r="C10966" t="s">
        <v>20273</v>
      </c>
      <c r="D10966" t="s">
        <v>20274</v>
      </c>
      <c r="E10966" t="str">
        <f>HYPERLINK("https://patents.google.com/patent/KR100841177B1/en")</f>
        <v>https://patents.google.com/patent/KR100841177B1/en</v>
      </c>
    </row>
    <row r="10967" spans="3:5" x14ac:dyDescent="0.25">
      <c r="C10967" t="s">
        <v>20275</v>
      </c>
      <c r="D10967" t="s">
        <v>20276</v>
      </c>
      <c r="E10967" t="str">
        <f>HYPERLINK("https://patents.google.com/patent/WO2007099976A1/en")</f>
        <v>https://patents.google.com/patent/WO2007099976A1/en</v>
      </c>
    </row>
    <row r="10968" spans="3:5" x14ac:dyDescent="0.25">
      <c r="C10968" t="s">
        <v>20277</v>
      </c>
      <c r="D10968" t="s">
        <v>20278</v>
      </c>
      <c r="E10968" t="str">
        <f>HYPERLINK("https://patents.google.com/patent/KR101126637B1/en")</f>
        <v>https://patents.google.com/patent/KR101126637B1/en</v>
      </c>
    </row>
    <row r="10969" spans="3:5" x14ac:dyDescent="0.25">
      <c r="C10969" t="s">
        <v>20279</v>
      </c>
      <c r="D10969" t="s">
        <v>20280</v>
      </c>
      <c r="E10969" t="str">
        <f>HYPERLINK("https://patents.google.com/patent/CN201732077U/en")</f>
        <v>https://patents.google.com/patent/CN201732077U/en</v>
      </c>
    </row>
    <row r="10970" spans="3:5" x14ac:dyDescent="0.25">
      <c r="C10970" t="s">
        <v>20281</v>
      </c>
      <c r="D10970" t="s">
        <v>20282</v>
      </c>
      <c r="E10970" t="str">
        <f>HYPERLINK("https://patents.google.com/patent/WO1997011416A1/en")</f>
        <v>https://patents.google.com/patent/WO1997011416A1/en</v>
      </c>
    </row>
    <row r="10971" spans="3:5" x14ac:dyDescent="0.25">
      <c r="C10971" t="s">
        <v>20191</v>
      </c>
      <c r="D10971" t="s">
        <v>20283</v>
      </c>
      <c r="E10971" t="str">
        <f>HYPERLINK("https://patents.google.com/patent/CN201242685Y/en")</f>
        <v>https://patents.google.com/patent/CN201242685Y/en</v>
      </c>
    </row>
    <row r="10972" spans="3:5" x14ac:dyDescent="0.25">
      <c r="C10972" t="s">
        <v>20284</v>
      </c>
      <c r="D10972" t="s">
        <v>20285</v>
      </c>
      <c r="E10972" t="str">
        <f>HYPERLINK("https://patents.google.com/patent/CN102103663A/en")</f>
        <v>https://patents.google.com/patent/CN102103663A/en</v>
      </c>
    </row>
    <row r="10973" spans="3:5" x14ac:dyDescent="0.25">
      <c r="C10973" t="s">
        <v>6200</v>
      </c>
      <c r="D10973" t="s">
        <v>20286</v>
      </c>
      <c r="E10973" t="str">
        <f>HYPERLINK("https://patents.google.com/patent/JP2007200070A/en")</f>
        <v>https://patents.google.com/patent/JP2007200070A/en</v>
      </c>
    </row>
    <row r="10974" spans="3:5" x14ac:dyDescent="0.25">
      <c r="C10974" t="s">
        <v>20287</v>
      </c>
      <c r="D10974" t="s">
        <v>20288</v>
      </c>
      <c r="E10974" t="str">
        <f>HYPERLINK("https://patents.google.com/patent/CN2632632Y/en")</f>
        <v>https://patents.google.com/patent/CN2632632Y/en</v>
      </c>
    </row>
    <row r="10975" spans="3:5" x14ac:dyDescent="0.25">
      <c r="C10975" t="s">
        <v>20289</v>
      </c>
      <c r="D10975" t="s">
        <v>20290</v>
      </c>
      <c r="E10975" t="str">
        <f>HYPERLINK("https://patents.google.com/patent/JP2007148973A/en")</f>
        <v>https://patents.google.com/patent/JP2007148973A/en</v>
      </c>
    </row>
    <row r="10976" spans="3:5" x14ac:dyDescent="0.25">
      <c r="C10976" t="s">
        <v>20291</v>
      </c>
      <c r="D10976" t="s">
        <v>20292</v>
      </c>
      <c r="E10976" t="str">
        <f>HYPERLINK("https://patents.google.com/patent/JP2001195430A/en")</f>
        <v>https://patents.google.com/patent/JP2001195430A/en</v>
      </c>
    </row>
    <row r="10977" spans="3:5" x14ac:dyDescent="0.25">
      <c r="C10977" t="s">
        <v>20293</v>
      </c>
      <c r="D10977" t="s">
        <v>20294</v>
      </c>
      <c r="E10977" t="str">
        <f>HYPERLINK("https://patents.google.com/patent/CN203983835U/en")</f>
        <v>https://patents.google.com/patent/CN203983835U/en</v>
      </c>
    </row>
    <row r="10978" spans="3:5" x14ac:dyDescent="0.25">
      <c r="C10978" t="s">
        <v>20295</v>
      </c>
      <c r="D10978" t="s">
        <v>20296</v>
      </c>
      <c r="E10978" t="str">
        <f>HYPERLINK("https://patents.google.com/patent/KR20000058779A/en")</f>
        <v>https://patents.google.com/patent/KR20000058779A/en</v>
      </c>
    </row>
    <row r="10979" spans="3:5" x14ac:dyDescent="0.25">
      <c r="C10979" t="s">
        <v>20297</v>
      </c>
      <c r="D10979" t="s">
        <v>20298</v>
      </c>
      <c r="E10979" t="str">
        <f>HYPERLINK("https://patents.google.com/patent/WO1992021050A1/en")</f>
        <v>https://patents.google.com/patent/WO1992021050A1/en</v>
      </c>
    </row>
    <row r="10980" spans="3:5" x14ac:dyDescent="0.25">
      <c r="C10980" t="s">
        <v>20299</v>
      </c>
      <c r="D10980" t="s">
        <v>20300</v>
      </c>
      <c r="E10980" t="str">
        <f>HYPERLINK("https://patents.google.com/patent/JPH07275507A/en")</f>
        <v>https://patents.google.com/patent/JPH07275507A/en</v>
      </c>
    </row>
    <row r="10981" spans="3:5" x14ac:dyDescent="0.25">
      <c r="C10981" t="s">
        <v>20301</v>
      </c>
      <c r="D10981" t="s">
        <v>20302</v>
      </c>
      <c r="E10981" t="str">
        <f>HYPERLINK("https://patents.google.com/patent/CN101458314A/en")</f>
        <v>https://patents.google.com/patent/CN101458314A/en</v>
      </c>
    </row>
    <row r="10982" spans="3:5" x14ac:dyDescent="0.25">
      <c r="C10982" t="s">
        <v>20303</v>
      </c>
      <c r="D10982" t="s">
        <v>20304</v>
      </c>
      <c r="E10982" t="str">
        <f>HYPERLINK("https://patents.google.com/patent/US20080151908A1/en")</f>
        <v>https://patents.google.com/patent/US20080151908A1/en</v>
      </c>
    </row>
    <row r="10983" spans="3:5" x14ac:dyDescent="0.25">
      <c r="C10983" t="s">
        <v>20305</v>
      </c>
      <c r="D10983" t="s">
        <v>20306</v>
      </c>
      <c r="E10983" t="str">
        <f>HYPERLINK("https://patents.google.com/patent/CN203151041U/en")</f>
        <v>https://patents.google.com/patent/CN203151041U/en</v>
      </c>
    </row>
    <row r="10984" spans="3:5" x14ac:dyDescent="0.25">
      <c r="C10984" t="s">
        <v>20307</v>
      </c>
      <c r="D10984" t="s">
        <v>20308</v>
      </c>
      <c r="E10984" t="str">
        <f>HYPERLINK("https://patents.google.com/patent/CN203366398U/en")</f>
        <v>https://patents.google.com/patent/CN203366398U/en</v>
      </c>
    </row>
    <row r="10985" spans="3:5" x14ac:dyDescent="0.25">
      <c r="C10985" t="s">
        <v>20309</v>
      </c>
      <c r="D10985" t="s">
        <v>20310</v>
      </c>
      <c r="E10985" t="str">
        <f>HYPERLINK("https://patents.google.com/patent/WO1999054095A1/en")</f>
        <v>https://patents.google.com/patent/WO1999054095A1/en</v>
      </c>
    </row>
    <row r="10986" spans="3:5" x14ac:dyDescent="0.25">
      <c r="C10986" t="s">
        <v>20311</v>
      </c>
      <c r="D10986" t="s">
        <v>20312</v>
      </c>
      <c r="E10986" t="str">
        <f>HYPERLINK("https://patents.google.com/patent/CN204679793U/en")</f>
        <v>https://patents.google.com/patent/CN204679793U/en</v>
      </c>
    </row>
    <row r="10987" spans="3:5" x14ac:dyDescent="0.25">
      <c r="C10987" t="s">
        <v>20313</v>
      </c>
      <c r="D10987" t="s">
        <v>20314</v>
      </c>
      <c r="E10987" t="str">
        <f>HYPERLINK("https://patents.google.com/patent/CN102520721A/en")</f>
        <v>https://patents.google.com/patent/CN102520721A/en</v>
      </c>
    </row>
    <row r="10988" spans="3:5" x14ac:dyDescent="0.25">
      <c r="C10988" t="s">
        <v>20315</v>
      </c>
      <c r="D10988" t="s">
        <v>20316</v>
      </c>
      <c r="E10988" t="str">
        <f>HYPERLINK("https://patents.google.com/patent/CN103110485A/en")</f>
        <v>https://patents.google.com/patent/CN103110485A/en</v>
      </c>
    </row>
    <row r="10989" spans="3:5" x14ac:dyDescent="0.25">
      <c r="C10989" t="s">
        <v>20317</v>
      </c>
      <c r="D10989" t="s">
        <v>20318</v>
      </c>
      <c r="E10989" t="str">
        <f>HYPERLINK("https://patents.google.com/patent/WO2003064089A1/en")</f>
        <v>https://patents.google.com/patent/WO2003064089A1/en</v>
      </c>
    </row>
    <row r="10990" spans="3:5" x14ac:dyDescent="0.25">
      <c r="C10990" t="s">
        <v>6155</v>
      </c>
      <c r="D10990" t="s">
        <v>20319</v>
      </c>
      <c r="E10990" t="str">
        <f>HYPERLINK("https://patents.google.com/patent/WO2003090982A1/en")</f>
        <v>https://patents.google.com/patent/WO2003090982A1/en</v>
      </c>
    </row>
    <row r="10991" spans="3:5" x14ac:dyDescent="0.25">
      <c r="C10991" t="s">
        <v>20320</v>
      </c>
      <c r="D10991" t="s">
        <v>20321</v>
      </c>
      <c r="E10991" t="str">
        <f>HYPERLINK("https://patents.google.com/patent/JP2011506017A/en")</f>
        <v>https://patents.google.com/patent/JP2011506017A/en</v>
      </c>
    </row>
    <row r="10992" spans="3:5" x14ac:dyDescent="0.25">
      <c r="C10992" t="s">
        <v>6166</v>
      </c>
      <c r="D10992" t="s">
        <v>20322</v>
      </c>
      <c r="E10992" t="str">
        <f>HYPERLINK("https://patents.google.com/patent/JP2007196300A/en")</f>
        <v>https://patents.google.com/patent/JP2007196300A/en</v>
      </c>
    </row>
    <row r="10993" spans="3:5" x14ac:dyDescent="0.25">
      <c r="C10993" t="s">
        <v>20323</v>
      </c>
      <c r="D10993" t="s">
        <v>20324</v>
      </c>
      <c r="E10993" t="str">
        <f>HYPERLINK("https://patents.google.com/patent/RU2165836C2/en")</f>
        <v>https://patents.google.com/patent/RU2165836C2/en</v>
      </c>
    </row>
    <row r="10994" spans="3:5" x14ac:dyDescent="0.25">
      <c r="C10994" t="s">
        <v>20325</v>
      </c>
      <c r="D10994" t="s">
        <v>20326</v>
      </c>
      <c r="E10994" t="str">
        <f>HYPERLINK("https://patents.google.com/patent/CN101442960A/en")</f>
        <v>https://patents.google.com/patent/CN101442960A/en</v>
      </c>
    </row>
    <row r="10995" spans="3:5" x14ac:dyDescent="0.25">
      <c r="C10995" t="s">
        <v>20327</v>
      </c>
      <c r="D10995" t="s">
        <v>20328</v>
      </c>
      <c r="E10995" t="str">
        <f>HYPERLINK("https://patents.google.com/patent/US2381478A/en")</f>
        <v>https://patents.google.com/patent/US2381478A/en</v>
      </c>
    </row>
    <row r="10996" spans="3:5" x14ac:dyDescent="0.25">
      <c r="C10996" t="s">
        <v>20329</v>
      </c>
      <c r="D10996" t="s">
        <v>20330</v>
      </c>
      <c r="E10996" t="str">
        <f>HYPERLINK("https://patents.google.com/patent/CN204355272U/en")</f>
        <v>https://patents.google.com/patent/CN204355272U/en</v>
      </c>
    </row>
    <row r="10997" spans="3:5" x14ac:dyDescent="0.25">
      <c r="C10997" t="s">
        <v>20331</v>
      </c>
      <c r="D10997" t="s">
        <v>20332</v>
      </c>
      <c r="E10997" t="str">
        <f>HYPERLINK("https://patents.google.com/patent/KR20110118640A/en")</f>
        <v>https://patents.google.com/patent/KR20110118640A/en</v>
      </c>
    </row>
    <row r="10998" spans="3:5" x14ac:dyDescent="0.25">
      <c r="C10998" t="s">
        <v>20333</v>
      </c>
      <c r="D10998" t="s">
        <v>20334</v>
      </c>
      <c r="E10998" t="str">
        <f>HYPERLINK("https://patents.google.com/patent/EP1152617A1/en")</f>
        <v>https://patents.google.com/patent/EP1152617A1/en</v>
      </c>
    </row>
    <row r="10999" spans="3:5" x14ac:dyDescent="0.25">
      <c r="C10999" t="s">
        <v>20335</v>
      </c>
      <c r="D10999" t="s">
        <v>20336</v>
      </c>
      <c r="E10999" t="str">
        <f>HYPERLINK("https://patents.google.com/patent/JP2008142876A/en")</f>
        <v>https://patents.google.com/patent/JP2008142876A/en</v>
      </c>
    </row>
    <row r="11000" spans="3:5" x14ac:dyDescent="0.25">
      <c r="C11000" t="s">
        <v>20337</v>
      </c>
      <c r="D11000" t="s">
        <v>20338</v>
      </c>
      <c r="E11000" t="str">
        <f>HYPERLINK("https://patents.google.com/patent/EP0384281A1/en")</f>
        <v>https://patents.google.com/patent/EP0384281A1/en</v>
      </c>
    </row>
    <row r="11001" spans="3:5" x14ac:dyDescent="0.25">
      <c r="C11001" t="s">
        <v>8527</v>
      </c>
      <c r="D11001" t="s">
        <v>20339</v>
      </c>
      <c r="E11001" t="str">
        <f>HYPERLINK("https://patents.google.com/patent/US20100150656A1/en")</f>
        <v>https://patents.google.com/patent/US20100150656A1/en</v>
      </c>
    </row>
    <row r="11002" spans="3:5" x14ac:dyDescent="0.25">
      <c r="C11002" t="s">
        <v>20340</v>
      </c>
      <c r="D11002" t="s">
        <v>20341</v>
      </c>
      <c r="E11002" t="str">
        <f>HYPERLINK("https://patents.google.com/patent/CN101132903A/en")</f>
        <v>https://patents.google.com/patent/CN101132903A/en</v>
      </c>
    </row>
    <row r="11003" spans="3:5" x14ac:dyDescent="0.25">
      <c r="C11003" t="s">
        <v>20342</v>
      </c>
      <c r="D11003" t="s">
        <v>20343</v>
      </c>
      <c r="E11003" t="str">
        <f>HYPERLINK("https://patents.google.com/patent/EP2535781A1/en")</f>
        <v>https://patents.google.com/patent/EP2535781A1/en</v>
      </c>
    </row>
    <row r="11004" spans="3:5" x14ac:dyDescent="0.25">
      <c r="C11004" t="s">
        <v>6200</v>
      </c>
      <c r="D11004" t="s">
        <v>20344</v>
      </c>
      <c r="E11004" t="str">
        <f>HYPERLINK("https://patents.google.com/patent/JP4879595B2/en")</f>
        <v>https://patents.google.com/patent/JP4879595B2/en</v>
      </c>
    </row>
    <row r="11005" spans="3:5" x14ac:dyDescent="0.25">
      <c r="C11005" t="s">
        <v>20345</v>
      </c>
      <c r="D11005" t="s">
        <v>20346</v>
      </c>
      <c r="E11005" t="str">
        <f>HYPERLINK("https://patents.google.com/patent/WO2003105216A1/en")</f>
        <v>https://patents.google.com/patent/WO2003105216A1/en</v>
      </c>
    </row>
    <row r="11006" spans="3:5" x14ac:dyDescent="0.25">
      <c r="C11006" t="s">
        <v>20347</v>
      </c>
      <c r="D11006" t="s">
        <v>20348</v>
      </c>
      <c r="E11006" t="str">
        <f>HYPERLINK("https://patents.google.com/patent/CN104251381A/en")</f>
        <v>https://patents.google.com/patent/CN104251381A/en</v>
      </c>
    </row>
    <row r="11007" spans="3:5" x14ac:dyDescent="0.25">
      <c r="C11007" t="s">
        <v>20349</v>
      </c>
      <c r="D11007" t="s">
        <v>20350</v>
      </c>
      <c r="E11007" t="str">
        <f>HYPERLINK("https://patents.google.com/patent/WO1994022140A2/en")</f>
        <v>https://patents.google.com/patent/WO1994022140A2/en</v>
      </c>
    </row>
    <row r="11008" spans="3:5" x14ac:dyDescent="0.25">
      <c r="C11008" t="s">
        <v>20351</v>
      </c>
      <c r="D11008" t="s">
        <v>20352</v>
      </c>
      <c r="E11008" t="str">
        <f>HYPERLINK("https://patents.google.com/patent/US5148882A/en")</f>
        <v>https://patents.google.com/patent/US5148882A/en</v>
      </c>
    </row>
    <row r="11009" spans="3:5" x14ac:dyDescent="0.25">
      <c r="C11009" t="s">
        <v>20353</v>
      </c>
      <c r="D11009" t="s">
        <v>20354</v>
      </c>
      <c r="E11009" t="str">
        <f>HYPERLINK("https://patents.google.com/patent/GB1595993A/en")</f>
        <v>https://patents.google.com/patent/GB1595993A/en</v>
      </c>
    </row>
    <row r="11010" spans="3:5" x14ac:dyDescent="0.25">
      <c r="C11010" t="s">
        <v>20355</v>
      </c>
      <c r="D11010" t="s">
        <v>20356</v>
      </c>
      <c r="E11010" t="str">
        <f>HYPERLINK("https://patents.google.com/patent/US20080009367A1/en")</f>
        <v>https://patents.google.com/patent/US20080009367A1/en</v>
      </c>
    </row>
    <row r="11011" spans="3:5" x14ac:dyDescent="0.25">
      <c r="C11011" t="s">
        <v>20357</v>
      </c>
      <c r="D11011" t="s">
        <v>20358</v>
      </c>
      <c r="E11011" t="str">
        <f>HYPERLINK("https://patents.google.com/patent/DE10145150B4/en")</f>
        <v>https://patents.google.com/patent/DE10145150B4/en</v>
      </c>
    </row>
    <row r="11012" spans="3:5" x14ac:dyDescent="0.25">
      <c r="C11012" t="s">
        <v>20359</v>
      </c>
      <c r="D11012" t="s">
        <v>20360</v>
      </c>
      <c r="E11012" t="str">
        <f>HYPERLINK("https://patents.google.com/patent/CN206588957U/en")</f>
        <v>https://patents.google.com/patent/CN206588957U/en</v>
      </c>
    </row>
    <row r="11013" spans="3:5" x14ac:dyDescent="0.25">
      <c r="C11013" t="s">
        <v>20361</v>
      </c>
      <c r="D11013" t="s">
        <v>20362</v>
      </c>
      <c r="E11013" t="str">
        <f>HYPERLINK("https://patents.google.com/patent/CN103825338A/en")</f>
        <v>https://patents.google.com/patent/CN103825338A/en</v>
      </c>
    </row>
    <row r="11014" spans="3:5" x14ac:dyDescent="0.25">
      <c r="C11014" t="s">
        <v>20363</v>
      </c>
      <c r="D11014" t="s">
        <v>20364</v>
      </c>
      <c r="E11014" t="str">
        <f>HYPERLINK("https://patents.google.com/patent/CN104122892A/en")</f>
        <v>https://patents.google.com/patent/CN104122892A/en</v>
      </c>
    </row>
    <row r="11015" spans="3:5" x14ac:dyDescent="0.25">
      <c r="C11015" t="s">
        <v>20365</v>
      </c>
      <c r="D11015" t="s">
        <v>20366</v>
      </c>
      <c r="E11015" t="str">
        <f>HYPERLINK("https://patents.google.com/patent/JPWO2014061142A1/en")</f>
        <v>https://patents.google.com/patent/JPWO2014061142A1/en</v>
      </c>
    </row>
    <row r="11016" spans="3:5" x14ac:dyDescent="0.25">
      <c r="C11016" t="s">
        <v>20367</v>
      </c>
      <c r="D11016" t="s">
        <v>20368</v>
      </c>
      <c r="E11016" t="str">
        <f>HYPERLINK("https://patents.google.com/patent/CN206013846U/en")</f>
        <v>https://patents.google.com/patent/CN206013846U/en</v>
      </c>
    </row>
    <row r="11017" spans="3:5" x14ac:dyDescent="0.25">
      <c r="C11017" t="s">
        <v>20369</v>
      </c>
      <c r="D11017" t="s">
        <v>20370</v>
      </c>
      <c r="E11017" t="str">
        <f>HYPERLINK("https://patents.google.com/patent/CN205674206U/en")</f>
        <v>https://patents.google.com/patent/CN205674206U/en</v>
      </c>
    </row>
    <row r="11018" spans="3:5" x14ac:dyDescent="0.25">
      <c r="C11018" t="s">
        <v>20371</v>
      </c>
      <c r="D11018" t="s">
        <v>20372</v>
      </c>
      <c r="E11018" t="str">
        <f>HYPERLINK("https://patents.google.com/patent/CN105785248A/en")</f>
        <v>https://patents.google.com/patent/CN105785248A/en</v>
      </c>
    </row>
    <row r="11019" spans="3:5" x14ac:dyDescent="0.25">
      <c r="C11019" t="s">
        <v>20373</v>
      </c>
      <c r="D11019" t="s">
        <v>20374</v>
      </c>
      <c r="E11019" t="str">
        <f>HYPERLINK("https://patents.google.com/patent/CN107943200A/en")</f>
        <v>https://patents.google.com/patent/CN107943200A/en</v>
      </c>
    </row>
    <row r="11020" spans="3:5" x14ac:dyDescent="0.25">
      <c r="C11020" t="s">
        <v>20375</v>
      </c>
      <c r="D11020" t="s">
        <v>20376</v>
      </c>
      <c r="E11020" t="str">
        <f>HYPERLINK("https://patents.google.com/patent/CN105548818A/en")</f>
        <v>https://patents.google.com/patent/CN105548818A/en</v>
      </c>
    </row>
    <row r="11021" spans="3:5" x14ac:dyDescent="0.25">
      <c r="C11021" t="s">
        <v>20377</v>
      </c>
      <c r="D11021" t="s">
        <v>20378</v>
      </c>
      <c r="E11021" t="str">
        <f>HYPERLINK("https://patents.google.com/patent/CN103853154A/en")</f>
        <v>https://patents.google.com/patent/CN103853154A/en</v>
      </c>
    </row>
    <row r="11022" spans="3:5" x14ac:dyDescent="0.25">
      <c r="C11022" t="s">
        <v>20379</v>
      </c>
      <c r="D11022" t="s">
        <v>20380</v>
      </c>
      <c r="E11022" t="str">
        <f>HYPERLINK("https://patents.google.com/patent/CN2616659Y/en")</f>
        <v>https://patents.google.com/patent/CN2616659Y/en</v>
      </c>
    </row>
    <row r="11023" spans="3:5" x14ac:dyDescent="0.25">
      <c r="C11023" t="s">
        <v>20381</v>
      </c>
      <c r="D11023" t="s">
        <v>20382</v>
      </c>
      <c r="E11023" t="str">
        <f>HYPERLINK("https://patents.google.com/patent/CN104386250A/en")</f>
        <v>https://patents.google.com/patent/CN104386250A/en</v>
      </c>
    </row>
    <row r="11024" spans="3:5" x14ac:dyDescent="0.25">
      <c r="C11024" t="s">
        <v>20383</v>
      </c>
      <c r="D11024" t="s">
        <v>20384</v>
      </c>
      <c r="E11024" t="str">
        <f>HYPERLINK("https://patents.google.com/patent/EP0415290A1/en")</f>
        <v>https://patents.google.com/patent/EP0415290A1/en</v>
      </c>
    </row>
    <row r="11025" spans="3:5" x14ac:dyDescent="0.25">
      <c r="C11025" t="s">
        <v>20385</v>
      </c>
      <c r="D11025" t="s">
        <v>20386</v>
      </c>
      <c r="E11025" t="str">
        <f>HYPERLINK("https://patents.google.com/patent/EP2666354A1/en")</f>
        <v>https://patents.google.com/patent/EP2666354A1/en</v>
      </c>
    </row>
    <row r="11026" spans="3:5" x14ac:dyDescent="0.25">
      <c r="C11026" t="s">
        <v>20387</v>
      </c>
      <c r="D11026" t="s">
        <v>20388</v>
      </c>
      <c r="E11026" t="str">
        <f>HYPERLINK("https://patents.google.com/patent/ES2370895A1/en")</f>
        <v>https://patents.google.com/patent/ES2370895A1/en</v>
      </c>
    </row>
    <row r="11027" spans="3:5" x14ac:dyDescent="0.25">
      <c r="C11027" t="s">
        <v>20389</v>
      </c>
      <c r="D11027" t="s">
        <v>20390</v>
      </c>
      <c r="E11027" t="str">
        <f>HYPERLINK("https://patents.google.com/patent/JP2006250377A/en")</f>
        <v>https://patents.google.com/patent/JP2006250377A/en</v>
      </c>
    </row>
    <row r="11028" spans="3:5" x14ac:dyDescent="0.25">
      <c r="C11028" t="s">
        <v>20391</v>
      </c>
      <c r="D11028" t="s">
        <v>20392</v>
      </c>
      <c r="E11028" t="str">
        <f>HYPERLINK("https://patents.google.com/patent/JP2012139798A/en")</f>
        <v>https://patents.google.com/patent/JP2012139798A/en</v>
      </c>
    </row>
    <row r="11029" spans="3:5" x14ac:dyDescent="0.25">
      <c r="C11029" t="s">
        <v>20393</v>
      </c>
      <c r="D11029" t="s">
        <v>20394</v>
      </c>
      <c r="E11029" t="str">
        <f>HYPERLINK("https://patents.google.com/patent/CN102841604A/en")</f>
        <v>https://patents.google.com/patent/CN102841604A/en</v>
      </c>
    </row>
    <row r="11030" spans="3:5" x14ac:dyDescent="0.25">
      <c r="C11030" t="s">
        <v>20395</v>
      </c>
      <c r="D11030" t="s">
        <v>20396</v>
      </c>
      <c r="E11030" t="str">
        <f>HYPERLINK("https://patents.google.com/patent/KR101488894B1/en")</f>
        <v>https://patents.google.com/patent/KR101488894B1/en</v>
      </c>
    </row>
    <row r="11031" spans="3:5" x14ac:dyDescent="0.25">
      <c r="C11031" t="s">
        <v>20397</v>
      </c>
      <c r="D11031" t="s">
        <v>20398</v>
      </c>
      <c r="E11031" t="str">
        <f>HYPERLINK("https://patents.google.com/patent/DE10320570B4/en")</f>
        <v>https://patents.google.com/patent/DE10320570B4/en</v>
      </c>
    </row>
    <row r="11032" spans="3:5" x14ac:dyDescent="0.25">
      <c r="C11032" t="s">
        <v>20399</v>
      </c>
      <c r="D11032" t="s">
        <v>20400</v>
      </c>
      <c r="E11032" t="str">
        <f>HYPERLINK("https://patents.google.com/patent/US20130137528A1/en")</f>
        <v>https://patents.google.com/patent/US20130137528A1/en</v>
      </c>
    </row>
    <row r="11033" spans="3:5" x14ac:dyDescent="0.25">
      <c r="C11033" t="s">
        <v>20401</v>
      </c>
      <c r="D11033" t="s">
        <v>20402</v>
      </c>
      <c r="E11033" t="str">
        <f>HYPERLINK("https://patents.google.com/patent/JP2006099726A/en")</f>
        <v>https://patents.google.com/patent/JP2006099726A/en</v>
      </c>
    </row>
    <row r="11034" spans="3:5" x14ac:dyDescent="0.25">
      <c r="C11034" t="s">
        <v>20403</v>
      </c>
      <c r="D11034" t="s">
        <v>20404</v>
      </c>
      <c r="E11034" t="str">
        <f>HYPERLINK("https://patents.google.com/patent/CN104133476A/en")</f>
        <v>https://patents.google.com/patent/CN104133476A/en</v>
      </c>
    </row>
    <row r="11035" spans="3:5" x14ac:dyDescent="0.25">
      <c r="C11035" t="s">
        <v>20405</v>
      </c>
      <c r="D11035" t="s">
        <v>20406</v>
      </c>
      <c r="E11035" t="str">
        <f>HYPERLINK("https://patents.google.com/patent/JP2001236137A/en")</f>
        <v>https://patents.google.com/patent/JP2001236137A/en</v>
      </c>
    </row>
    <row r="11036" spans="3:5" x14ac:dyDescent="0.25">
      <c r="C11036" t="s">
        <v>20407</v>
      </c>
      <c r="D11036" t="s">
        <v>20408</v>
      </c>
      <c r="E11036" t="str">
        <f>HYPERLINK("https://patents.google.com/patent/CN107054588A/en")</f>
        <v>https://patents.google.com/patent/CN107054588A/en</v>
      </c>
    </row>
    <row r="11037" spans="3:5" x14ac:dyDescent="0.25">
      <c r="C11037" t="s">
        <v>20409</v>
      </c>
      <c r="D11037" t="s">
        <v>20410</v>
      </c>
      <c r="E11037" t="str">
        <f>HYPERLINK("https://patents.google.com/patent/CN1853873A/en")</f>
        <v>https://patents.google.com/patent/CN1853873A/en</v>
      </c>
    </row>
    <row r="11038" spans="3:5" x14ac:dyDescent="0.25">
      <c r="C11038" t="s">
        <v>20411</v>
      </c>
      <c r="D11038" t="s">
        <v>20412</v>
      </c>
      <c r="E11038" t="str">
        <f>HYPERLINK("https://patents.google.com/patent/JP4934315B2/en")</f>
        <v>https://patents.google.com/patent/JP4934315B2/en</v>
      </c>
    </row>
    <row r="11039" spans="3:5" x14ac:dyDescent="0.25">
      <c r="C11039" t="s">
        <v>20413</v>
      </c>
      <c r="D11039" t="s">
        <v>20414</v>
      </c>
      <c r="E11039" t="str">
        <f>HYPERLINK("https://patents.google.com/patent/KR20120086963A/en")</f>
        <v>https://patents.google.com/patent/KR20120086963A/en</v>
      </c>
    </row>
    <row r="11040" spans="3:5" x14ac:dyDescent="0.25">
      <c r="C11040" t="s">
        <v>20415</v>
      </c>
      <c r="D11040" t="s">
        <v>20416</v>
      </c>
      <c r="E11040" t="str">
        <f>HYPERLINK("https://patents.google.com/patent/CN104085437A/en")</f>
        <v>https://patents.google.com/patent/CN104085437A/en</v>
      </c>
    </row>
    <row r="11041" spans="3:5" x14ac:dyDescent="0.25">
      <c r="C11041" t="s">
        <v>20417</v>
      </c>
      <c r="D11041" t="s">
        <v>20418</v>
      </c>
      <c r="E11041" t="str">
        <f>HYPERLINK("https://patents.google.com/patent/WO2016078081A1/en")</f>
        <v>https://patents.google.com/patent/WO2016078081A1/en</v>
      </c>
    </row>
    <row r="11042" spans="3:5" x14ac:dyDescent="0.25">
      <c r="C11042" t="s">
        <v>20419</v>
      </c>
      <c r="D11042" t="s">
        <v>20420</v>
      </c>
      <c r="E11042" t="str">
        <f>HYPERLINK("https://patents.google.com/patent/CN103281401A/en")</f>
        <v>https://patents.google.com/patent/CN103281401A/en</v>
      </c>
    </row>
    <row r="11043" spans="3:5" x14ac:dyDescent="0.25">
      <c r="C11043" t="s">
        <v>20421</v>
      </c>
      <c r="D11043" t="s">
        <v>20422</v>
      </c>
      <c r="E11043" t="str">
        <f>HYPERLINK("https://patents.google.com/patent/DE4207384A1/en")</f>
        <v>https://patents.google.com/patent/DE4207384A1/en</v>
      </c>
    </row>
    <row r="11044" spans="3:5" x14ac:dyDescent="0.25">
      <c r="C11044" t="s">
        <v>20423</v>
      </c>
      <c r="D11044" t="s">
        <v>20424</v>
      </c>
      <c r="E11044" t="str">
        <f>HYPERLINK("https://patents.google.com/patent/US20160078366A1/en")</f>
        <v>https://patents.google.com/patent/US20160078366A1/en</v>
      </c>
    </row>
    <row r="11045" spans="3:5" x14ac:dyDescent="0.25">
      <c r="C11045" t="s">
        <v>20425</v>
      </c>
      <c r="D11045" t="s">
        <v>20426</v>
      </c>
      <c r="E11045" t="str">
        <f>HYPERLINK("https://patents.google.com/patent/CN104898665A/en")</f>
        <v>https://patents.google.com/patent/CN104898665A/en</v>
      </c>
    </row>
    <row r="11046" spans="3:5" x14ac:dyDescent="0.25">
      <c r="C11046" t="s">
        <v>15729</v>
      </c>
      <c r="D11046" t="s">
        <v>20427</v>
      </c>
      <c r="E11046" t="str">
        <f>HYPERLINK("https://patents.google.com/patent/JP2006198730A/en")</f>
        <v>https://patents.google.com/patent/JP2006198730A/en</v>
      </c>
    </row>
    <row r="11047" spans="3:5" x14ac:dyDescent="0.25">
      <c r="C11047" t="s">
        <v>20428</v>
      </c>
      <c r="D11047" t="s">
        <v>20429</v>
      </c>
      <c r="E11047" t="str">
        <f>HYPERLINK("https://patents.google.com/patent/CN101080963A/en")</f>
        <v>https://patents.google.com/patent/CN101080963A/en</v>
      </c>
    </row>
    <row r="11048" spans="3:5" x14ac:dyDescent="0.25">
      <c r="C11048" t="s">
        <v>20430</v>
      </c>
      <c r="D11048" t="s">
        <v>20431</v>
      </c>
      <c r="E11048" t="str">
        <f>HYPERLINK("https://patents.google.com/patent/CN1802239A/en")</f>
        <v>https://patents.google.com/patent/CN1802239A/en</v>
      </c>
    </row>
    <row r="11049" spans="3:5" x14ac:dyDescent="0.25">
      <c r="C11049" t="s">
        <v>20432</v>
      </c>
      <c r="D11049" t="s">
        <v>20433</v>
      </c>
      <c r="E11049" t="str">
        <f>HYPERLINK("https://patents.google.com/patent/CN203613639U/en")</f>
        <v>https://patents.google.com/patent/CN203613639U/en</v>
      </c>
    </row>
    <row r="11050" spans="3:5" x14ac:dyDescent="0.25">
      <c r="C11050" t="s">
        <v>20434</v>
      </c>
      <c r="D11050" t="s">
        <v>20435</v>
      </c>
      <c r="E11050" t="str">
        <f>HYPERLINK("https://patents.google.com/patent/FR2852373A1/en")</f>
        <v>https://patents.google.com/patent/FR2852373A1/en</v>
      </c>
    </row>
    <row r="11051" spans="3:5" x14ac:dyDescent="0.25">
      <c r="C11051" t="s">
        <v>20436</v>
      </c>
      <c r="D11051" t="s">
        <v>20437</v>
      </c>
      <c r="E11051" t="str">
        <f>HYPERLINK("https://patents.google.com/patent/CN104885664A/en")</f>
        <v>https://patents.google.com/patent/CN104885664A/en</v>
      </c>
    </row>
    <row r="11052" spans="3:5" x14ac:dyDescent="0.25">
      <c r="C11052" t="s">
        <v>20438</v>
      </c>
      <c r="D11052" t="s">
        <v>20439</v>
      </c>
      <c r="E11052" t="str">
        <f>HYPERLINK("https://patents.google.com/patent/CN206720207U/en")</f>
        <v>https://patents.google.com/patent/CN206720207U/en</v>
      </c>
    </row>
    <row r="11053" spans="3:5" x14ac:dyDescent="0.25">
      <c r="C11053" t="s">
        <v>20440</v>
      </c>
      <c r="D11053" t="s">
        <v>20441</v>
      </c>
      <c r="E11053" t="str">
        <f>HYPERLINK("https://patents.google.com/patent/ES2496615T3/en")</f>
        <v>https://patents.google.com/patent/ES2496615T3/en</v>
      </c>
    </row>
    <row r="11054" spans="3:5" x14ac:dyDescent="0.25">
      <c r="C11054" t="s">
        <v>20442</v>
      </c>
      <c r="D11054" t="s">
        <v>20443</v>
      </c>
      <c r="E11054" t="str">
        <f>HYPERLINK("https://patents.google.com/patent/KR20050032197A/en")</f>
        <v>https://patents.google.com/patent/KR20050032197A/en</v>
      </c>
    </row>
    <row r="11055" spans="3:5" x14ac:dyDescent="0.25">
      <c r="C11055" t="s">
        <v>20444</v>
      </c>
      <c r="D11055" t="s">
        <v>20445</v>
      </c>
      <c r="E11055" t="str">
        <f>HYPERLINK("https://patents.google.com/patent/CN106742061A/en")</f>
        <v>https://patents.google.com/patent/CN106742061A/en</v>
      </c>
    </row>
    <row r="11056" spans="3:5" x14ac:dyDescent="0.25">
      <c r="C11056" t="s">
        <v>20446</v>
      </c>
      <c r="D11056" t="s">
        <v>20447</v>
      </c>
      <c r="E11056" t="str">
        <f>HYPERLINK("https://patents.google.com/patent/CN108436885A/en")</f>
        <v>https://patents.google.com/patent/CN108436885A/en</v>
      </c>
    </row>
    <row r="11057" spans="3:5" x14ac:dyDescent="0.25">
      <c r="C11057" t="s">
        <v>20448</v>
      </c>
      <c r="D11057" t="s">
        <v>20449</v>
      </c>
      <c r="E11057" t="str">
        <f>HYPERLINK("https://patents.google.com/patent/JP2008242967A/en")</f>
        <v>https://patents.google.com/patent/JP2008242967A/en</v>
      </c>
    </row>
    <row r="11058" spans="3:5" x14ac:dyDescent="0.25">
      <c r="C11058" t="s">
        <v>20450</v>
      </c>
      <c r="D11058" t="s">
        <v>20451</v>
      </c>
      <c r="E11058" t="str">
        <f>HYPERLINK("https://patents.google.com/patent/EP0487949A1/en")</f>
        <v>https://patents.google.com/patent/EP0487949A1/en</v>
      </c>
    </row>
    <row r="11059" spans="3:5" x14ac:dyDescent="0.25">
      <c r="C11059" t="s">
        <v>20452</v>
      </c>
      <c r="D11059" t="s">
        <v>20453</v>
      </c>
      <c r="E11059" t="str">
        <f>HYPERLINK("https://patents.google.com/patent/CN205098937U/en")</f>
        <v>https://patents.google.com/patent/CN205098937U/en</v>
      </c>
    </row>
    <row r="11060" spans="3:5" x14ac:dyDescent="0.25">
      <c r="C11060" t="s">
        <v>20454</v>
      </c>
      <c r="D11060" t="s">
        <v>20455</v>
      </c>
      <c r="E11060" t="str">
        <f>HYPERLINK("https://patents.google.com/patent/CN202010257U/en")</f>
        <v>https://patents.google.com/patent/CN202010257U/en</v>
      </c>
    </row>
    <row r="11061" spans="3:5" x14ac:dyDescent="0.25">
      <c r="C11061" t="s">
        <v>20456</v>
      </c>
      <c r="D11061" t="s">
        <v>20457</v>
      </c>
      <c r="E11061" t="str">
        <f>HYPERLINK("https://patents.google.com/patent/JP2003030235A/en")</f>
        <v>https://patents.google.com/patent/JP2003030235A/en</v>
      </c>
    </row>
    <row r="11062" spans="3:5" x14ac:dyDescent="0.25">
      <c r="C11062" t="s">
        <v>20458</v>
      </c>
      <c r="D11062" t="s">
        <v>20459</v>
      </c>
      <c r="E11062" t="str">
        <f>HYPERLINK("https://patents.google.com/patent/CN104118580A/en")</f>
        <v>https://patents.google.com/patent/CN104118580A/en</v>
      </c>
    </row>
    <row r="11063" spans="3:5" x14ac:dyDescent="0.25">
      <c r="C11063" t="s">
        <v>20460</v>
      </c>
      <c r="D11063" t="s">
        <v>20461</v>
      </c>
      <c r="E11063" t="str">
        <f>HYPERLINK("https://patents.google.com/patent/FR2636750A1/en")</f>
        <v>https://patents.google.com/patent/FR2636750A1/en</v>
      </c>
    </row>
    <row r="11064" spans="3:5" x14ac:dyDescent="0.25">
      <c r="C11064" t="s">
        <v>20462</v>
      </c>
      <c r="D11064" t="s">
        <v>20463</v>
      </c>
      <c r="E11064" t="str">
        <f>HYPERLINK("https://patents.google.com/patent/FR2531604A1/en")</f>
        <v>https://patents.google.com/patent/FR2531604A1/en</v>
      </c>
    </row>
    <row r="11065" spans="3:5" x14ac:dyDescent="0.25">
      <c r="C11065" t="s">
        <v>20464</v>
      </c>
      <c r="D11065" t="s">
        <v>20465</v>
      </c>
      <c r="E11065" t="str">
        <f>HYPERLINK("https://patents.google.com/patent/FR2628391A1/en")</f>
        <v>https://patents.google.com/patent/FR2628391A1/en</v>
      </c>
    </row>
    <row r="11066" spans="3:5" x14ac:dyDescent="0.25">
      <c r="C11066" t="s">
        <v>20466</v>
      </c>
      <c r="D11066" t="s">
        <v>20467</v>
      </c>
      <c r="E11066" t="str">
        <f>HYPERLINK("https://patents.google.com/patent/JP2005316466A/en")</f>
        <v>https://patents.google.com/patent/JP2005316466A/en</v>
      </c>
    </row>
    <row r="11067" spans="3:5" x14ac:dyDescent="0.25">
      <c r="C11067" t="s">
        <v>20468</v>
      </c>
      <c r="D11067" t="s">
        <v>20469</v>
      </c>
      <c r="E11067" t="str">
        <f>HYPERLINK("https://patents.google.com/patent/JP2005316995A/en")</f>
        <v>https://patents.google.com/patent/JP2005316995A/en</v>
      </c>
    </row>
    <row r="11068" spans="3:5" x14ac:dyDescent="0.25">
      <c r="C11068" t="s">
        <v>20470</v>
      </c>
      <c r="D11068" t="s">
        <v>20471</v>
      </c>
      <c r="E11068" t="str">
        <f>HYPERLINK("https://patents.google.com/patent/CN105174055B/en")</f>
        <v>https://patents.google.com/patent/CN105174055B/en</v>
      </c>
    </row>
    <row r="11069" spans="3:5" x14ac:dyDescent="0.25">
      <c r="C11069" t="s">
        <v>20472</v>
      </c>
      <c r="D11069" t="s">
        <v>20473</v>
      </c>
      <c r="E11069" t="str">
        <f>HYPERLINK("https://patents.google.com/patent/CN104362545A/en")</f>
        <v>https://patents.google.com/patent/CN104362545A/en</v>
      </c>
    </row>
    <row r="11070" spans="3:5" x14ac:dyDescent="0.25">
      <c r="C11070" t="s">
        <v>20474</v>
      </c>
      <c r="D11070" t="s">
        <v>20475</v>
      </c>
      <c r="E11070" t="str">
        <f>HYPERLINK("https://patents.google.com/patent/CN104101342A/en")</f>
        <v>https://patents.google.com/patent/CN104101342A/en</v>
      </c>
    </row>
    <row r="11071" spans="3:5" x14ac:dyDescent="0.25">
      <c r="C11071" t="s">
        <v>20134</v>
      </c>
      <c r="D11071" t="s">
        <v>20476</v>
      </c>
      <c r="E11071" t="str">
        <f>HYPERLINK("https://patents.google.com/patent/CN106655506A/en")</f>
        <v>https://patents.google.com/patent/CN106655506A/en</v>
      </c>
    </row>
    <row r="11072" spans="3:5" x14ac:dyDescent="0.25">
      <c r="C11072" t="s">
        <v>20477</v>
      </c>
      <c r="D11072" t="s">
        <v>20478</v>
      </c>
      <c r="E11072" t="str">
        <f>HYPERLINK("https://patents.google.com/patent/CN203812410U/en")</f>
        <v>https://patents.google.com/patent/CN203812410U/en</v>
      </c>
    </row>
    <row r="11073" spans="3:5" x14ac:dyDescent="0.25">
      <c r="C11073" t="s">
        <v>20479</v>
      </c>
      <c r="D11073" t="s">
        <v>20480</v>
      </c>
      <c r="E11073" t="str">
        <f>HYPERLINK("https://patents.google.com/patent/CN201705819U/en")</f>
        <v>https://patents.google.com/patent/CN201705819U/en</v>
      </c>
    </row>
    <row r="11074" spans="3:5" x14ac:dyDescent="0.25">
      <c r="C11074" t="s">
        <v>20481</v>
      </c>
      <c r="D11074" t="s">
        <v>20482</v>
      </c>
      <c r="E11074" t="str">
        <f>HYPERLINK("https://patents.google.com/patent/DE102013000388B4/en")</f>
        <v>https://patents.google.com/patent/DE102013000388B4/en</v>
      </c>
    </row>
    <row r="11075" spans="3:5" x14ac:dyDescent="0.25">
      <c r="C11075" t="s">
        <v>20483</v>
      </c>
      <c r="D11075" t="s">
        <v>20484</v>
      </c>
      <c r="E11075" t="str">
        <f>HYPERLINK("https://patents.google.com/patent/WO2002045137A2/en")</f>
        <v>https://patents.google.com/patent/WO2002045137A2/en</v>
      </c>
    </row>
    <row r="11076" spans="3:5" x14ac:dyDescent="0.25">
      <c r="C11076" t="s">
        <v>20485</v>
      </c>
      <c r="D11076" t="s">
        <v>20486</v>
      </c>
      <c r="E11076" t="str">
        <f>HYPERLINK("https://patents.google.com/patent/WO2014063806A1/en")</f>
        <v>https://patents.google.com/patent/WO2014063806A1/en</v>
      </c>
    </row>
    <row r="11077" spans="3:5" x14ac:dyDescent="0.25">
      <c r="C11077" t="s">
        <v>20487</v>
      </c>
      <c r="D11077" t="s">
        <v>20488</v>
      </c>
      <c r="E11077" t="str">
        <f>HYPERLINK("https://patents.google.com/patent/JP2013000875A/en")</f>
        <v>https://patents.google.com/patent/JP2013000875A/en</v>
      </c>
    </row>
    <row r="11078" spans="3:5" x14ac:dyDescent="0.25">
      <c r="C11078" t="s">
        <v>20489</v>
      </c>
      <c r="D11078" t="s">
        <v>20490</v>
      </c>
      <c r="E11078" t="str">
        <f>HYPERLINK("https://patents.google.com/patent/RU2429025C2/en")</f>
        <v>https://patents.google.com/patent/RU2429025C2/en</v>
      </c>
    </row>
    <row r="11079" spans="3:5" x14ac:dyDescent="0.25">
      <c r="C11079" t="s">
        <v>20491</v>
      </c>
      <c r="D11079" t="s">
        <v>20492</v>
      </c>
      <c r="E11079" t="str">
        <f>HYPERLINK("https://patents.google.com/patent/CN204355271U/en")</f>
        <v>https://patents.google.com/patent/CN204355271U/en</v>
      </c>
    </row>
    <row r="11080" spans="3:5" x14ac:dyDescent="0.25">
      <c r="C11080" t="s">
        <v>20493</v>
      </c>
      <c r="D11080" t="s">
        <v>20494</v>
      </c>
      <c r="E11080" t="str">
        <f>HYPERLINK("https://patents.google.com/patent/KR100564779B1/en")</f>
        <v>https://patents.google.com/patent/KR100564779B1/en</v>
      </c>
    </row>
    <row r="11081" spans="3:5" x14ac:dyDescent="0.25">
      <c r="C11081" t="s">
        <v>20495</v>
      </c>
      <c r="D11081" t="s">
        <v>20496</v>
      </c>
      <c r="E11081" t="str">
        <f>HYPERLINK("https://patents.google.com/patent/FR2627114A1/en")</f>
        <v>https://patents.google.com/patent/FR2627114A1/en</v>
      </c>
    </row>
    <row r="11082" spans="3:5" x14ac:dyDescent="0.25">
      <c r="C11082" t="s">
        <v>20497</v>
      </c>
      <c r="D11082" t="s">
        <v>20498</v>
      </c>
      <c r="E11082" t="str">
        <f>HYPERLINK("https://patents.google.com/patent/CN101477689A/en")</f>
        <v>https://patents.google.com/patent/CN101477689A/en</v>
      </c>
    </row>
    <row r="11083" spans="3:5" x14ac:dyDescent="0.25">
      <c r="C11083" t="s">
        <v>20499</v>
      </c>
      <c r="D11083" t="s">
        <v>20500</v>
      </c>
      <c r="E11083" t="str">
        <f>HYPERLINK("https://patents.google.com/patent/JP2002342851A/en")</f>
        <v>https://patents.google.com/patent/JP2002342851A/en</v>
      </c>
    </row>
    <row r="11084" spans="3:5" x14ac:dyDescent="0.25">
      <c r="C11084" t="s">
        <v>20501</v>
      </c>
      <c r="D11084" t="s">
        <v>20502</v>
      </c>
      <c r="E11084" t="str">
        <f>HYPERLINK("https://patents.google.com/patent/CN206233877U/en")</f>
        <v>https://patents.google.com/patent/CN206233877U/en</v>
      </c>
    </row>
    <row r="11085" spans="3:5" x14ac:dyDescent="0.25">
      <c r="C11085" t="s">
        <v>20503</v>
      </c>
      <c r="D11085" t="s">
        <v>20504</v>
      </c>
      <c r="E11085" t="str">
        <f>HYPERLINK("https://patents.google.com/patent/US20140032466A1/en")</f>
        <v>https://patents.google.com/patent/US20140032466A1/en</v>
      </c>
    </row>
    <row r="11086" spans="3:5" x14ac:dyDescent="0.25">
      <c r="C11086" t="s">
        <v>20505</v>
      </c>
      <c r="D11086" t="s">
        <v>20506</v>
      </c>
      <c r="E11086" t="str">
        <f>HYPERLINK("https://patents.google.com/patent/CN205363914U/en")</f>
        <v>https://patents.google.com/patent/CN205363914U/en</v>
      </c>
    </row>
    <row r="11087" spans="3:5" x14ac:dyDescent="0.25">
      <c r="C11087" t="s">
        <v>20507</v>
      </c>
      <c r="D11087" t="s">
        <v>20508</v>
      </c>
      <c r="E11087" t="str">
        <f>HYPERLINK("https://patents.google.com/patent/CN103696059A/en")</f>
        <v>https://patents.google.com/patent/CN103696059A/en</v>
      </c>
    </row>
    <row r="11088" spans="3:5" x14ac:dyDescent="0.25">
      <c r="C11088" t="s">
        <v>20509</v>
      </c>
      <c r="D11088" t="s">
        <v>20510</v>
      </c>
      <c r="E11088" t="str">
        <f>HYPERLINK("https://patents.google.com/patent/JPH09108828A/en")</f>
        <v>https://patents.google.com/patent/JPH09108828A/en</v>
      </c>
    </row>
    <row r="11089" spans="3:5" x14ac:dyDescent="0.25">
      <c r="C11089" t="s">
        <v>20511</v>
      </c>
      <c r="D11089" t="s">
        <v>20512</v>
      </c>
      <c r="E11089" t="str">
        <f>HYPERLINK("https://patents.google.com/patent/KR101478388B1/en")</f>
        <v>https://patents.google.com/patent/KR101478388B1/en</v>
      </c>
    </row>
    <row r="11090" spans="3:5" x14ac:dyDescent="0.25">
      <c r="C11090" t="s">
        <v>20513</v>
      </c>
      <c r="D11090" t="s">
        <v>20514</v>
      </c>
      <c r="E11090" t="str">
        <f>HYPERLINK("https://patents.google.com/patent/CN206480982U/en")</f>
        <v>https://patents.google.com/patent/CN206480982U/en</v>
      </c>
    </row>
    <row r="11091" spans="3:5" x14ac:dyDescent="0.25">
      <c r="C11091" t="s">
        <v>20515</v>
      </c>
      <c r="D11091" t="s">
        <v>20516</v>
      </c>
      <c r="E11091" t="str">
        <f>HYPERLINK("https://patents.google.com/patent/KR101627976B1/en")</f>
        <v>https://patents.google.com/patent/KR101627976B1/en</v>
      </c>
    </row>
    <row r="11092" spans="3:5" x14ac:dyDescent="0.25">
      <c r="C11092" t="s">
        <v>20517</v>
      </c>
      <c r="D11092" t="s">
        <v>20518</v>
      </c>
      <c r="E11092" t="str">
        <f>HYPERLINK("https://patents.google.com/patent/CN205574098U/en")</f>
        <v>https://patents.google.com/patent/CN205574098U/en</v>
      </c>
    </row>
    <row r="11093" spans="3:5" x14ac:dyDescent="0.25">
      <c r="C11093" t="s">
        <v>20519</v>
      </c>
      <c r="D11093" t="s">
        <v>20520</v>
      </c>
      <c r="E11093" t="str">
        <f>HYPERLINK("https://patents.google.com/patent/CN203909785U/en")</f>
        <v>https://patents.google.com/patent/CN203909785U/en</v>
      </c>
    </row>
    <row r="11094" spans="3:5" x14ac:dyDescent="0.25">
      <c r="C11094" t="s">
        <v>20521</v>
      </c>
      <c r="D11094" t="s">
        <v>20522</v>
      </c>
      <c r="E11094" t="str">
        <f>HYPERLINK("https://patents.google.com/patent/KR200337642Y1/en")</f>
        <v>https://patents.google.com/patent/KR200337642Y1/en</v>
      </c>
    </row>
    <row r="11095" spans="3:5" x14ac:dyDescent="0.25">
      <c r="C11095" t="s">
        <v>20523</v>
      </c>
      <c r="D11095" t="s">
        <v>20524</v>
      </c>
      <c r="E11095" t="str">
        <f>HYPERLINK("https://patents.google.com/patent/CN205377162U/en")</f>
        <v>https://patents.google.com/patent/CN205377162U/en</v>
      </c>
    </row>
    <row r="11096" spans="3:5" x14ac:dyDescent="0.25">
      <c r="C11096" t="s">
        <v>20525</v>
      </c>
      <c r="D11096" t="s">
        <v>20526</v>
      </c>
      <c r="E11096" t="str">
        <f>HYPERLINK("https://patents.google.com/patent/CN207292425U/en")</f>
        <v>https://patents.google.com/patent/CN207292425U/en</v>
      </c>
    </row>
    <row r="11097" spans="3:5" x14ac:dyDescent="0.25">
      <c r="C11097" t="s">
        <v>20527</v>
      </c>
      <c r="D11097" t="s">
        <v>20528</v>
      </c>
      <c r="E11097" t="str">
        <f>HYPERLINK("https://patents.google.com/patent/JP4792280B2/en")</f>
        <v>https://patents.google.com/patent/JP4792280B2/en</v>
      </c>
    </row>
    <row r="11098" spans="3:5" x14ac:dyDescent="0.25">
      <c r="C11098" t="s">
        <v>20529</v>
      </c>
      <c r="D11098" t="s">
        <v>20530</v>
      </c>
      <c r="E11098" t="str">
        <f>HYPERLINK("https://patents.google.com/patent/CN206456445U/en")</f>
        <v>https://patents.google.com/patent/CN206456445U/en</v>
      </c>
    </row>
    <row r="11099" spans="3:5" x14ac:dyDescent="0.25">
      <c r="C11099" t="s">
        <v>20531</v>
      </c>
      <c r="D11099" t="s">
        <v>20532</v>
      </c>
      <c r="E11099" t="str">
        <f>HYPERLINK("https://patents.google.com/patent/KR101503525B1/en")</f>
        <v>https://patents.google.com/patent/KR101503525B1/en</v>
      </c>
    </row>
    <row r="11100" spans="3:5" x14ac:dyDescent="0.25">
      <c r="C11100" t="s">
        <v>20533</v>
      </c>
      <c r="D11100" t="s">
        <v>20534</v>
      </c>
      <c r="E11100" t="str">
        <f>HYPERLINK("https://patents.google.com/patent/CN104953709A/en")</f>
        <v>https://patents.google.com/patent/CN104953709A/en</v>
      </c>
    </row>
    <row r="11101" spans="3:5" x14ac:dyDescent="0.25">
      <c r="C11101" t="s">
        <v>20535</v>
      </c>
      <c r="D11101" t="s">
        <v>20536</v>
      </c>
      <c r="E11101" t="str">
        <f>HYPERLINK("https://patents.google.com/patent/US20170225329A1/en")</f>
        <v>https://patents.google.com/patent/US20170225329A1/en</v>
      </c>
    </row>
    <row r="11102" spans="3:5" x14ac:dyDescent="0.25">
      <c r="C11102" t="s">
        <v>20537</v>
      </c>
      <c r="D11102" t="s">
        <v>20538</v>
      </c>
      <c r="E11102" t="str">
        <f>HYPERLINK("https://patents.google.com/patent/CN207148648U/en")</f>
        <v>https://patents.google.com/patent/CN207148648U/en</v>
      </c>
    </row>
    <row r="11103" spans="3:5" x14ac:dyDescent="0.25">
      <c r="C11103" t="s">
        <v>20539</v>
      </c>
      <c r="D11103" t="s">
        <v>20540</v>
      </c>
      <c r="E11103" t="str">
        <f>HYPERLINK("https://patents.google.com/patent/CN105514864B/en")</f>
        <v>https://patents.google.com/patent/CN105514864B/en</v>
      </c>
    </row>
    <row r="11104" spans="3:5" x14ac:dyDescent="0.25">
      <c r="C11104" t="s">
        <v>20541</v>
      </c>
      <c r="D11104" t="s">
        <v>20542</v>
      </c>
      <c r="E11104" t="str">
        <f>HYPERLINK("https://patents.google.com/patent/CN207717096U/en")</f>
        <v>https://patents.google.com/patent/CN207717096U/en</v>
      </c>
    </row>
    <row r="11105" spans="3:5" x14ac:dyDescent="0.25">
      <c r="C11105" t="s">
        <v>8396</v>
      </c>
      <c r="D11105" t="s">
        <v>20543</v>
      </c>
      <c r="E11105" t="str">
        <f>HYPERLINK("https://patents.google.com/patent/DE102014116233A1/en")</f>
        <v>https://patents.google.com/patent/DE102014116233A1/en</v>
      </c>
    </row>
    <row r="11106" spans="3:5" x14ac:dyDescent="0.25">
      <c r="C11106" t="s">
        <v>20134</v>
      </c>
      <c r="D11106" t="s">
        <v>20544</v>
      </c>
      <c r="E11106" t="str">
        <f>HYPERLINK("https://patents.google.com/patent/CN106556428A/en")</f>
        <v>https://patents.google.com/patent/CN106556428A/en</v>
      </c>
    </row>
    <row r="11107" spans="3:5" x14ac:dyDescent="0.25">
      <c r="C11107" t="s">
        <v>20545</v>
      </c>
      <c r="D11107" t="s">
        <v>20546</v>
      </c>
      <c r="E11107" t="str">
        <f>HYPERLINK("https://patents.google.com/patent/CN107081765A/en")</f>
        <v>https://patents.google.com/patent/CN107081765A/en</v>
      </c>
    </row>
    <row r="11108" spans="3:5" x14ac:dyDescent="0.25">
      <c r="C11108" t="s">
        <v>20547</v>
      </c>
      <c r="D11108" t="s">
        <v>20548</v>
      </c>
      <c r="E11108" t="str">
        <f>HYPERLINK("https://patents.google.com/patent/CN105857440A/en")</f>
        <v>https://patents.google.com/patent/CN105857440A/en</v>
      </c>
    </row>
    <row r="11109" spans="3:5" x14ac:dyDescent="0.25">
      <c r="C11109" t="s">
        <v>20549</v>
      </c>
      <c r="D11109" t="s">
        <v>20550</v>
      </c>
      <c r="E11109" t="str">
        <f>HYPERLINK("https://patents.google.com/patent/CN105790372A/en")</f>
        <v>https://patents.google.com/patent/CN105790372A/en</v>
      </c>
    </row>
    <row r="11110" spans="3:5" x14ac:dyDescent="0.25">
      <c r="C11110" t="s">
        <v>20551</v>
      </c>
      <c r="D11110" t="s">
        <v>20552</v>
      </c>
      <c r="E11110" t="str">
        <f>HYPERLINK("https://patents.google.com/patent/KR20020067882A/en")</f>
        <v>https://patents.google.com/patent/KR20020067882A/en</v>
      </c>
    </row>
    <row r="11111" spans="3:5" x14ac:dyDescent="0.25">
      <c r="C11111" t="s">
        <v>20553</v>
      </c>
      <c r="D11111" t="s">
        <v>20554</v>
      </c>
      <c r="E11111" t="str">
        <f>HYPERLINK("https://patents.google.com/patent/CN207868423U/en")</f>
        <v>https://patents.google.com/patent/CN207868423U/en</v>
      </c>
    </row>
    <row r="11112" spans="3:5" x14ac:dyDescent="0.25">
      <c r="C11112" t="s">
        <v>20555</v>
      </c>
      <c r="D11112" t="s">
        <v>20556</v>
      </c>
      <c r="E11112" t="str">
        <f>HYPERLINK("https://patents.google.com/patent/CN206187895U/en")</f>
        <v>https://patents.google.com/patent/CN206187895U/en</v>
      </c>
    </row>
    <row r="11113" spans="3:5" x14ac:dyDescent="0.25">
      <c r="C11113" t="s">
        <v>20557</v>
      </c>
      <c r="D11113" t="s">
        <v>20558</v>
      </c>
      <c r="E11113" t="str">
        <f>HYPERLINK("https://patents.google.com/patent/CN106593324B/en")</f>
        <v>https://patents.google.com/patent/CN106593324B/en</v>
      </c>
    </row>
    <row r="11114" spans="3:5" x14ac:dyDescent="0.25">
      <c r="C11114" t="s">
        <v>20559</v>
      </c>
      <c r="D11114" t="s">
        <v>20560</v>
      </c>
      <c r="E11114" t="str">
        <f>HYPERLINK("https://patents.google.com/patent/CN101665128B/en")</f>
        <v>https://patents.google.com/patent/CN101665128B/en</v>
      </c>
    </row>
    <row r="11115" spans="3:5" x14ac:dyDescent="0.25">
      <c r="C11115" t="s">
        <v>20561</v>
      </c>
      <c r="D11115" t="s">
        <v>20562</v>
      </c>
      <c r="E11115" t="str">
        <f>HYPERLINK("https://patents.google.com/patent/CN102089723B/en")</f>
        <v>https://patents.google.com/patent/CN102089723B/en</v>
      </c>
    </row>
    <row r="11116" spans="3:5" x14ac:dyDescent="0.25">
      <c r="C11116" t="s">
        <v>6986</v>
      </c>
      <c r="D11116" t="s">
        <v>20563</v>
      </c>
      <c r="E11116" t="str">
        <f>HYPERLINK("https://patents.google.com/patent/WO2017187620A1/en")</f>
        <v>https://patents.google.com/patent/WO2017187620A1/en</v>
      </c>
    </row>
    <row r="11117" spans="3:5" x14ac:dyDescent="0.25">
      <c r="C11117" t="s">
        <v>20564</v>
      </c>
      <c r="D11117" t="s">
        <v>20565</v>
      </c>
      <c r="E11117" t="str">
        <f>HYPERLINK("https://patents.google.com/patent/CN106275519B/en")</f>
        <v>https://patents.google.com/patent/CN106275519B/en</v>
      </c>
    </row>
    <row r="11118" spans="3:5" x14ac:dyDescent="0.25">
      <c r="C11118" t="s">
        <v>20566</v>
      </c>
      <c r="D11118" t="s">
        <v>20567</v>
      </c>
      <c r="E11118" t="str">
        <f>HYPERLINK("https://patents.google.com/patent/NL1034796C2/en")</f>
        <v>https://patents.google.com/patent/NL1034796C2/en</v>
      </c>
    </row>
    <row r="11119" spans="3:5" x14ac:dyDescent="0.25">
      <c r="C11119" t="s">
        <v>20568</v>
      </c>
      <c r="D11119" t="s">
        <v>20569</v>
      </c>
      <c r="E11119" t="str">
        <f>HYPERLINK("https://patents.google.com/patent/CN105239504B/en")</f>
        <v>https://patents.google.com/patent/CN105239504B/en</v>
      </c>
    </row>
    <row r="11120" spans="3:5" x14ac:dyDescent="0.25">
      <c r="C11120" t="s">
        <v>20570</v>
      </c>
      <c r="D11120" t="s">
        <v>20571</v>
      </c>
      <c r="E11120" t="str">
        <f>HYPERLINK("https://patents.google.com/patent/DE19814630B4/en")</f>
        <v>https://patents.google.com/patent/DE19814630B4/en</v>
      </c>
    </row>
    <row r="11121" spans="3:5" x14ac:dyDescent="0.25">
      <c r="C11121" t="s">
        <v>20572</v>
      </c>
      <c r="D11121" t="s">
        <v>20573</v>
      </c>
      <c r="E11121" t="str">
        <f>HYPERLINK("https://patents.google.com/patent/KR100252190B1/en")</f>
        <v>https://patents.google.com/patent/KR100252190B1/en</v>
      </c>
    </row>
    <row r="11122" spans="3:5" x14ac:dyDescent="0.25">
      <c r="C11122" t="s">
        <v>20574</v>
      </c>
      <c r="D11122" t="s">
        <v>20575</v>
      </c>
      <c r="E11122" t="str">
        <f>HYPERLINK("https://patents.google.com/patent/CN203819563U/en")</f>
        <v>https://patents.google.com/patent/CN203819563U/en</v>
      </c>
    </row>
    <row r="11123" spans="3:5" x14ac:dyDescent="0.25">
      <c r="C11123" t="s">
        <v>20576</v>
      </c>
      <c r="D11123" t="s">
        <v>20577</v>
      </c>
      <c r="E11123" t="str">
        <f>HYPERLINK("https://patents.google.com/patent/CN106043483B/en")</f>
        <v>https://patents.google.com/patent/CN106043483B/en</v>
      </c>
    </row>
    <row r="11124" spans="3:5" x14ac:dyDescent="0.25">
      <c r="C11124" t="s">
        <v>20578</v>
      </c>
      <c r="D11124" t="s">
        <v>20579</v>
      </c>
      <c r="E11124" t="str">
        <f>HYPERLINK("https://patents.google.com/patent/FR2628390A1/en")</f>
        <v>https://patents.google.com/patent/FR2628390A1/en</v>
      </c>
    </row>
    <row r="11125" spans="3:5" x14ac:dyDescent="0.25">
      <c r="C11125" t="s">
        <v>20580</v>
      </c>
      <c r="D11125" t="s">
        <v>20581</v>
      </c>
      <c r="E11125" t="str">
        <f>HYPERLINK("https://patents.google.com/patent/DE102017001385A1/en")</f>
        <v>https://patents.google.com/patent/DE102017001385A1/en</v>
      </c>
    </row>
    <row r="11126" spans="3:5" x14ac:dyDescent="0.25">
      <c r="C11126" t="s">
        <v>20582</v>
      </c>
      <c r="D11126" t="s">
        <v>20583</v>
      </c>
      <c r="E11126" t="str">
        <f>HYPERLINK("https://patents.google.com/patent/JP2016037808A/en")</f>
        <v>https://patents.google.com/patent/JP2016037808A/en</v>
      </c>
    </row>
    <row r="11127" spans="3:5" x14ac:dyDescent="0.25">
      <c r="C11127" t="s">
        <v>20584</v>
      </c>
      <c r="D11127" t="s">
        <v>20585</v>
      </c>
      <c r="E11127" t="str">
        <f>HYPERLINK("https://patents.google.com/patent/JPH0822325A/en")</f>
        <v>https://patents.google.com/patent/JPH0822325A/en</v>
      </c>
    </row>
    <row r="11128" spans="3:5" x14ac:dyDescent="0.25">
      <c r="C11128" t="s">
        <v>20586</v>
      </c>
      <c r="D11128" t="s">
        <v>20587</v>
      </c>
      <c r="E11128" t="str">
        <f>HYPERLINK("https://patents.google.com/patent/JP2018138221A/en")</f>
        <v>https://patents.google.com/patent/JP2018138221A/en</v>
      </c>
    </row>
    <row r="11129" spans="3:5" x14ac:dyDescent="0.25">
      <c r="C11129" t="s">
        <v>20588</v>
      </c>
      <c r="D11129" t="s">
        <v>20589</v>
      </c>
      <c r="E11129" t="str">
        <f>HYPERLINK("https://patents.google.com/patent/CN207505054U/en")</f>
        <v>https://patents.google.com/patent/CN207505054U/en</v>
      </c>
    </row>
    <row r="11130" spans="3:5" x14ac:dyDescent="0.25">
      <c r="C11130" t="s">
        <v>20590</v>
      </c>
      <c r="D11130" t="s">
        <v>20591</v>
      </c>
      <c r="E11130" t="str">
        <f>HYPERLINK("https://patents.google.com/patent/CN103927739B/en")</f>
        <v>https://patents.google.com/patent/CN103927739B/en</v>
      </c>
    </row>
    <row r="11131" spans="3:5" x14ac:dyDescent="0.25">
      <c r="C11131" t="s">
        <v>20592</v>
      </c>
      <c r="D11131" t="s">
        <v>20593</v>
      </c>
      <c r="E11131" t="str">
        <f>HYPERLINK("https://patents.google.com/patent/CN106537496A/en")</f>
        <v>https://patents.google.com/patent/CN106537496A/en</v>
      </c>
    </row>
    <row r="11132" spans="3:5" x14ac:dyDescent="0.25">
      <c r="C11132" t="s">
        <v>20594</v>
      </c>
      <c r="D11132" t="s">
        <v>20595</v>
      </c>
      <c r="E11132" t="str">
        <f>HYPERLINK("https://patents.google.com/patent/CN105790436A/en")</f>
        <v>https://patents.google.com/patent/CN105790436A/en</v>
      </c>
    </row>
    <row r="11133" spans="3:5" x14ac:dyDescent="0.25">
      <c r="C11133" t="s">
        <v>20596</v>
      </c>
      <c r="D11133" t="s">
        <v>20597</v>
      </c>
      <c r="E11133" t="str">
        <f>HYPERLINK("https://patents.google.com/patent/CN106537497A/en")</f>
        <v>https://patents.google.com/patent/CN106537497A/en</v>
      </c>
    </row>
    <row r="11134" spans="3:5" x14ac:dyDescent="0.25">
      <c r="C11134" t="s">
        <v>20598</v>
      </c>
      <c r="D11134" t="s">
        <v>20599</v>
      </c>
      <c r="E11134" t="str">
        <f>HYPERLINK("https://patents.google.com/patent/EP2948936A1/en")</f>
        <v>https://patents.google.com/patent/EP2948936A1/en</v>
      </c>
    </row>
    <row r="11135" spans="3:5" x14ac:dyDescent="0.25">
      <c r="C11135" t="s">
        <v>20600</v>
      </c>
      <c r="D11135" t="s">
        <v>20601</v>
      </c>
      <c r="E11135" t="str">
        <f>HYPERLINK("https://patents.google.com/patent/WO2015070634A1/en")</f>
        <v>https://patents.google.com/patent/WO2015070634A1/en</v>
      </c>
    </row>
    <row r="11136" spans="3:5" x14ac:dyDescent="0.25">
      <c r="C11136" t="s">
        <v>20602</v>
      </c>
      <c r="D11136" t="s">
        <v>20603</v>
      </c>
      <c r="E11136" t="str">
        <f>HYPERLINK("https://patents.google.com/patent/CN103853095B/en")</f>
        <v>https://patents.google.com/patent/CN103853095B/en</v>
      </c>
    </row>
    <row r="11137" spans="3:5" x14ac:dyDescent="0.25">
      <c r="C11137" t="s">
        <v>20604</v>
      </c>
      <c r="D11137" t="s">
        <v>20605</v>
      </c>
      <c r="E11137" t="str">
        <f>HYPERLINK("https://patents.google.com/patent/CN101558508B/en")</f>
        <v>https://patents.google.com/patent/CN101558508B/en</v>
      </c>
    </row>
    <row r="11138" spans="3:5" x14ac:dyDescent="0.25">
      <c r="C11138" t="s">
        <v>20606</v>
      </c>
      <c r="D11138" t="s">
        <v>20607</v>
      </c>
      <c r="E11138" t="str">
        <f>HYPERLINK("https://patents.google.com/patent/FR2811064A1/en")</f>
        <v>https://patents.google.com/patent/FR2811064A1/en</v>
      </c>
    </row>
    <row r="11139" spans="3:5" x14ac:dyDescent="0.25">
      <c r="C11139" t="s">
        <v>20608</v>
      </c>
      <c r="D11139" t="s">
        <v>20609</v>
      </c>
      <c r="E11139" t="str">
        <f>HYPERLINK("https://patents.google.com/patent/CN207584272U/en")</f>
        <v>https://patents.google.com/patent/CN207584272U/en</v>
      </c>
    </row>
    <row r="11140" spans="3:5" x14ac:dyDescent="0.25">
      <c r="C11140" t="s">
        <v>20610</v>
      </c>
      <c r="D11140" t="s">
        <v>20611</v>
      </c>
      <c r="E11140" t="str">
        <f>HYPERLINK("https://patents.google.com/patent/CN206844201U/en")</f>
        <v>https://patents.google.com/patent/CN206844201U/en</v>
      </c>
    </row>
    <row r="11141" spans="3:5" x14ac:dyDescent="0.25">
      <c r="C11141" t="s">
        <v>20612</v>
      </c>
      <c r="D11141" t="s">
        <v>20613</v>
      </c>
      <c r="E11141" t="str">
        <f>HYPERLINK("https://patents.google.com/patent/WO2002054309A1/en")</f>
        <v>https://patents.google.com/patent/WO2002054309A1/en</v>
      </c>
    </row>
    <row r="11142" spans="3:5" x14ac:dyDescent="0.25">
      <c r="C11142" t="s">
        <v>20614</v>
      </c>
      <c r="D11142" t="s">
        <v>20615</v>
      </c>
      <c r="E11142" t="str">
        <f>HYPERLINK("https://patents.google.com/patent/EP0193463A2/en")</f>
        <v>https://patents.google.com/patent/EP0193463A2/en</v>
      </c>
    </row>
    <row r="11143" spans="3:5" x14ac:dyDescent="0.25">
      <c r="C11143" t="s">
        <v>20616</v>
      </c>
      <c r="D11143" t="s">
        <v>20617</v>
      </c>
      <c r="E11143" t="str">
        <f>HYPERLINK("https://patents.google.com/patent/CN104675870A/en")</f>
        <v>https://patents.google.com/patent/CN104675870A/en</v>
      </c>
    </row>
    <row r="11144" spans="3:5" x14ac:dyDescent="0.25">
      <c r="C11144" t="s">
        <v>20618</v>
      </c>
      <c r="D11144" t="s">
        <v>20619</v>
      </c>
      <c r="E11144" t="str">
        <f>HYPERLINK("https://patents.google.com/patent/CN206193489U/en")</f>
        <v>https://patents.google.com/patent/CN206193489U/en</v>
      </c>
    </row>
    <row r="11145" spans="3:5" x14ac:dyDescent="0.25">
      <c r="C11145" t="s">
        <v>20620</v>
      </c>
      <c r="D11145" t="s">
        <v>20621</v>
      </c>
      <c r="E11145" t="str">
        <f>HYPERLINK("https://patents.google.com/patent/CN206290288U/en")</f>
        <v>https://patents.google.com/patent/CN206290288U/en</v>
      </c>
    </row>
    <row r="11146" spans="3:5" x14ac:dyDescent="0.25">
      <c r="C11146" t="s">
        <v>20622</v>
      </c>
      <c r="D11146" t="s">
        <v>20623</v>
      </c>
      <c r="E11146" t="str">
        <f>HYPERLINK("https://patents.google.com/patent/CN206639220U/en")</f>
        <v>https://patents.google.com/patent/CN206639220U/en</v>
      </c>
    </row>
    <row r="11147" spans="3:5" x14ac:dyDescent="0.25">
      <c r="C11147" t="s">
        <v>19325</v>
      </c>
      <c r="D11147" t="s">
        <v>20624</v>
      </c>
      <c r="E11147" t="str">
        <f>HYPERLINK("https://patents.google.com/patent/US20180047395A1/en")</f>
        <v>https://patents.google.com/patent/US20180047395A1/en</v>
      </c>
    </row>
    <row r="11148" spans="3:5" x14ac:dyDescent="0.25">
      <c r="C11148" t="s">
        <v>20625</v>
      </c>
      <c r="D11148" t="s">
        <v>20626</v>
      </c>
      <c r="E11148" t="str">
        <f>HYPERLINK("https://patents.google.com/patent/ES2548545T3/en")</f>
        <v>https://patents.google.com/patent/ES2548545T3/en</v>
      </c>
    </row>
    <row r="11149" spans="3:5" x14ac:dyDescent="0.25">
      <c r="C11149" t="s">
        <v>20627</v>
      </c>
      <c r="D11149" t="s">
        <v>20628</v>
      </c>
      <c r="E11149" t="str">
        <f>HYPERLINK("https://patents.google.com/patent/CN100476431C/en")</f>
        <v>https://patents.google.com/patent/CN100476431C/en</v>
      </c>
    </row>
    <row r="11150" spans="3:5" x14ac:dyDescent="0.25">
      <c r="C11150" t="s">
        <v>20629</v>
      </c>
      <c r="D11150" t="s">
        <v>20630</v>
      </c>
      <c r="E11150" t="str">
        <f>HYPERLINK("https://patents.google.com/patent/CN206891284U/en")</f>
        <v>https://patents.google.com/patent/CN206891284U/en</v>
      </c>
    </row>
    <row r="11151" spans="3:5" x14ac:dyDescent="0.25">
      <c r="C11151" t="s">
        <v>20631</v>
      </c>
      <c r="D11151" t="s">
        <v>20632</v>
      </c>
      <c r="E11151" t="str">
        <f>HYPERLINK("https://patents.google.com/patent/EP0273791A1/fr")</f>
        <v>https://patents.google.com/patent/EP0273791A1/fr</v>
      </c>
    </row>
    <row r="11152" spans="3:5" x14ac:dyDescent="0.25">
      <c r="C11152" t="s">
        <v>20633</v>
      </c>
      <c r="D11152" t="s">
        <v>20634</v>
      </c>
      <c r="E11152" t="str">
        <f>HYPERLINK("https://patents.google.com/patent/WO2003013815A1/fr")</f>
        <v>https://patents.google.com/patent/WO2003013815A1/fr</v>
      </c>
    </row>
    <row r="11153" spans="3:5" x14ac:dyDescent="0.25">
      <c r="C11153" t="s">
        <v>20635</v>
      </c>
      <c r="D11153" t="s">
        <v>20636</v>
      </c>
      <c r="E11153" t="str">
        <f>HYPERLINK("https://patents.google.com/patent/FR2648300A1/fr")</f>
        <v>https://patents.google.com/patent/FR2648300A1/fr</v>
      </c>
    </row>
    <row r="11154" spans="3:5" x14ac:dyDescent="0.25">
      <c r="C11154" t="s">
        <v>20637</v>
      </c>
      <c r="D11154" t="s">
        <v>20638</v>
      </c>
      <c r="E11154" t="str">
        <f>HYPERLINK("https://patents.google.com/patent/EP0479677A2/fr")</f>
        <v>https://patents.google.com/patent/EP0479677A2/fr</v>
      </c>
    </row>
    <row r="11155" spans="3:5" x14ac:dyDescent="0.25">
      <c r="C11155" t="s">
        <v>20639</v>
      </c>
      <c r="D11155" t="s">
        <v>20640</v>
      </c>
      <c r="E11155" t="str">
        <f>HYPERLINK("https://patents.google.com/patent/EP2567670A1/fr")</f>
        <v>https://patents.google.com/patent/EP2567670A1/fr</v>
      </c>
    </row>
    <row r="11156" spans="3:5" x14ac:dyDescent="0.25">
      <c r="C11156" t="s">
        <v>20641</v>
      </c>
      <c r="D11156" t="s">
        <v>20642</v>
      </c>
      <c r="E11156" t="str">
        <f>HYPERLINK("https://patents.google.com/patent/EP1364755A1/fr")</f>
        <v>https://patents.google.com/patent/EP1364755A1/fr</v>
      </c>
    </row>
    <row r="11157" spans="3:5" x14ac:dyDescent="0.25">
      <c r="C11157" t="s">
        <v>20643</v>
      </c>
      <c r="D11157" t="s">
        <v>20644</v>
      </c>
      <c r="E11157" t="str">
        <f>HYPERLINK("https://patents.google.com/patent/EP0265855A1/fr")</f>
        <v>https://patents.google.com/patent/EP0265855A1/fr</v>
      </c>
    </row>
    <row r="11158" spans="3:5" x14ac:dyDescent="0.25">
      <c r="C11158" t="s">
        <v>20645</v>
      </c>
      <c r="D11158" t="s">
        <v>20646</v>
      </c>
      <c r="E11158" t="str">
        <f>HYPERLINK("https://patents.google.com/patent/EP2492550A1/fr")</f>
        <v>https://patents.google.com/patent/EP2492550A1/fr</v>
      </c>
    </row>
    <row r="11159" spans="3:5" x14ac:dyDescent="0.25">
      <c r="C11159" t="s">
        <v>20647</v>
      </c>
      <c r="D11159" t="s">
        <v>20648</v>
      </c>
      <c r="E11159" t="str">
        <f>HYPERLINK("https://patents.google.com/patent/FR2606431A1/fr")</f>
        <v>https://patents.google.com/patent/FR2606431A1/fr</v>
      </c>
    </row>
    <row r="11160" spans="3:5" x14ac:dyDescent="0.25">
      <c r="C11160" t="s">
        <v>20649</v>
      </c>
      <c r="D11160" t="s">
        <v>20650</v>
      </c>
      <c r="E11160" t="str">
        <f>HYPERLINK("https://patents.google.com/patent/EP0401751B1/fr")</f>
        <v>https://patents.google.com/patent/EP0401751B1/fr</v>
      </c>
    </row>
    <row r="11161" spans="3:5" x14ac:dyDescent="0.25">
      <c r="C11161" t="s">
        <v>20651</v>
      </c>
      <c r="D11161" t="s">
        <v>20652</v>
      </c>
      <c r="E11161" t="str">
        <f>HYPERLINK("https://patents.google.com/patent/EP1379429B1/fr")</f>
        <v>https://patents.google.com/patent/EP1379429B1/fr</v>
      </c>
    </row>
    <row r="11162" spans="3:5" x14ac:dyDescent="0.25">
      <c r="C11162" t="s">
        <v>20653</v>
      </c>
      <c r="D11162" t="s">
        <v>20654</v>
      </c>
      <c r="E11162" t="str">
        <f>HYPERLINK("https://patents.google.com/patent/FR2505718A1/fr")</f>
        <v>https://patents.google.com/patent/FR2505718A1/fr</v>
      </c>
    </row>
    <row r="11163" spans="3:5" x14ac:dyDescent="0.25">
      <c r="C11163" t="s">
        <v>20655</v>
      </c>
      <c r="D11163" t="s">
        <v>20656</v>
      </c>
      <c r="E11163" t="str">
        <f>HYPERLINK("https://patents.google.com/patent/EP0270452A1/fr")</f>
        <v>https://patents.google.com/patent/EP0270452A1/fr</v>
      </c>
    </row>
    <row r="11164" spans="3:5" x14ac:dyDescent="0.25">
      <c r="C11164" t="s">
        <v>20657</v>
      </c>
      <c r="D11164" t="s">
        <v>20658</v>
      </c>
      <c r="E11164" t="str">
        <f>HYPERLINK("https://patents.google.com/patent/EP0014119A1/fr")</f>
        <v>https://patents.google.com/patent/EP0014119A1/fr</v>
      </c>
    </row>
    <row r="11165" spans="3:5" x14ac:dyDescent="0.25">
      <c r="C11165" t="s">
        <v>20659</v>
      </c>
      <c r="D11165" t="s">
        <v>20660</v>
      </c>
      <c r="E11165" t="str">
        <f>HYPERLINK("https://patents.google.com/patent/WO2003055667A1/fr")</f>
        <v>https://patents.google.com/patent/WO2003055667A1/fr</v>
      </c>
    </row>
    <row r="11166" spans="3:5" x14ac:dyDescent="0.25">
      <c r="C11166" t="s">
        <v>20661</v>
      </c>
      <c r="D11166" t="s">
        <v>20662</v>
      </c>
      <c r="E11166" t="str">
        <f>HYPERLINK("https://patents.google.com/patent/FR2524363A1/fr")</f>
        <v>https://patents.google.com/patent/FR2524363A1/fr</v>
      </c>
    </row>
    <row r="11167" spans="3:5" x14ac:dyDescent="0.25">
      <c r="C11167" t="s">
        <v>20663</v>
      </c>
      <c r="D11167" t="s">
        <v>20664</v>
      </c>
      <c r="E11167" t="str">
        <f>HYPERLINK("https://patents.google.com/patent/EP0485253A1/fr")</f>
        <v>https://patents.google.com/patent/EP0485253A1/fr</v>
      </c>
    </row>
    <row r="11168" spans="3:5" x14ac:dyDescent="0.25">
      <c r="C11168" t="s">
        <v>20665</v>
      </c>
      <c r="D11168" t="s">
        <v>20666</v>
      </c>
      <c r="E11168" t="str">
        <f>HYPERLINK("https://patents.google.com/patent/FR2560102A1/fr")</f>
        <v>https://patents.google.com/patent/FR2560102A1/fr</v>
      </c>
    </row>
    <row r="11169" spans="3:5" x14ac:dyDescent="0.25">
      <c r="C11169" t="s">
        <v>20667</v>
      </c>
      <c r="D11169" t="s">
        <v>20668</v>
      </c>
      <c r="E11169" t="str">
        <f>HYPERLINK("https://patents.google.com/patent/FR2692044A1/fr")</f>
        <v>https://patents.google.com/patent/FR2692044A1/fr</v>
      </c>
    </row>
    <row r="11170" spans="3:5" x14ac:dyDescent="0.25">
      <c r="C11170" t="s">
        <v>20669</v>
      </c>
      <c r="D11170" t="s">
        <v>20670</v>
      </c>
      <c r="E11170" t="str">
        <f>HYPERLINK("https://patents.google.com/patent/FR2608959A1/fr")</f>
        <v>https://patents.google.com/patent/FR2608959A1/fr</v>
      </c>
    </row>
    <row r="11171" spans="3:5" x14ac:dyDescent="0.25">
      <c r="C11171" t="s">
        <v>20671</v>
      </c>
      <c r="D11171" t="s">
        <v>20672</v>
      </c>
      <c r="E11171" t="str">
        <f>HYPERLINK("https://patents.google.com/patent/FR2742647A1/fr")</f>
        <v>https://patents.google.com/patent/FR2742647A1/fr</v>
      </c>
    </row>
    <row r="11172" spans="3:5" x14ac:dyDescent="0.25">
      <c r="C11172" t="s">
        <v>20673</v>
      </c>
      <c r="D11172" t="s">
        <v>20674</v>
      </c>
      <c r="E11172" t="str">
        <f>HYPERLINK("https://patents.google.com/patent/WO2011061422A1/fr")</f>
        <v>https://patents.google.com/patent/WO2011061422A1/fr</v>
      </c>
    </row>
    <row r="11173" spans="3:5" x14ac:dyDescent="0.25">
      <c r="C11173" t="s">
        <v>20675</v>
      </c>
      <c r="D11173" t="s">
        <v>20676</v>
      </c>
      <c r="E11173" t="str">
        <f>HYPERLINK("https://patents.google.com/patent/FR2860746A1/fr")</f>
        <v>https://patents.google.com/patent/FR2860746A1/fr</v>
      </c>
    </row>
    <row r="11174" spans="3:5" x14ac:dyDescent="0.25">
      <c r="C11174" t="s">
        <v>20677</v>
      </c>
      <c r="D11174" t="s">
        <v>20678</v>
      </c>
      <c r="E11174" t="str">
        <f>HYPERLINK("https://patents.google.com/patent/EP0392234B1/fr")</f>
        <v>https://patents.google.com/patent/EP0392234B1/fr</v>
      </c>
    </row>
    <row r="11175" spans="3:5" x14ac:dyDescent="0.25">
      <c r="C11175" t="s">
        <v>20679</v>
      </c>
      <c r="D11175" t="s">
        <v>20680</v>
      </c>
      <c r="E11175" t="str">
        <f>HYPERLINK("https://patents.google.com/patent/WO2008139116A1/fr")</f>
        <v>https://patents.google.com/patent/WO2008139116A1/fr</v>
      </c>
    </row>
    <row r="11176" spans="3:5" x14ac:dyDescent="0.25">
      <c r="C11176" t="s">
        <v>20681</v>
      </c>
      <c r="D11176" t="s">
        <v>20682</v>
      </c>
      <c r="E11176" t="str">
        <f>HYPERLINK("https://patents.google.com/patent/FR2693821A1/fr")</f>
        <v>https://patents.google.com/patent/FR2693821A1/fr</v>
      </c>
    </row>
    <row r="11177" spans="3:5" x14ac:dyDescent="0.25">
      <c r="C11177" t="s">
        <v>20683</v>
      </c>
      <c r="D11177" t="s">
        <v>20684</v>
      </c>
      <c r="E11177" t="str">
        <f>HYPERLINK("https://patents.google.com/patent/FR2870281A1/fr")</f>
        <v>https://patents.google.com/patent/FR2870281A1/fr</v>
      </c>
    </row>
    <row r="11178" spans="3:5" x14ac:dyDescent="0.25">
      <c r="C11178" t="s">
        <v>20685</v>
      </c>
      <c r="D11178" t="s">
        <v>20686</v>
      </c>
      <c r="E11178" t="str">
        <f>HYPERLINK("https://patents.google.com/patent/WO2016184985A1/fr")</f>
        <v>https://patents.google.com/patent/WO2016184985A1/fr</v>
      </c>
    </row>
    <row r="11179" spans="3:5" x14ac:dyDescent="0.25">
      <c r="C11179" t="s">
        <v>20687</v>
      </c>
      <c r="D11179" t="s">
        <v>20688</v>
      </c>
      <c r="E11179" t="str">
        <f>HYPERLINK("https://patents.google.com/patent/FR2690859A1/fr")</f>
        <v>https://patents.google.com/patent/FR2690859A1/fr</v>
      </c>
    </row>
    <row r="11180" spans="3:5" x14ac:dyDescent="0.25">
      <c r="C11180" t="s">
        <v>19356</v>
      </c>
      <c r="D11180" t="s">
        <v>20689</v>
      </c>
      <c r="E11180" t="str">
        <f>HYPERLINK("https://patents.google.com/patent/FR3022482A1/fr")</f>
        <v>https://patents.google.com/patent/FR3022482A1/fr</v>
      </c>
    </row>
    <row r="11181" spans="3:5" x14ac:dyDescent="0.25">
      <c r="C11181" t="s">
        <v>20690</v>
      </c>
      <c r="D11181" t="s">
        <v>20691</v>
      </c>
      <c r="E11181" t="str">
        <f>HYPERLINK("https://patents.google.com/patent/FR2666864A1/fr")</f>
        <v>https://patents.google.com/patent/FR2666864A1/fr</v>
      </c>
    </row>
    <row r="11182" spans="3:5" x14ac:dyDescent="0.25">
      <c r="C11182" t="s">
        <v>20692</v>
      </c>
      <c r="D11182" t="s">
        <v>20693</v>
      </c>
      <c r="E11182" t="str">
        <f>HYPERLINK("https://patents.google.com/patent/WO1997038440A1/fr")</f>
        <v>https://patents.google.com/patent/WO1997038440A1/fr</v>
      </c>
    </row>
    <row r="11183" spans="3:5" x14ac:dyDescent="0.25">
      <c r="C11183" t="s">
        <v>20694</v>
      </c>
      <c r="D11183" t="s">
        <v>20695</v>
      </c>
      <c r="E11183" t="str">
        <f>HYPERLINK("https://patents.google.com/patent/EP0072713A2/fr")</f>
        <v>https://patents.google.com/patent/EP0072713A2/fr</v>
      </c>
    </row>
    <row r="11184" spans="3:5" x14ac:dyDescent="0.25">
      <c r="C11184" t="s">
        <v>20696</v>
      </c>
      <c r="D11184" t="s">
        <v>20697</v>
      </c>
      <c r="E11184" t="str">
        <f>HYPERLINK("https://patents.google.com/patent/EP1751377B1/fr")</f>
        <v>https://patents.google.com/patent/EP1751377B1/fr</v>
      </c>
    </row>
    <row r="11185" spans="3:5" x14ac:dyDescent="0.25">
      <c r="C11185" t="s">
        <v>20698</v>
      </c>
      <c r="D11185" t="s">
        <v>20699</v>
      </c>
      <c r="E11185" t="str">
        <f>HYPERLINK("https://patents.google.com/patent/WO2009135694A1/fr")</f>
        <v>https://patents.google.com/patent/WO2009135694A1/fr</v>
      </c>
    </row>
    <row r="11186" spans="3:5" x14ac:dyDescent="0.25">
      <c r="C11186" t="s">
        <v>20700</v>
      </c>
      <c r="D11186" t="s">
        <v>20701</v>
      </c>
      <c r="E11186" t="str">
        <f>HYPERLINK("https://patents.google.com/patent/WO2014076390A1/fr")</f>
        <v>https://patents.google.com/patent/WO2014076390A1/fr</v>
      </c>
    </row>
    <row r="11187" spans="3:5" x14ac:dyDescent="0.25">
      <c r="C11187" t="s">
        <v>20702</v>
      </c>
      <c r="D11187" t="s">
        <v>20703</v>
      </c>
      <c r="E11187" t="str">
        <f>HYPERLINK("https://patents.google.com/patent/WO2011144876A1/fr")</f>
        <v>https://patents.google.com/patent/WO2011144876A1/fr</v>
      </c>
    </row>
    <row r="11188" spans="3:5" x14ac:dyDescent="0.25">
      <c r="C11188" t="s">
        <v>20704</v>
      </c>
      <c r="D11188" t="s">
        <v>20705</v>
      </c>
      <c r="E11188" t="str">
        <f>HYPERLINK("https://patents.google.com/patent/WO2009024406A1/fr")</f>
        <v>https://patents.google.com/patent/WO2009024406A1/fr</v>
      </c>
    </row>
    <row r="11189" spans="3:5" x14ac:dyDescent="0.25">
      <c r="C11189" t="s">
        <v>20706</v>
      </c>
      <c r="D11189" t="s">
        <v>20707</v>
      </c>
      <c r="E11189" t="str">
        <f>HYPERLINK("https://patents.google.com/patent/FR2670947A1/fr")</f>
        <v>https://patents.google.com/patent/FR2670947A1/fr</v>
      </c>
    </row>
    <row r="11190" spans="3:5" x14ac:dyDescent="0.25">
      <c r="C11190" t="s">
        <v>20708</v>
      </c>
      <c r="D11190" t="s">
        <v>20709</v>
      </c>
      <c r="E11190" t="str">
        <f>HYPERLINK("https://patents.google.com/patent/FR2767332A1/fr")</f>
        <v>https://patents.google.com/patent/FR2767332A1/fr</v>
      </c>
    </row>
    <row r="11191" spans="3:5" x14ac:dyDescent="0.25">
      <c r="C11191" t="s">
        <v>20710</v>
      </c>
      <c r="D11191" t="s">
        <v>20711</v>
      </c>
      <c r="E11191" t="str">
        <f>HYPERLINK("https://patents.google.com/patent/EP1695792B1/fr")</f>
        <v>https://patents.google.com/patent/EP1695792B1/fr</v>
      </c>
    </row>
    <row r="11192" spans="3:5" x14ac:dyDescent="0.25">
      <c r="C11192" t="s">
        <v>20712</v>
      </c>
      <c r="D11192" t="s">
        <v>20713</v>
      </c>
      <c r="E11192" t="str">
        <f>HYPERLINK("https://patents.google.com/patent/EP1185820B1/fr")</f>
        <v>https://patents.google.com/patent/EP1185820B1/fr</v>
      </c>
    </row>
    <row r="11193" spans="3:5" x14ac:dyDescent="0.25">
      <c r="C11193" t="s">
        <v>20714</v>
      </c>
      <c r="D11193" t="s">
        <v>20715</v>
      </c>
      <c r="E11193" t="str">
        <f>HYPERLINK("https://patents.google.com/patent/FR2472925A1/fr")</f>
        <v>https://patents.google.com/patent/FR2472925A1/fr</v>
      </c>
    </row>
    <row r="11194" spans="3:5" x14ac:dyDescent="0.25">
      <c r="C11194" t="s">
        <v>20716</v>
      </c>
      <c r="D11194" t="s">
        <v>20717</v>
      </c>
      <c r="E11194" t="str">
        <f>HYPERLINK("https://patents.google.com/patent/FR2527282A1/fr")</f>
        <v>https://patents.google.com/patent/FR2527282A1/fr</v>
      </c>
    </row>
    <row r="11195" spans="3:5" x14ac:dyDescent="0.25">
      <c r="C11195" t="s">
        <v>20718</v>
      </c>
      <c r="D11195" t="s">
        <v>20719</v>
      </c>
      <c r="E11195" t="str">
        <f>HYPERLINK("https://patents.google.com/patent/EP2441711B1/fr")</f>
        <v>https://patents.google.com/patent/EP2441711B1/fr</v>
      </c>
    </row>
    <row r="11196" spans="3:5" x14ac:dyDescent="0.25">
      <c r="C11196" t="s">
        <v>20720</v>
      </c>
      <c r="D11196" t="s">
        <v>20721</v>
      </c>
      <c r="E11196" t="str">
        <f>HYPERLINK("https://patents.google.com/patent/EP0428453A1/fr")</f>
        <v>https://patents.google.com/patent/EP0428453A1/fr</v>
      </c>
    </row>
    <row r="11197" spans="3:5" x14ac:dyDescent="0.25">
      <c r="C11197" t="s">
        <v>20722</v>
      </c>
      <c r="D11197" t="s">
        <v>20723</v>
      </c>
      <c r="E11197" t="str">
        <f>HYPERLINK("https://patents.google.com/patent/EP0533520B1/fr")</f>
        <v>https://patents.google.com/patent/EP0533520B1/fr</v>
      </c>
    </row>
    <row r="11198" spans="3:5" x14ac:dyDescent="0.25">
      <c r="C11198" t="s">
        <v>20724</v>
      </c>
      <c r="D11198" t="s">
        <v>20725</v>
      </c>
      <c r="E11198" t="str">
        <f>HYPERLINK("https://patents.google.com/patent/EP1110664A1/fr")</f>
        <v>https://patents.google.com/patent/EP1110664A1/fr</v>
      </c>
    </row>
    <row r="11199" spans="3:5" x14ac:dyDescent="0.25">
      <c r="C11199" t="s">
        <v>20726</v>
      </c>
      <c r="D11199" t="s">
        <v>20727</v>
      </c>
      <c r="E11199" t="str">
        <f>HYPERLINK("https://patents.google.com/patent/FR2715819A3/fr")</f>
        <v>https://patents.google.com/patent/FR2715819A3/fr</v>
      </c>
    </row>
    <row r="11200" spans="3:5" x14ac:dyDescent="0.25">
      <c r="C11200" t="s">
        <v>20728</v>
      </c>
      <c r="D11200" t="s">
        <v>20729</v>
      </c>
      <c r="E11200" t="str">
        <f>HYPERLINK("https://patents.google.com/patent/FR2692753A1/fr")</f>
        <v>https://patents.google.com/patent/FR2692753A1/fr</v>
      </c>
    </row>
    <row r="11201" spans="1:5" x14ac:dyDescent="0.25">
      <c r="C11201" t="s">
        <v>20730</v>
      </c>
      <c r="D11201" t="s">
        <v>20731</v>
      </c>
      <c r="E11201" t="str">
        <f>HYPERLINK("https://patents.google.com/patent/EP2441710B1/fr")</f>
        <v>https://patents.google.com/patent/EP2441710B1/fr</v>
      </c>
    </row>
    <row r="11202" spans="1:5" x14ac:dyDescent="0.25">
      <c r="C11202" t="s">
        <v>20732</v>
      </c>
      <c r="D11202" t="s">
        <v>20733</v>
      </c>
      <c r="E11202" t="str">
        <f>HYPERLINK("https://patents.google.com/patent/FR2481780A1/fr")</f>
        <v>https://patents.google.com/patent/FR2481780A1/fr</v>
      </c>
    </row>
    <row r="11203" spans="1:5" x14ac:dyDescent="0.25">
      <c r="C11203" t="s">
        <v>20734</v>
      </c>
      <c r="D11203" t="s">
        <v>20735</v>
      </c>
      <c r="E11203" t="str">
        <f>HYPERLINK("https://patents.google.com/patent/FR2926287A1/fr")</f>
        <v>https://patents.google.com/patent/FR2926287A1/fr</v>
      </c>
    </row>
    <row r="11204" spans="1:5" x14ac:dyDescent="0.25">
      <c r="C11204" t="s">
        <v>20736</v>
      </c>
      <c r="D11204" t="s">
        <v>20737</v>
      </c>
      <c r="E11204" t="str">
        <f>HYPERLINK("https://patents.google.com/patent/FR2771326A3/fr")</f>
        <v>https://patents.google.com/patent/FR2771326A3/fr</v>
      </c>
    </row>
    <row r="11205" spans="1:5" x14ac:dyDescent="0.25">
      <c r="C11205" t="s">
        <v>20738</v>
      </c>
      <c r="D11205" t="s">
        <v>20739</v>
      </c>
      <c r="E11205" t="str">
        <f>HYPERLINK("https://patents.google.com/patent/WO2017098138A1/fr")</f>
        <v>https://patents.google.com/patent/WO2017098138A1/fr</v>
      </c>
    </row>
    <row r="11206" spans="1:5" x14ac:dyDescent="0.25">
      <c r="C11206" t="s">
        <v>20740</v>
      </c>
      <c r="D11206" t="s">
        <v>20741</v>
      </c>
      <c r="E11206" t="str">
        <f>HYPERLINK("https://patents.google.com/patent/FR2714327A1/fr")</f>
        <v>https://patents.google.com/patent/FR2714327A1/fr</v>
      </c>
    </row>
    <row r="11207" spans="1:5" x14ac:dyDescent="0.25">
      <c r="C11207" t="s">
        <v>20742</v>
      </c>
      <c r="D11207" t="s">
        <v>20743</v>
      </c>
      <c r="E11207" t="str">
        <f>HYPERLINK("https://patents.google.com/patent/FR2957649A1/fr")</f>
        <v>https://patents.google.com/patent/FR2957649A1/fr</v>
      </c>
    </row>
    <row r="11208" spans="1:5" x14ac:dyDescent="0.25">
      <c r="C11208" t="s">
        <v>20744</v>
      </c>
      <c r="D11208" t="s">
        <v>20745</v>
      </c>
      <c r="E11208" t="str">
        <f>HYPERLINK("https://patents.google.com/patent/WO2005116370A1/fr")</f>
        <v>https://patents.google.com/patent/WO2005116370A1/fr</v>
      </c>
    </row>
    <row r="11209" spans="1:5" x14ac:dyDescent="0.25">
      <c r="A11209" t="s">
        <v>1430</v>
      </c>
      <c r="B11209">
        <v>736</v>
      </c>
    </row>
    <row r="11210" spans="1:5" x14ac:dyDescent="0.25">
      <c r="C11210" t="s">
        <v>20746</v>
      </c>
      <c r="D11210" t="s">
        <v>20747</v>
      </c>
      <c r="E11210" t="str">
        <f>HYPERLINK("https://patents.google.com/patent/US20080059222A1/en")</f>
        <v>https://patents.google.com/patent/US20080059222A1/en</v>
      </c>
    </row>
    <row r="11211" spans="1:5" x14ac:dyDescent="0.25">
      <c r="C11211" t="s">
        <v>20748</v>
      </c>
      <c r="D11211" t="s">
        <v>20749</v>
      </c>
      <c r="E11211" t="str">
        <f>HYPERLINK("https://patents.google.com/patent/US20100257234A1/en")</f>
        <v>https://patents.google.com/patent/US20100257234A1/en</v>
      </c>
    </row>
    <row r="11212" spans="1:5" x14ac:dyDescent="0.25">
      <c r="C11212" t="s">
        <v>20750</v>
      </c>
      <c r="D11212" t="s">
        <v>20751</v>
      </c>
      <c r="E11212" t="str">
        <f>HYPERLINK("https://patents.google.com/patent/US7143241B2/en")</f>
        <v>https://patents.google.com/patent/US7143241B2/en</v>
      </c>
    </row>
    <row r="11213" spans="1:5" x14ac:dyDescent="0.25">
      <c r="C11213" t="s">
        <v>20752</v>
      </c>
      <c r="D11213" t="s">
        <v>20753</v>
      </c>
      <c r="E11213" t="str">
        <f>HYPERLINK("https://patents.google.com/patent/US6526351B2/en")</f>
        <v>https://patents.google.com/patent/US6526351B2/en</v>
      </c>
    </row>
    <row r="11214" spans="1:5" x14ac:dyDescent="0.25">
      <c r="C11214" t="s">
        <v>20754</v>
      </c>
      <c r="D11214" t="s">
        <v>20755</v>
      </c>
      <c r="E11214" t="str">
        <f>HYPERLINK("https://patents.google.com/patent/US6199045B1/en")</f>
        <v>https://patents.google.com/patent/US6199045B1/en</v>
      </c>
    </row>
    <row r="11215" spans="1:5" x14ac:dyDescent="0.25">
      <c r="C11215" t="s">
        <v>20756</v>
      </c>
      <c r="D11215" t="s">
        <v>20757</v>
      </c>
      <c r="E11215" t="str">
        <f>HYPERLINK("https://patents.google.com/patent/KR100488358B1/en")</f>
        <v>https://patents.google.com/patent/KR100488358B1/en</v>
      </c>
    </row>
    <row r="11216" spans="1:5" x14ac:dyDescent="0.25">
      <c r="C11216" t="s">
        <v>20758</v>
      </c>
      <c r="D11216" t="s">
        <v>20759</v>
      </c>
      <c r="E11216" t="str">
        <f>HYPERLINK("https://patents.google.com/patent/KR101272368B1/en")</f>
        <v>https://patents.google.com/patent/KR101272368B1/en</v>
      </c>
    </row>
    <row r="11217" spans="3:5" x14ac:dyDescent="0.25">
      <c r="C11217" t="s">
        <v>20760</v>
      </c>
      <c r="D11217" t="s">
        <v>20761</v>
      </c>
      <c r="E11217" t="str">
        <f>HYPERLINK("https://patents.google.com/patent/US6845338B1/en")</f>
        <v>https://patents.google.com/patent/US6845338B1/en</v>
      </c>
    </row>
    <row r="11218" spans="3:5" x14ac:dyDescent="0.25">
      <c r="C11218" t="s">
        <v>20762</v>
      </c>
      <c r="D11218" t="s">
        <v>20763</v>
      </c>
      <c r="E11218" t="str">
        <f>HYPERLINK("https://patents.google.com/patent/CN104299541A/en")</f>
        <v>https://patents.google.com/patent/CN104299541A/en</v>
      </c>
    </row>
    <row r="11219" spans="3:5" x14ac:dyDescent="0.25">
      <c r="C11219" t="s">
        <v>20764</v>
      </c>
      <c r="D11219" t="s">
        <v>20765</v>
      </c>
      <c r="E11219" t="str">
        <f>HYPERLINK("https://patents.google.com/patent/CN103260129A/en")</f>
        <v>https://patents.google.com/patent/CN103260129A/en</v>
      </c>
    </row>
    <row r="11220" spans="3:5" x14ac:dyDescent="0.25">
      <c r="C11220" t="s">
        <v>20766</v>
      </c>
      <c r="D11220" t="s">
        <v>20767</v>
      </c>
      <c r="E11220" t="str">
        <f>HYPERLINK("https://patents.google.com/patent/US6834259B1/en")</f>
        <v>https://patents.google.com/patent/US6834259B1/en</v>
      </c>
    </row>
    <row r="11221" spans="3:5" x14ac:dyDescent="0.25">
      <c r="C11221" t="s">
        <v>20768</v>
      </c>
      <c r="D11221" t="s">
        <v>20769</v>
      </c>
      <c r="E11221" t="str">
        <f>HYPERLINK("https://patents.google.com/patent/CN102984219A/en")</f>
        <v>https://patents.google.com/patent/CN102984219A/en</v>
      </c>
    </row>
    <row r="11222" spans="3:5" x14ac:dyDescent="0.25">
      <c r="C11222" t="s">
        <v>20770</v>
      </c>
      <c r="D11222" t="s">
        <v>20771</v>
      </c>
      <c r="E11222" t="str">
        <f>HYPERLINK("https://patents.google.com/patent/CN104409031A/en")</f>
        <v>https://patents.google.com/patent/CN104409031A/en</v>
      </c>
    </row>
    <row r="11223" spans="3:5" x14ac:dyDescent="0.25">
      <c r="C11223" t="s">
        <v>20772</v>
      </c>
      <c r="D11223" t="s">
        <v>20773</v>
      </c>
      <c r="E11223" t="str">
        <f>HYPERLINK("https://patents.google.com/patent/US7853272B2/en")</f>
        <v>https://patents.google.com/patent/US7853272B2/en</v>
      </c>
    </row>
    <row r="11224" spans="3:5" x14ac:dyDescent="0.25">
      <c r="C11224" t="s">
        <v>20774</v>
      </c>
      <c r="D11224" t="s">
        <v>20775</v>
      </c>
      <c r="E11224" t="str">
        <f>HYPERLINK("https://patents.google.com/patent/US7849135B2/en")</f>
        <v>https://patents.google.com/patent/US7849135B2/en</v>
      </c>
    </row>
    <row r="11225" spans="3:5" x14ac:dyDescent="0.25">
      <c r="C11225" t="s">
        <v>20776</v>
      </c>
      <c r="D11225" t="s">
        <v>20777</v>
      </c>
      <c r="E11225" t="str">
        <f>HYPERLINK("https://patents.google.com/patent/US20090005080A1/en")</f>
        <v>https://patents.google.com/patent/US20090005080A1/en</v>
      </c>
    </row>
    <row r="11226" spans="3:5" x14ac:dyDescent="0.25">
      <c r="C11226" t="s">
        <v>20778</v>
      </c>
      <c r="D11226" t="s">
        <v>20779</v>
      </c>
      <c r="E11226" t="str">
        <f>HYPERLINK("https://patents.google.com/patent/US20050192025A1/en")</f>
        <v>https://patents.google.com/patent/US20050192025A1/en</v>
      </c>
    </row>
    <row r="11227" spans="3:5" x14ac:dyDescent="0.25">
      <c r="C11227" t="s">
        <v>20780</v>
      </c>
      <c r="D11227" t="s">
        <v>20781</v>
      </c>
      <c r="E11227" t="str">
        <f>HYPERLINK("https://patents.google.com/patent/US20130040600A1/en")</f>
        <v>https://patents.google.com/patent/US20130040600A1/en</v>
      </c>
    </row>
    <row r="11228" spans="3:5" x14ac:dyDescent="0.25">
      <c r="C11228" t="s">
        <v>20782</v>
      </c>
      <c r="D11228" t="s">
        <v>20783</v>
      </c>
      <c r="E11228" t="str">
        <f>HYPERLINK("https://patents.google.com/patent/US7027955B2/en")</f>
        <v>https://patents.google.com/patent/US7027955B2/en</v>
      </c>
    </row>
    <row r="11229" spans="3:5" x14ac:dyDescent="0.25">
      <c r="C11229" t="s">
        <v>20784</v>
      </c>
      <c r="D11229" t="s">
        <v>20785</v>
      </c>
      <c r="E11229" t="str">
        <f>HYPERLINK("https://patents.google.com/patent/US20110310227A1/en")</f>
        <v>https://patents.google.com/patent/US20110310227A1/en</v>
      </c>
    </row>
    <row r="11230" spans="3:5" x14ac:dyDescent="0.25">
      <c r="C11230" t="s">
        <v>20786</v>
      </c>
      <c r="D11230" t="s">
        <v>20787</v>
      </c>
      <c r="E11230" t="str">
        <f>HYPERLINK("https://patents.google.com/patent/US20030229446A1/en")</f>
        <v>https://patents.google.com/patent/US20030229446A1/en</v>
      </c>
    </row>
    <row r="11231" spans="3:5" x14ac:dyDescent="0.25">
      <c r="C11231" t="s">
        <v>20788</v>
      </c>
      <c r="D11231" t="s">
        <v>20789</v>
      </c>
      <c r="E11231" t="str">
        <f>HYPERLINK("https://patents.google.com/patent/US20120095675A1/en")</f>
        <v>https://patents.google.com/patent/US20120095675A1/en</v>
      </c>
    </row>
    <row r="11232" spans="3:5" x14ac:dyDescent="0.25">
      <c r="C11232" t="s">
        <v>20790</v>
      </c>
      <c r="D11232" t="s">
        <v>20791</v>
      </c>
      <c r="E11232" t="str">
        <f>HYPERLINK("https://patents.google.com/patent/CN102567805A/en")</f>
        <v>https://patents.google.com/patent/CN102567805A/en</v>
      </c>
    </row>
    <row r="11233" spans="3:5" x14ac:dyDescent="0.25">
      <c r="C11233" t="s">
        <v>20792</v>
      </c>
      <c r="D11233" t="s">
        <v>20793</v>
      </c>
      <c r="E11233" t="str">
        <f>HYPERLINK("https://patents.google.com/patent/US20110301835A1/en")</f>
        <v>https://patents.google.com/patent/US20110301835A1/en</v>
      </c>
    </row>
    <row r="11234" spans="3:5" x14ac:dyDescent="0.25">
      <c r="C11234" t="s">
        <v>20750</v>
      </c>
      <c r="D11234" t="s">
        <v>20794</v>
      </c>
      <c r="E11234" t="str">
        <f>HYPERLINK("https://patents.google.com/patent/US20040030832A1/en")</f>
        <v>https://patents.google.com/patent/US20040030832A1/en</v>
      </c>
    </row>
    <row r="11235" spans="3:5" x14ac:dyDescent="0.25">
      <c r="C11235" t="s">
        <v>20795</v>
      </c>
      <c r="D11235" t="s">
        <v>20796</v>
      </c>
      <c r="E11235" t="str">
        <f>HYPERLINK("https://patents.google.com/patent/US20040132467A1/en")</f>
        <v>https://patents.google.com/patent/US20040132467A1/en</v>
      </c>
    </row>
    <row r="11236" spans="3:5" x14ac:dyDescent="0.25">
      <c r="C11236" t="s">
        <v>20797</v>
      </c>
      <c r="D11236" t="s">
        <v>20798</v>
      </c>
      <c r="E11236" t="str">
        <f>HYPERLINK("https://patents.google.com/patent/US20100030465A1/en")</f>
        <v>https://patents.google.com/patent/US20100030465A1/en</v>
      </c>
    </row>
    <row r="11237" spans="3:5" x14ac:dyDescent="0.25">
      <c r="C11237" t="s">
        <v>20799</v>
      </c>
      <c r="D11237" t="s">
        <v>20800</v>
      </c>
      <c r="E11237" t="str">
        <f>HYPERLINK("https://patents.google.com/patent/US20160027399A1/en")</f>
        <v>https://patents.google.com/patent/US20160027399A1/en</v>
      </c>
    </row>
    <row r="11238" spans="3:5" x14ac:dyDescent="0.25">
      <c r="C11238" t="s">
        <v>20801</v>
      </c>
      <c r="D11238" t="s">
        <v>20802</v>
      </c>
      <c r="E11238" t="str">
        <f>HYPERLINK("https://patents.google.com/patent/US20140347973A1/en")</f>
        <v>https://patents.google.com/patent/US20140347973A1/en</v>
      </c>
    </row>
    <row r="11239" spans="3:5" x14ac:dyDescent="0.25">
      <c r="C11239" t="s">
        <v>20803</v>
      </c>
      <c r="D11239" t="s">
        <v>20804</v>
      </c>
      <c r="E11239" t="str">
        <f>HYPERLINK("https://patents.google.com/patent/US20080071770A1/en")</f>
        <v>https://patents.google.com/patent/US20080071770A1/en</v>
      </c>
    </row>
    <row r="11240" spans="3:5" x14ac:dyDescent="0.25">
      <c r="C11240" t="s">
        <v>20805</v>
      </c>
      <c r="D11240" t="s">
        <v>20806</v>
      </c>
      <c r="E11240" t="str">
        <f>HYPERLINK("https://patents.google.com/patent/US20050226166A1/en")</f>
        <v>https://patents.google.com/patent/US20050226166A1/en</v>
      </c>
    </row>
    <row r="11241" spans="3:5" x14ac:dyDescent="0.25">
      <c r="C11241" t="s">
        <v>20807</v>
      </c>
      <c r="D11241" t="s">
        <v>20808</v>
      </c>
      <c r="E11241" t="str">
        <f>HYPERLINK("https://patents.google.com/patent/JP2006270889A/en")</f>
        <v>https://patents.google.com/patent/JP2006270889A/en</v>
      </c>
    </row>
    <row r="11242" spans="3:5" x14ac:dyDescent="0.25">
      <c r="C11242" t="s">
        <v>20809</v>
      </c>
      <c r="D11242" t="s">
        <v>20810</v>
      </c>
      <c r="E11242" t="str">
        <f>HYPERLINK("https://patents.google.com/patent/WO2001035600A2/en")</f>
        <v>https://patents.google.com/patent/WO2001035600A2/en</v>
      </c>
    </row>
    <row r="11243" spans="3:5" x14ac:dyDescent="0.25">
      <c r="C11243" t="s">
        <v>20811</v>
      </c>
      <c r="D11243" t="s">
        <v>20812</v>
      </c>
      <c r="E11243" t="str">
        <f>HYPERLINK("https://patents.google.com/patent/WO2003055149A1/en")</f>
        <v>https://patents.google.com/patent/WO2003055149A1/en</v>
      </c>
    </row>
    <row r="11244" spans="3:5" x14ac:dyDescent="0.25">
      <c r="C11244" t="s">
        <v>20813</v>
      </c>
      <c r="D11244" t="s">
        <v>20814</v>
      </c>
      <c r="E11244" t="str">
        <f>HYPERLINK("https://patents.google.com/patent/CN1633092A/en")</f>
        <v>https://patents.google.com/patent/CN1633092A/en</v>
      </c>
    </row>
    <row r="11245" spans="3:5" x14ac:dyDescent="0.25">
      <c r="C11245" t="s">
        <v>20815</v>
      </c>
      <c r="D11245" t="s">
        <v>20816</v>
      </c>
      <c r="E11245" t="str">
        <f>HYPERLINK("https://patents.google.com/patent/US20110105092A1/en")</f>
        <v>https://patents.google.com/patent/US20110105092A1/en</v>
      </c>
    </row>
    <row r="11246" spans="3:5" x14ac:dyDescent="0.25">
      <c r="C11246" t="s">
        <v>20817</v>
      </c>
      <c r="D11246" t="s">
        <v>20818</v>
      </c>
      <c r="E11246" t="str">
        <f>HYPERLINK("https://patents.google.com/patent/US20080222538A1/en")</f>
        <v>https://patents.google.com/patent/US20080222538A1/en</v>
      </c>
    </row>
    <row r="11247" spans="3:5" x14ac:dyDescent="0.25">
      <c r="C11247" t="s">
        <v>20819</v>
      </c>
      <c r="D11247" t="s">
        <v>20820</v>
      </c>
      <c r="E11247" t="str">
        <f>HYPERLINK("https://patents.google.com/patent/CN101765054A/en")</f>
        <v>https://patents.google.com/patent/CN101765054A/en</v>
      </c>
    </row>
    <row r="11248" spans="3:5" x14ac:dyDescent="0.25">
      <c r="C11248" t="s">
        <v>20821</v>
      </c>
      <c r="D11248" t="s">
        <v>20822</v>
      </c>
      <c r="E11248" t="str">
        <f>HYPERLINK("https://patents.google.com/patent/US20120036467A1/en")</f>
        <v>https://patents.google.com/patent/US20120036467A1/en</v>
      </c>
    </row>
    <row r="11249" spans="3:5" x14ac:dyDescent="0.25">
      <c r="C11249" t="s">
        <v>20823</v>
      </c>
      <c r="D11249" t="s">
        <v>20824</v>
      </c>
      <c r="E11249" t="str">
        <f>HYPERLINK("https://patents.google.com/patent/CN101067654A/en")</f>
        <v>https://patents.google.com/patent/CN101067654A/en</v>
      </c>
    </row>
    <row r="11250" spans="3:5" x14ac:dyDescent="0.25">
      <c r="C11250" t="s">
        <v>20825</v>
      </c>
      <c r="D11250" t="s">
        <v>20826</v>
      </c>
      <c r="E11250" t="str">
        <f>HYPERLINK("https://patents.google.com/patent/US20110196897A1/en")</f>
        <v>https://patents.google.com/patent/US20110196897A1/en</v>
      </c>
    </row>
    <row r="11251" spans="3:5" x14ac:dyDescent="0.25">
      <c r="C11251" t="s">
        <v>20827</v>
      </c>
      <c r="D11251" t="s">
        <v>20828</v>
      </c>
      <c r="E11251" t="str">
        <f>HYPERLINK("https://patents.google.com/patent/CN101340661A/en")</f>
        <v>https://patents.google.com/patent/CN101340661A/en</v>
      </c>
    </row>
    <row r="11252" spans="3:5" x14ac:dyDescent="0.25">
      <c r="C11252" t="s">
        <v>20754</v>
      </c>
      <c r="D11252" t="s">
        <v>20829</v>
      </c>
      <c r="E11252" t="str">
        <f>HYPERLINK("https://patents.google.com/patent/US6985742B1/en")</f>
        <v>https://patents.google.com/patent/US6985742B1/en</v>
      </c>
    </row>
    <row r="11253" spans="3:5" x14ac:dyDescent="0.25">
      <c r="C11253" t="s">
        <v>20830</v>
      </c>
      <c r="D11253" t="s">
        <v>20831</v>
      </c>
      <c r="E11253" t="str">
        <f>HYPERLINK("https://patents.google.com/patent/CN101378597A/en")</f>
        <v>https://patents.google.com/patent/CN101378597A/en</v>
      </c>
    </row>
    <row r="11254" spans="3:5" x14ac:dyDescent="0.25">
      <c r="C11254" t="s">
        <v>20832</v>
      </c>
      <c r="D11254" t="s">
        <v>20833</v>
      </c>
      <c r="E11254" t="str">
        <f>HYPERLINK("https://patents.google.com/patent/KR20040042522A/en")</f>
        <v>https://patents.google.com/patent/KR20040042522A/en</v>
      </c>
    </row>
    <row r="11255" spans="3:5" x14ac:dyDescent="0.25">
      <c r="C11255" t="s">
        <v>20834</v>
      </c>
      <c r="D11255" t="s">
        <v>20835</v>
      </c>
      <c r="E11255" t="str">
        <f>HYPERLINK("https://patents.google.com/patent/KR20000072447A/en")</f>
        <v>https://patents.google.com/patent/KR20000072447A/en</v>
      </c>
    </row>
    <row r="11256" spans="3:5" x14ac:dyDescent="0.25">
      <c r="C11256" t="s">
        <v>20836</v>
      </c>
      <c r="D11256" t="s">
        <v>20837</v>
      </c>
      <c r="E11256" t="str">
        <f>HYPERLINK("https://patents.google.com/patent/WO2000041090A1/en")</f>
        <v>https://patents.google.com/patent/WO2000041090A1/en</v>
      </c>
    </row>
    <row r="11257" spans="3:5" x14ac:dyDescent="0.25">
      <c r="C11257" t="s">
        <v>20838</v>
      </c>
      <c r="D11257" t="s">
        <v>20839</v>
      </c>
      <c r="E11257" t="str">
        <f>HYPERLINK("https://patents.google.com/patent/CN1331521A/en")</f>
        <v>https://patents.google.com/patent/CN1331521A/en</v>
      </c>
    </row>
    <row r="11258" spans="3:5" x14ac:dyDescent="0.25">
      <c r="C11258" t="s">
        <v>20840</v>
      </c>
      <c r="D11258" t="s">
        <v>20841</v>
      </c>
      <c r="E11258" t="str">
        <f>HYPERLINK("https://patents.google.com/patent/US20140164322A1/en")</f>
        <v>https://patents.google.com/patent/US20140164322A1/en</v>
      </c>
    </row>
    <row r="11259" spans="3:5" x14ac:dyDescent="0.25">
      <c r="C11259" t="s">
        <v>20842</v>
      </c>
      <c r="D11259" t="s">
        <v>20843</v>
      </c>
      <c r="E11259" t="str">
        <f>HYPERLINK("https://patents.google.com/patent/US20110258467A1/en")</f>
        <v>https://patents.google.com/patent/US20110258467A1/en</v>
      </c>
    </row>
    <row r="11260" spans="3:5" x14ac:dyDescent="0.25">
      <c r="C11260" t="s">
        <v>20844</v>
      </c>
      <c r="D11260" t="s">
        <v>20845</v>
      </c>
      <c r="E11260" t="str">
        <f>HYPERLINK("https://patents.google.com/patent/JP2000268285A/en")</f>
        <v>https://patents.google.com/patent/JP2000268285A/en</v>
      </c>
    </row>
    <row r="11261" spans="3:5" x14ac:dyDescent="0.25">
      <c r="C11261" t="s">
        <v>20846</v>
      </c>
      <c r="D11261" t="s">
        <v>20847</v>
      </c>
      <c r="E11261" t="str">
        <f>HYPERLINK("https://patents.google.com/patent/CN1678001A/en")</f>
        <v>https://patents.google.com/patent/CN1678001A/en</v>
      </c>
    </row>
    <row r="11262" spans="3:5" x14ac:dyDescent="0.25">
      <c r="C11262" t="s">
        <v>20848</v>
      </c>
      <c r="D11262" t="s">
        <v>20849</v>
      </c>
      <c r="E11262" t="str">
        <f>HYPERLINK("https://patents.google.com/patent/KR100873047B1/en")</f>
        <v>https://patents.google.com/patent/KR100873047B1/en</v>
      </c>
    </row>
    <row r="11263" spans="3:5" x14ac:dyDescent="0.25">
      <c r="C11263" t="s">
        <v>20850</v>
      </c>
      <c r="D11263" t="s">
        <v>20851</v>
      </c>
      <c r="E11263" t="str">
        <f>HYPERLINK("https://patents.google.com/patent/JP2002268786A/en")</f>
        <v>https://patents.google.com/patent/JP2002268786A/en</v>
      </c>
    </row>
    <row r="11264" spans="3:5" x14ac:dyDescent="0.25">
      <c r="C11264" t="s">
        <v>20852</v>
      </c>
      <c r="D11264" t="s">
        <v>20853</v>
      </c>
      <c r="E11264" t="str">
        <f>HYPERLINK("https://patents.google.com/patent/CN101488308A/en")</f>
        <v>https://patents.google.com/patent/CN101488308A/en</v>
      </c>
    </row>
    <row r="11265" spans="3:5" x14ac:dyDescent="0.25">
      <c r="C11265" t="s">
        <v>20854</v>
      </c>
      <c r="D11265" t="s">
        <v>20855</v>
      </c>
      <c r="E11265" t="str">
        <f>HYPERLINK("https://patents.google.com/patent/US20090132073A1/en")</f>
        <v>https://patents.google.com/patent/US20090132073A1/en</v>
      </c>
    </row>
    <row r="11266" spans="3:5" x14ac:dyDescent="0.25">
      <c r="C11266" t="s">
        <v>20856</v>
      </c>
      <c r="D11266" t="s">
        <v>20857</v>
      </c>
      <c r="E11266" t="str">
        <f>HYPERLINK("https://patents.google.com/patent/US7124024B1/en")</f>
        <v>https://patents.google.com/patent/US7124024B1/en</v>
      </c>
    </row>
    <row r="11267" spans="3:5" x14ac:dyDescent="0.25">
      <c r="C11267" t="s">
        <v>20858</v>
      </c>
      <c r="D11267" t="s">
        <v>20859</v>
      </c>
      <c r="E11267" t="str">
        <f>HYPERLINK("https://patents.google.com/patent/US6847334B2/en")</f>
        <v>https://patents.google.com/patent/US6847334B2/en</v>
      </c>
    </row>
    <row r="11268" spans="3:5" x14ac:dyDescent="0.25">
      <c r="C11268" t="s">
        <v>20860</v>
      </c>
      <c r="D11268" t="s">
        <v>20861</v>
      </c>
      <c r="E11268" t="str">
        <f>HYPERLINK("https://patents.google.com/patent/CN1778129A/en")</f>
        <v>https://patents.google.com/patent/CN1778129A/en</v>
      </c>
    </row>
    <row r="11269" spans="3:5" x14ac:dyDescent="0.25">
      <c r="C11269" t="s">
        <v>20862</v>
      </c>
      <c r="D11269" t="s">
        <v>20863</v>
      </c>
      <c r="E11269" t="str">
        <f>HYPERLINK("https://patents.google.com/patent/CN105913497A/en")</f>
        <v>https://patents.google.com/patent/CN105913497A/en</v>
      </c>
    </row>
    <row r="11270" spans="3:5" x14ac:dyDescent="0.25">
      <c r="C11270" t="s">
        <v>20864</v>
      </c>
      <c r="D11270" t="s">
        <v>20865</v>
      </c>
      <c r="E11270" t="str">
        <f>HYPERLINK("https://patents.google.com/patent/CN201528371U/en")</f>
        <v>https://patents.google.com/patent/CN201528371U/en</v>
      </c>
    </row>
    <row r="11271" spans="3:5" x14ac:dyDescent="0.25">
      <c r="C11271" t="s">
        <v>20866</v>
      </c>
      <c r="D11271" t="s">
        <v>20867</v>
      </c>
      <c r="E11271" t="str">
        <f>HYPERLINK("https://patents.google.com/patent/JP2009068866A/en")</f>
        <v>https://patents.google.com/patent/JP2009068866A/en</v>
      </c>
    </row>
    <row r="11272" spans="3:5" x14ac:dyDescent="0.25">
      <c r="C11272" t="s">
        <v>20868</v>
      </c>
      <c r="D11272" t="s">
        <v>20869</v>
      </c>
      <c r="E11272" t="str">
        <f>HYPERLINK("https://patents.google.com/patent/US20100190479A1/en")</f>
        <v>https://patents.google.com/patent/US20100190479A1/en</v>
      </c>
    </row>
    <row r="11273" spans="3:5" x14ac:dyDescent="0.25">
      <c r="C11273" t="s">
        <v>20870</v>
      </c>
      <c r="D11273" t="s">
        <v>20871</v>
      </c>
      <c r="E11273" t="str">
        <f>HYPERLINK("https://patents.google.com/patent/US20160277560A1/en")</f>
        <v>https://patents.google.com/patent/US20160277560A1/en</v>
      </c>
    </row>
    <row r="11274" spans="3:5" x14ac:dyDescent="0.25">
      <c r="C11274" t="s">
        <v>20872</v>
      </c>
      <c r="D11274" t="s">
        <v>20873</v>
      </c>
      <c r="E11274" t="str">
        <f>HYPERLINK("https://patents.google.com/patent/US20160300392A1/en")</f>
        <v>https://patents.google.com/patent/US20160300392A1/en</v>
      </c>
    </row>
    <row r="11275" spans="3:5" x14ac:dyDescent="0.25">
      <c r="C11275" t="s">
        <v>20874</v>
      </c>
      <c r="D11275" t="s">
        <v>20875</v>
      </c>
      <c r="E11275" t="str">
        <f>HYPERLINK("https://patents.google.com/patent/US20140317511A1/en")</f>
        <v>https://patents.google.com/patent/US20140317511A1/en</v>
      </c>
    </row>
    <row r="11276" spans="3:5" x14ac:dyDescent="0.25">
      <c r="C11276" t="s">
        <v>20876</v>
      </c>
      <c r="D11276" t="s">
        <v>20877</v>
      </c>
      <c r="E11276" t="str">
        <f>HYPERLINK("https://patents.google.com/patent/CN102752378A/en")</f>
        <v>https://patents.google.com/patent/CN102752378A/en</v>
      </c>
    </row>
    <row r="11277" spans="3:5" x14ac:dyDescent="0.25">
      <c r="C11277" t="s">
        <v>20878</v>
      </c>
      <c r="D11277" t="s">
        <v>20879</v>
      </c>
      <c r="E11277" t="str">
        <f>HYPERLINK("https://patents.google.com/patent/US20100190467A1/en")</f>
        <v>https://patents.google.com/patent/US20100190467A1/en</v>
      </c>
    </row>
    <row r="11278" spans="3:5" x14ac:dyDescent="0.25">
      <c r="C11278" t="s">
        <v>20880</v>
      </c>
      <c r="D11278" t="s">
        <v>20881</v>
      </c>
      <c r="E11278" t="str">
        <f>HYPERLINK("https://patents.google.com/patent/KR20010029049A/en")</f>
        <v>https://patents.google.com/patent/KR20010029049A/en</v>
      </c>
    </row>
    <row r="11279" spans="3:5" x14ac:dyDescent="0.25">
      <c r="C11279" t="s">
        <v>20882</v>
      </c>
      <c r="D11279" t="s">
        <v>20883</v>
      </c>
      <c r="E11279" t="str">
        <f>HYPERLINK("https://patents.google.com/patent/US20140012895A1/en")</f>
        <v>https://patents.google.com/patent/US20140012895A1/en</v>
      </c>
    </row>
    <row r="11280" spans="3:5" x14ac:dyDescent="0.25">
      <c r="C11280" t="s">
        <v>20884</v>
      </c>
      <c r="D11280" t="s">
        <v>20885</v>
      </c>
      <c r="E11280" t="str">
        <f>HYPERLINK("https://patents.google.com/patent/CN103702289A/en")</f>
        <v>https://patents.google.com/patent/CN103702289A/en</v>
      </c>
    </row>
    <row r="11281" spans="3:5" x14ac:dyDescent="0.25">
      <c r="C11281" t="s">
        <v>20886</v>
      </c>
      <c r="D11281" t="s">
        <v>20887</v>
      </c>
      <c r="E11281" t="str">
        <f>HYPERLINK("https://patents.google.com/patent/US20070293207A1/en")</f>
        <v>https://patents.google.com/patent/US20070293207A1/en</v>
      </c>
    </row>
    <row r="11282" spans="3:5" x14ac:dyDescent="0.25">
      <c r="C11282" t="s">
        <v>20888</v>
      </c>
      <c r="D11282" t="s">
        <v>20889</v>
      </c>
      <c r="E11282" t="str">
        <f>HYPERLINK("https://patents.google.com/patent/US6194992B1/en")</f>
        <v>https://patents.google.com/patent/US6194992B1/en</v>
      </c>
    </row>
    <row r="11283" spans="3:5" x14ac:dyDescent="0.25">
      <c r="C11283" t="s">
        <v>20890</v>
      </c>
      <c r="D11283" t="s">
        <v>20891</v>
      </c>
      <c r="E11283" t="str">
        <f>HYPERLINK("https://patents.google.com/patent/US20140136100A1/en")</f>
        <v>https://patents.google.com/patent/US20140136100A1/en</v>
      </c>
    </row>
    <row r="11284" spans="3:5" x14ac:dyDescent="0.25">
      <c r="C11284" t="s">
        <v>20892</v>
      </c>
      <c r="D11284" t="s">
        <v>20893</v>
      </c>
      <c r="E11284" t="str">
        <f>HYPERLINK("https://patents.google.com/patent/US8428614B2/en")</f>
        <v>https://patents.google.com/patent/US8428614B2/en</v>
      </c>
    </row>
    <row r="11285" spans="3:5" x14ac:dyDescent="0.25">
      <c r="C11285" t="s">
        <v>20894</v>
      </c>
      <c r="D11285" t="s">
        <v>20895</v>
      </c>
      <c r="E11285" t="str">
        <f>HYPERLINK("https://patents.google.com/patent/CN102118683A/en")</f>
        <v>https://patents.google.com/patent/CN102118683A/en</v>
      </c>
    </row>
    <row r="11286" spans="3:5" x14ac:dyDescent="0.25">
      <c r="C11286" t="s">
        <v>20896</v>
      </c>
      <c r="D11286" t="s">
        <v>20897</v>
      </c>
      <c r="E11286" t="str">
        <f>HYPERLINK("https://patents.google.com/patent/US20080114543A1/en")</f>
        <v>https://patents.google.com/patent/US20080114543A1/en</v>
      </c>
    </row>
    <row r="11287" spans="3:5" x14ac:dyDescent="0.25">
      <c r="C11287" t="s">
        <v>20898</v>
      </c>
      <c r="D11287" t="s">
        <v>20899</v>
      </c>
      <c r="E11287" t="str">
        <f>HYPERLINK("https://patents.google.com/patent/US6122572A/en")</f>
        <v>https://patents.google.com/patent/US6122572A/en</v>
      </c>
    </row>
    <row r="11288" spans="3:5" x14ac:dyDescent="0.25">
      <c r="C11288" t="s">
        <v>20900</v>
      </c>
      <c r="D11288" t="s">
        <v>20901</v>
      </c>
      <c r="E11288" t="str">
        <f>HYPERLINK("https://patents.google.com/patent/US20090276154A1/en")</f>
        <v>https://patents.google.com/patent/US20090276154A1/en</v>
      </c>
    </row>
    <row r="11289" spans="3:5" x14ac:dyDescent="0.25">
      <c r="C11289" t="s">
        <v>8350</v>
      </c>
      <c r="D11289" t="s">
        <v>20902</v>
      </c>
      <c r="E11289" t="str">
        <f>HYPERLINK("https://patents.google.com/patent/US7949529B2/en")</f>
        <v>https://patents.google.com/patent/US7949529B2/en</v>
      </c>
    </row>
    <row r="11290" spans="3:5" x14ac:dyDescent="0.25">
      <c r="C11290" t="s">
        <v>20903</v>
      </c>
      <c r="D11290" t="s">
        <v>20904</v>
      </c>
      <c r="E11290" t="str">
        <f>HYPERLINK("https://patents.google.com/patent/US20160241767A1/en")</f>
        <v>https://patents.google.com/patent/US20160241767A1/en</v>
      </c>
    </row>
    <row r="11291" spans="3:5" x14ac:dyDescent="0.25">
      <c r="C11291" t="s">
        <v>20858</v>
      </c>
      <c r="D11291" t="s">
        <v>20905</v>
      </c>
      <c r="E11291" t="str">
        <f>HYPERLINK("https://patents.google.com/patent/WO1999001859A1/en")</f>
        <v>https://patents.google.com/patent/WO1999001859A1/en</v>
      </c>
    </row>
    <row r="11292" spans="3:5" x14ac:dyDescent="0.25">
      <c r="C11292" t="s">
        <v>20906</v>
      </c>
      <c r="D11292" t="s">
        <v>20907</v>
      </c>
      <c r="E11292" t="str">
        <f>HYPERLINK("https://patents.google.com/patent/US20020123359A1/en")</f>
        <v>https://patents.google.com/patent/US20020123359A1/en</v>
      </c>
    </row>
    <row r="11293" spans="3:5" x14ac:dyDescent="0.25">
      <c r="C11293" t="s">
        <v>20860</v>
      </c>
      <c r="D11293" t="s">
        <v>20908</v>
      </c>
      <c r="E11293" t="str">
        <f>HYPERLINK("https://patents.google.com/patent/US7419097B2/en")</f>
        <v>https://patents.google.com/patent/US7419097B2/en</v>
      </c>
    </row>
    <row r="11294" spans="3:5" x14ac:dyDescent="0.25">
      <c r="C11294" t="s">
        <v>20909</v>
      </c>
      <c r="D11294" t="s">
        <v>20910</v>
      </c>
      <c r="E11294" t="str">
        <f>HYPERLINK("https://patents.google.com/patent/US7599795B1/en")</f>
        <v>https://patents.google.com/patent/US7599795B1/en</v>
      </c>
    </row>
    <row r="11295" spans="3:5" x14ac:dyDescent="0.25">
      <c r="C11295" t="s">
        <v>20911</v>
      </c>
      <c r="D11295" t="s">
        <v>20912</v>
      </c>
      <c r="E11295" t="str">
        <f>HYPERLINK("https://patents.google.com/patent/US7549947B2/en")</f>
        <v>https://patents.google.com/patent/US7549947B2/en</v>
      </c>
    </row>
    <row r="11296" spans="3:5" x14ac:dyDescent="0.25">
      <c r="C11296" t="s">
        <v>20913</v>
      </c>
      <c r="D11296" t="s">
        <v>20914</v>
      </c>
      <c r="E11296" t="str">
        <f>HYPERLINK("https://patents.google.com/patent/US9317963B2/en")</f>
        <v>https://patents.google.com/patent/US9317963B2/en</v>
      </c>
    </row>
    <row r="11297" spans="3:5" x14ac:dyDescent="0.25">
      <c r="C11297" t="s">
        <v>20915</v>
      </c>
      <c r="D11297" t="s">
        <v>20916</v>
      </c>
      <c r="E11297" t="str">
        <f>HYPERLINK("https://patents.google.com/patent/US20070220108A1/en")</f>
        <v>https://patents.google.com/patent/US20070220108A1/en</v>
      </c>
    </row>
    <row r="11298" spans="3:5" x14ac:dyDescent="0.25">
      <c r="C11298" t="s">
        <v>20917</v>
      </c>
      <c r="D11298" t="s">
        <v>20918</v>
      </c>
      <c r="E11298" t="str">
        <f>HYPERLINK("https://patents.google.com/patent/US8332402B2/en")</f>
        <v>https://patents.google.com/patent/US8332402B2/en</v>
      </c>
    </row>
    <row r="11299" spans="3:5" x14ac:dyDescent="0.25">
      <c r="C11299" t="s">
        <v>20919</v>
      </c>
      <c r="D11299" t="s">
        <v>20920</v>
      </c>
      <c r="E11299" t="str">
        <f>HYPERLINK("https://patents.google.com/patent/US20050099493A1/en")</f>
        <v>https://patents.google.com/patent/US20050099493A1/en</v>
      </c>
    </row>
    <row r="11300" spans="3:5" x14ac:dyDescent="0.25">
      <c r="C11300" t="s">
        <v>20921</v>
      </c>
      <c r="D11300" t="s">
        <v>20922</v>
      </c>
      <c r="E11300" t="str">
        <f>HYPERLINK("https://patents.google.com/patent/US20080261526A1/en")</f>
        <v>https://patents.google.com/patent/US20080261526A1/en</v>
      </c>
    </row>
    <row r="11301" spans="3:5" x14ac:dyDescent="0.25">
      <c r="C11301" t="s">
        <v>20923</v>
      </c>
      <c r="D11301" t="s">
        <v>20924</v>
      </c>
      <c r="E11301" t="str">
        <f>HYPERLINK("https://patents.google.com/patent/US20080102858A1/en")</f>
        <v>https://patents.google.com/patent/US20080102858A1/en</v>
      </c>
    </row>
    <row r="11302" spans="3:5" x14ac:dyDescent="0.25">
      <c r="C11302" t="s">
        <v>20925</v>
      </c>
      <c r="D11302" t="s">
        <v>20926</v>
      </c>
      <c r="E11302" t="str">
        <f>HYPERLINK("https://patents.google.com/patent/US20090163182A1/en")</f>
        <v>https://patents.google.com/patent/US20090163182A1/en</v>
      </c>
    </row>
    <row r="11303" spans="3:5" x14ac:dyDescent="0.25">
      <c r="C11303" t="s">
        <v>16799</v>
      </c>
      <c r="D11303" t="s">
        <v>20927</v>
      </c>
      <c r="E11303" t="str">
        <f>HYPERLINK("https://patents.google.com/patent/US20120315877A1/en")</f>
        <v>https://patents.google.com/patent/US20120315877A1/en</v>
      </c>
    </row>
    <row r="11304" spans="3:5" x14ac:dyDescent="0.25">
      <c r="C11304" t="s">
        <v>20928</v>
      </c>
      <c r="D11304" t="s">
        <v>20929</v>
      </c>
      <c r="E11304" t="str">
        <f>HYPERLINK("https://patents.google.com/patent/US20130275869A1/en")</f>
        <v>https://patents.google.com/patent/US20130275869A1/en</v>
      </c>
    </row>
    <row r="11305" spans="3:5" x14ac:dyDescent="0.25">
      <c r="C11305" t="s">
        <v>20930</v>
      </c>
      <c r="D11305" t="s">
        <v>20931</v>
      </c>
      <c r="E11305" t="str">
        <f>HYPERLINK("https://patents.google.com/patent/US7536034B2/en")</f>
        <v>https://patents.google.com/patent/US7536034B2/en</v>
      </c>
    </row>
    <row r="11306" spans="3:5" x14ac:dyDescent="0.25">
      <c r="C11306" t="s">
        <v>20932</v>
      </c>
      <c r="D11306" t="s">
        <v>20933</v>
      </c>
      <c r="E11306" t="str">
        <f>HYPERLINK("https://patents.google.com/patent/US20090031246A1/en")</f>
        <v>https://patents.google.com/patent/US20090031246A1/en</v>
      </c>
    </row>
    <row r="11307" spans="3:5" x14ac:dyDescent="0.25">
      <c r="C11307" t="s">
        <v>20934</v>
      </c>
      <c r="D11307" t="s">
        <v>20935</v>
      </c>
      <c r="E11307" t="str">
        <f>HYPERLINK("https://patents.google.com/patent/US20100146546A1/en")</f>
        <v>https://patents.google.com/patent/US20100146546A1/en</v>
      </c>
    </row>
    <row r="11308" spans="3:5" x14ac:dyDescent="0.25">
      <c r="C11308" t="s">
        <v>20936</v>
      </c>
      <c r="D11308" t="s">
        <v>20937</v>
      </c>
      <c r="E11308" t="str">
        <f>HYPERLINK("https://patents.google.com/patent/US7487114B2/en")</f>
        <v>https://patents.google.com/patent/US7487114B2/en</v>
      </c>
    </row>
    <row r="11309" spans="3:5" x14ac:dyDescent="0.25">
      <c r="C11309" t="s">
        <v>20938</v>
      </c>
      <c r="D11309" t="s">
        <v>20939</v>
      </c>
      <c r="E11309" t="str">
        <f>HYPERLINK("https://patents.google.com/patent/US6272457B1/en")</f>
        <v>https://patents.google.com/patent/US6272457B1/en</v>
      </c>
    </row>
    <row r="11310" spans="3:5" x14ac:dyDescent="0.25">
      <c r="C11310" t="s">
        <v>20940</v>
      </c>
      <c r="D11310" t="s">
        <v>20941</v>
      </c>
      <c r="E11310" t="str">
        <f>HYPERLINK("https://patents.google.com/patent/US7174301B2/en")</f>
        <v>https://patents.google.com/patent/US7174301B2/en</v>
      </c>
    </row>
    <row r="11311" spans="3:5" x14ac:dyDescent="0.25">
      <c r="C11311" t="s">
        <v>20942</v>
      </c>
      <c r="D11311" t="s">
        <v>20943</v>
      </c>
      <c r="E11311" t="str">
        <f>HYPERLINK("https://patents.google.com/patent/US5870029A/en")</f>
        <v>https://patents.google.com/patent/US5870029A/en</v>
      </c>
    </row>
    <row r="11312" spans="3:5" x14ac:dyDescent="0.25">
      <c r="C11312" t="s">
        <v>20944</v>
      </c>
      <c r="D11312" t="s">
        <v>20945</v>
      </c>
      <c r="E11312" t="str">
        <f>HYPERLINK("https://patents.google.com/patent/US8229458B2/en")</f>
        <v>https://patents.google.com/patent/US8229458B2/en</v>
      </c>
    </row>
    <row r="11313" spans="3:5" x14ac:dyDescent="0.25">
      <c r="C11313" t="s">
        <v>20946</v>
      </c>
      <c r="D11313" t="s">
        <v>20947</v>
      </c>
      <c r="E11313" t="str">
        <f>HYPERLINK("https://patents.google.com/patent/US4296408A/en")</f>
        <v>https://patents.google.com/patent/US4296408A/en</v>
      </c>
    </row>
    <row r="11314" spans="3:5" x14ac:dyDescent="0.25">
      <c r="C11314" t="s">
        <v>20948</v>
      </c>
      <c r="D11314" t="s">
        <v>20949</v>
      </c>
      <c r="E11314" t="str">
        <f>HYPERLINK("https://patents.google.com/patent/US7336928B2/en")</f>
        <v>https://patents.google.com/patent/US7336928B2/en</v>
      </c>
    </row>
    <row r="11315" spans="3:5" x14ac:dyDescent="0.25">
      <c r="C11315" t="s">
        <v>20950</v>
      </c>
      <c r="D11315" t="s">
        <v>20951</v>
      </c>
      <c r="E11315" t="str">
        <f>HYPERLINK("https://patents.google.com/patent/US20050228860A1/en")</f>
        <v>https://patents.google.com/patent/US20050228860A1/en</v>
      </c>
    </row>
    <row r="11316" spans="3:5" x14ac:dyDescent="0.25">
      <c r="C11316" t="s">
        <v>20952</v>
      </c>
      <c r="D11316" t="s">
        <v>20953</v>
      </c>
      <c r="E11316" t="str">
        <f>HYPERLINK("https://patents.google.com/patent/US20080271072A1/en")</f>
        <v>https://patents.google.com/patent/US20080271072A1/en</v>
      </c>
    </row>
    <row r="11317" spans="3:5" x14ac:dyDescent="0.25">
      <c r="C11317" t="s">
        <v>20954</v>
      </c>
      <c r="D11317" t="s">
        <v>20955</v>
      </c>
      <c r="E11317" t="str">
        <f>HYPERLINK("https://patents.google.com/patent/US20120214443A1/en")</f>
        <v>https://patents.google.com/patent/US20120214443A1/en</v>
      </c>
    </row>
    <row r="11318" spans="3:5" x14ac:dyDescent="0.25">
      <c r="C11318" t="s">
        <v>20956</v>
      </c>
      <c r="D11318" t="s">
        <v>20957</v>
      </c>
      <c r="E11318" t="str">
        <f>HYPERLINK("https://patents.google.com/patent/US20090177513A1/en")</f>
        <v>https://patents.google.com/patent/US20090177513A1/en</v>
      </c>
    </row>
    <row r="11319" spans="3:5" x14ac:dyDescent="0.25">
      <c r="C11319" t="s">
        <v>20958</v>
      </c>
      <c r="D11319" t="s">
        <v>20959</v>
      </c>
      <c r="E11319" t="str">
        <f>HYPERLINK("https://patents.google.com/patent/US7100190B2/en")</f>
        <v>https://patents.google.com/patent/US7100190B2/en</v>
      </c>
    </row>
    <row r="11320" spans="3:5" x14ac:dyDescent="0.25">
      <c r="C11320" t="s">
        <v>20960</v>
      </c>
      <c r="D11320" t="s">
        <v>20961</v>
      </c>
      <c r="E11320" t="str">
        <f>HYPERLINK("https://patents.google.com/patent/US8295855B2/en")</f>
        <v>https://patents.google.com/patent/US8295855B2/en</v>
      </c>
    </row>
    <row r="11321" spans="3:5" x14ac:dyDescent="0.25">
      <c r="C11321" t="s">
        <v>20962</v>
      </c>
      <c r="D11321" t="s">
        <v>20963</v>
      </c>
      <c r="E11321" t="str">
        <f>HYPERLINK("https://patents.google.com/patent/US6070793A/en")</f>
        <v>https://patents.google.com/patent/US6070793A/en</v>
      </c>
    </row>
    <row r="11322" spans="3:5" x14ac:dyDescent="0.25">
      <c r="C11322" t="s">
        <v>20964</v>
      </c>
      <c r="D11322" t="s">
        <v>20965</v>
      </c>
      <c r="E11322" t="str">
        <f>HYPERLINK("https://patents.google.com/patent/US5034808A/en")</f>
        <v>https://patents.google.com/patent/US5034808A/en</v>
      </c>
    </row>
    <row r="11323" spans="3:5" x14ac:dyDescent="0.25">
      <c r="C11323" t="s">
        <v>17591</v>
      </c>
      <c r="D11323" t="s">
        <v>20966</v>
      </c>
      <c r="E11323" t="str">
        <f>HYPERLINK("https://patents.google.com/patent/US20100332226A1/en")</f>
        <v>https://patents.google.com/patent/US20100332226A1/en</v>
      </c>
    </row>
    <row r="11324" spans="3:5" x14ac:dyDescent="0.25">
      <c r="C11324" t="s">
        <v>20967</v>
      </c>
      <c r="D11324" t="s">
        <v>20968</v>
      </c>
      <c r="E11324" t="str">
        <f>HYPERLINK("https://patents.google.com/patent/US20150057837A1/en")</f>
        <v>https://patents.google.com/patent/US20150057837A1/en</v>
      </c>
    </row>
    <row r="11325" spans="3:5" x14ac:dyDescent="0.25">
      <c r="C11325" t="s">
        <v>20969</v>
      </c>
      <c r="D11325" t="s">
        <v>20970</v>
      </c>
      <c r="E11325" t="str">
        <f>HYPERLINK("https://patents.google.com/patent/CN102739872A/en")</f>
        <v>https://patents.google.com/patent/CN102739872A/en</v>
      </c>
    </row>
    <row r="11326" spans="3:5" x14ac:dyDescent="0.25">
      <c r="C11326" t="s">
        <v>20971</v>
      </c>
      <c r="D11326" t="s">
        <v>20972</v>
      </c>
      <c r="E11326" t="str">
        <f>HYPERLINK("https://patents.google.com/patent/CN101621740A/en")</f>
        <v>https://patents.google.com/patent/CN101621740A/en</v>
      </c>
    </row>
    <row r="11327" spans="3:5" x14ac:dyDescent="0.25">
      <c r="C11327" t="s">
        <v>20973</v>
      </c>
      <c r="D11327" t="s">
        <v>20974</v>
      </c>
      <c r="E11327" t="str">
        <f>HYPERLINK("https://patents.google.com/patent/US4241686A/en")</f>
        <v>https://patents.google.com/patent/US4241686A/en</v>
      </c>
    </row>
    <row r="11328" spans="3:5" x14ac:dyDescent="0.25">
      <c r="C11328" t="s">
        <v>20975</v>
      </c>
      <c r="D11328" t="s">
        <v>20976</v>
      </c>
      <c r="E11328" t="str">
        <f>HYPERLINK("https://patents.google.com/patent/US20140324616A1/en")</f>
        <v>https://patents.google.com/patent/US20140324616A1/en</v>
      </c>
    </row>
    <row r="11329" spans="3:5" x14ac:dyDescent="0.25">
      <c r="C11329" t="s">
        <v>20977</v>
      </c>
      <c r="D11329" t="s">
        <v>20978</v>
      </c>
      <c r="E11329" t="str">
        <f>HYPERLINK("https://patents.google.com/patent/US9629064B2/en")</f>
        <v>https://patents.google.com/patent/US9629064B2/en</v>
      </c>
    </row>
    <row r="11330" spans="3:5" x14ac:dyDescent="0.25">
      <c r="C11330" t="s">
        <v>20979</v>
      </c>
      <c r="D11330" t="s">
        <v>20980</v>
      </c>
      <c r="E11330" t="str">
        <f>HYPERLINK("https://patents.google.com/patent/US20150154676A1/en")</f>
        <v>https://patents.google.com/patent/US20150154676A1/en</v>
      </c>
    </row>
    <row r="11331" spans="3:5" x14ac:dyDescent="0.25">
      <c r="C11331" t="s">
        <v>20981</v>
      </c>
      <c r="D11331" t="s">
        <v>20982</v>
      </c>
      <c r="E11331" t="str">
        <f>HYPERLINK("https://patents.google.com/patent/US8612134B2/en")</f>
        <v>https://patents.google.com/patent/US8612134B2/en</v>
      </c>
    </row>
    <row r="11332" spans="3:5" x14ac:dyDescent="0.25">
      <c r="C11332" t="s">
        <v>17591</v>
      </c>
      <c r="D11332" t="s">
        <v>20983</v>
      </c>
      <c r="E11332" t="str">
        <f>HYPERLINK("https://patents.google.com/patent/US20110053642A1/en")</f>
        <v>https://patents.google.com/patent/US20110053642A1/en</v>
      </c>
    </row>
    <row r="11333" spans="3:5" x14ac:dyDescent="0.25">
      <c r="C11333" t="s">
        <v>20984</v>
      </c>
      <c r="D11333" t="s">
        <v>20985</v>
      </c>
      <c r="E11333" t="str">
        <f>HYPERLINK("https://patents.google.com/patent/US8302007B2/en")</f>
        <v>https://patents.google.com/patent/US8302007B2/en</v>
      </c>
    </row>
    <row r="11334" spans="3:5" x14ac:dyDescent="0.25">
      <c r="C11334" t="s">
        <v>20986</v>
      </c>
      <c r="D11334" t="s">
        <v>20987</v>
      </c>
      <c r="E11334" t="str">
        <f>HYPERLINK("https://patents.google.com/patent/JP2003044553A/en")</f>
        <v>https://patents.google.com/patent/JP2003044553A/en</v>
      </c>
    </row>
    <row r="11335" spans="3:5" x14ac:dyDescent="0.25">
      <c r="C11335" t="s">
        <v>20988</v>
      </c>
      <c r="D11335" t="s">
        <v>20989</v>
      </c>
      <c r="E11335" t="str">
        <f>HYPERLINK("https://patents.google.com/patent/WO2001037518A2/en")</f>
        <v>https://patents.google.com/patent/WO2001037518A2/en</v>
      </c>
    </row>
    <row r="11336" spans="3:5" x14ac:dyDescent="0.25">
      <c r="C11336" t="s">
        <v>20990</v>
      </c>
      <c r="D11336" t="s">
        <v>20991</v>
      </c>
      <c r="E11336" t="str">
        <f>HYPERLINK("https://patents.google.com/patent/US20010031640A1/en")</f>
        <v>https://patents.google.com/patent/US20010031640A1/en</v>
      </c>
    </row>
    <row r="11337" spans="3:5" x14ac:dyDescent="0.25">
      <c r="C11337" t="s">
        <v>20992</v>
      </c>
      <c r="D11337" t="s">
        <v>20993</v>
      </c>
      <c r="E11337" t="str">
        <f>HYPERLINK("https://patents.google.com/patent/CN104408785A/en")</f>
        <v>https://patents.google.com/patent/CN104408785A/en</v>
      </c>
    </row>
    <row r="11338" spans="3:5" x14ac:dyDescent="0.25">
      <c r="C11338" t="s">
        <v>20994</v>
      </c>
      <c r="D11338" t="s">
        <v>20995</v>
      </c>
      <c r="E11338" t="str">
        <f>HYPERLINK("https://patents.google.com/patent/US8289394B2/en")</f>
        <v>https://patents.google.com/patent/US8289394B2/en</v>
      </c>
    </row>
    <row r="11339" spans="3:5" x14ac:dyDescent="0.25">
      <c r="C11339" t="s">
        <v>20996</v>
      </c>
      <c r="D11339" t="s">
        <v>20997</v>
      </c>
      <c r="E11339" t="str">
        <f>HYPERLINK("https://patents.google.com/patent/US20090080350A1/en")</f>
        <v>https://patents.google.com/patent/US20090080350A1/en</v>
      </c>
    </row>
    <row r="11340" spans="3:5" x14ac:dyDescent="0.25">
      <c r="C11340" t="s">
        <v>20998</v>
      </c>
      <c r="D11340" t="s">
        <v>20999</v>
      </c>
      <c r="E11340" t="str">
        <f>HYPERLINK("https://patents.google.com/patent/CN101090519A/en")</f>
        <v>https://patents.google.com/patent/CN101090519A/en</v>
      </c>
    </row>
    <row r="11341" spans="3:5" x14ac:dyDescent="0.25">
      <c r="C11341" t="s">
        <v>21000</v>
      </c>
      <c r="D11341" t="s">
        <v>21001</v>
      </c>
      <c r="E11341" t="str">
        <f>HYPERLINK("https://patents.google.com/patent/CN104036441A/en")</f>
        <v>https://patents.google.com/patent/CN104036441A/en</v>
      </c>
    </row>
    <row r="11342" spans="3:5" x14ac:dyDescent="0.25">
      <c r="C11342" t="s">
        <v>21002</v>
      </c>
      <c r="D11342" t="s">
        <v>21003</v>
      </c>
      <c r="E11342" t="str">
        <f>HYPERLINK("https://patents.google.com/patent/CN202046236U/en")</f>
        <v>https://patents.google.com/patent/CN202046236U/en</v>
      </c>
    </row>
    <row r="11343" spans="3:5" x14ac:dyDescent="0.25">
      <c r="C11343" t="s">
        <v>20888</v>
      </c>
      <c r="D11343" t="s">
        <v>21004</v>
      </c>
      <c r="E11343" t="str">
        <f>HYPERLINK("https://patents.google.com/patent/WO1997040451A1/en")</f>
        <v>https://patents.google.com/patent/WO1997040451A1/en</v>
      </c>
    </row>
    <row r="11344" spans="3:5" x14ac:dyDescent="0.25">
      <c r="C11344" t="s">
        <v>21005</v>
      </c>
      <c r="D11344" t="s">
        <v>21006</v>
      </c>
      <c r="E11344" t="str">
        <f>HYPERLINK("https://patents.google.com/patent/US7640204B2/en")</f>
        <v>https://patents.google.com/patent/US7640204B2/en</v>
      </c>
    </row>
    <row r="11345" spans="3:5" x14ac:dyDescent="0.25">
      <c r="C11345" t="s">
        <v>21007</v>
      </c>
      <c r="D11345" t="s">
        <v>21008</v>
      </c>
      <c r="E11345" t="str">
        <f>HYPERLINK("https://patents.google.com/patent/US20140047357A1/en")</f>
        <v>https://patents.google.com/patent/US20140047357A1/en</v>
      </c>
    </row>
    <row r="11346" spans="3:5" x14ac:dyDescent="0.25">
      <c r="C11346" t="s">
        <v>21009</v>
      </c>
      <c r="D11346" t="s">
        <v>21010</v>
      </c>
      <c r="E11346" t="str">
        <f>HYPERLINK("https://patents.google.com/patent/US20030004743A1/en")</f>
        <v>https://patents.google.com/patent/US20030004743A1/en</v>
      </c>
    </row>
    <row r="11347" spans="3:5" x14ac:dyDescent="0.25">
      <c r="C11347" t="s">
        <v>21011</v>
      </c>
      <c r="D11347" t="s">
        <v>21012</v>
      </c>
      <c r="E11347" t="str">
        <f>HYPERLINK("https://patents.google.com/patent/US20030004802A1/en")</f>
        <v>https://patents.google.com/patent/US20030004802A1/en</v>
      </c>
    </row>
    <row r="11348" spans="3:5" x14ac:dyDescent="0.25">
      <c r="C11348" t="s">
        <v>21013</v>
      </c>
      <c r="D11348" t="s">
        <v>21014</v>
      </c>
      <c r="E11348" t="str">
        <f>HYPERLINK("https://patents.google.com/patent/US20030055983A1/en")</f>
        <v>https://patents.google.com/patent/US20030055983A1/en</v>
      </c>
    </row>
    <row r="11349" spans="3:5" x14ac:dyDescent="0.25">
      <c r="C11349" t="s">
        <v>21015</v>
      </c>
      <c r="D11349" t="s">
        <v>21016</v>
      </c>
      <c r="E11349" t="str">
        <f>HYPERLINK("https://patents.google.com/patent/US20100332315A1/en")</f>
        <v>https://patents.google.com/patent/US20100332315A1/en</v>
      </c>
    </row>
    <row r="11350" spans="3:5" x14ac:dyDescent="0.25">
      <c r="C11350" t="s">
        <v>21017</v>
      </c>
      <c r="D11350" t="s">
        <v>21018</v>
      </c>
      <c r="E11350" t="str">
        <f>HYPERLINK("https://patents.google.com/patent/US20020049535A1/en")</f>
        <v>https://patents.google.com/patent/US20020049535A1/en</v>
      </c>
    </row>
    <row r="11351" spans="3:5" x14ac:dyDescent="0.25">
      <c r="C11351" t="s">
        <v>20936</v>
      </c>
      <c r="D11351" t="s">
        <v>21019</v>
      </c>
      <c r="E11351" t="str">
        <f>HYPERLINK("https://patents.google.com/patent/US20090132316A1/en")</f>
        <v>https://patents.google.com/patent/US20090132316A1/en</v>
      </c>
    </row>
    <row r="11352" spans="3:5" x14ac:dyDescent="0.25">
      <c r="C11352" t="s">
        <v>21020</v>
      </c>
      <c r="D11352" t="s">
        <v>21021</v>
      </c>
      <c r="E11352" t="str">
        <f>HYPERLINK("https://patents.google.com/patent/US7240108B2/en")</f>
        <v>https://patents.google.com/patent/US7240108B2/en</v>
      </c>
    </row>
    <row r="11353" spans="3:5" x14ac:dyDescent="0.25">
      <c r="C11353" t="s">
        <v>21022</v>
      </c>
      <c r="D11353" t="s">
        <v>21023</v>
      </c>
      <c r="E11353" t="str">
        <f>HYPERLINK("https://patents.google.com/patent/US6636803B1/en")</f>
        <v>https://patents.google.com/patent/US6636803B1/en</v>
      </c>
    </row>
    <row r="11354" spans="3:5" x14ac:dyDescent="0.25">
      <c r="C11354" t="s">
        <v>21024</v>
      </c>
      <c r="D11354" t="s">
        <v>21025</v>
      </c>
      <c r="E11354" t="str">
        <f>HYPERLINK("https://patents.google.com/patent/US20130254831A1/en")</f>
        <v>https://patents.google.com/patent/US20130254831A1/en</v>
      </c>
    </row>
    <row r="11355" spans="3:5" x14ac:dyDescent="0.25">
      <c r="C11355" t="s">
        <v>21026</v>
      </c>
      <c r="D11355" t="s">
        <v>21027</v>
      </c>
      <c r="E11355" t="str">
        <f>HYPERLINK("https://patents.google.com/patent/US20130119133A1/en")</f>
        <v>https://patents.google.com/patent/US20130119133A1/en</v>
      </c>
    </row>
    <row r="11356" spans="3:5" x14ac:dyDescent="0.25">
      <c r="C11356" t="s">
        <v>21028</v>
      </c>
      <c r="D11356" t="s">
        <v>21029</v>
      </c>
      <c r="E11356" t="str">
        <f>HYPERLINK("https://patents.google.com/patent/US20110107227A1/en")</f>
        <v>https://patents.google.com/patent/US20110107227A1/en</v>
      </c>
    </row>
    <row r="11357" spans="3:5" x14ac:dyDescent="0.25">
      <c r="C11357" t="s">
        <v>21030</v>
      </c>
      <c r="D11357" t="s">
        <v>21031</v>
      </c>
      <c r="E11357" t="str">
        <f>HYPERLINK("https://patents.google.com/patent/US20170017947A1/en")</f>
        <v>https://patents.google.com/patent/US20170017947A1/en</v>
      </c>
    </row>
    <row r="11358" spans="3:5" x14ac:dyDescent="0.25">
      <c r="C11358" t="s">
        <v>21032</v>
      </c>
      <c r="D11358" t="s">
        <v>21033</v>
      </c>
      <c r="E11358" t="str">
        <f>HYPERLINK("https://patents.google.com/patent/US20100190468A1/en")</f>
        <v>https://patents.google.com/patent/US20100190468A1/en</v>
      </c>
    </row>
    <row r="11359" spans="3:5" x14ac:dyDescent="0.25">
      <c r="C11359" t="s">
        <v>21034</v>
      </c>
      <c r="D11359" t="s">
        <v>21035</v>
      </c>
      <c r="E11359" t="str">
        <f>HYPERLINK("https://patents.google.com/patent/WO1997008635A1/en")</f>
        <v>https://patents.google.com/patent/WO1997008635A1/en</v>
      </c>
    </row>
    <row r="11360" spans="3:5" x14ac:dyDescent="0.25">
      <c r="C11360" t="s">
        <v>21036</v>
      </c>
      <c r="D11360" t="s">
        <v>21037</v>
      </c>
      <c r="E11360" t="str">
        <f>HYPERLINK("https://patents.google.com/patent/US20130063646A1/en")</f>
        <v>https://patents.google.com/patent/US20130063646A1/en</v>
      </c>
    </row>
    <row r="11361" spans="3:5" x14ac:dyDescent="0.25">
      <c r="C11361" t="s">
        <v>21038</v>
      </c>
      <c r="D11361" t="s">
        <v>21039</v>
      </c>
      <c r="E11361" t="str">
        <f>HYPERLINK("https://patents.google.com/patent/US20120323938A1/en")</f>
        <v>https://patents.google.com/patent/US20120323938A1/en</v>
      </c>
    </row>
    <row r="11362" spans="3:5" x14ac:dyDescent="0.25">
      <c r="C11362" t="s">
        <v>21040</v>
      </c>
      <c r="D11362" t="s">
        <v>21041</v>
      </c>
      <c r="E11362" t="str">
        <f>HYPERLINK("https://patents.google.com/patent/US20090036147A1/en")</f>
        <v>https://patents.google.com/patent/US20090036147A1/en</v>
      </c>
    </row>
    <row r="11363" spans="3:5" x14ac:dyDescent="0.25">
      <c r="C11363" t="s">
        <v>21042</v>
      </c>
      <c r="D11363" t="s">
        <v>21043</v>
      </c>
      <c r="E11363" t="str">
        <f>HYPERLINK("https://patents.google.com/patent/US20070185744A1/en")</f>
        <v>https://patents.google.com/patent/US20070185744A1/en</v>
      </c>
    </row>
    <row r="11364" spans="3:5" x14ac:dyDescent="0.25">
      <c r="C11364" t="s">
        <v>21044</v>
      </c>
      <c r="D11364" t="s">
        <v>21045</v>
      </c>
      <c r="E11364" t="str">
        <f>HYPERLINK("https://patents.google.com/patent/US20080108456A1/en")</f>
        <v>https://patents.google.com/patent/US20080108456A1/en</v>
      </c>
    </row>
    <row r="11365" spans="3:5" x14ac:dyDescent="0.25">
      <c r="C11365" t="s">
        <v>21046</v>
      </c>
      <c r="D11365" t="s">
        <v>21047</v>
      </c>
      <c r="E11365" t="str">
        <f>HYPERLINK("https://patents.google.com/patent/US20120041675A1/en")</f>
        <v>https://patents.google.com/patent/US20120041675A1/en</v>
      </c>
    </row>
    <row r="11366" spans="3:5" x14ac:dyDescent="0.25">
      <c r="C11366" t="s">
        <v>21048</v>
      </c>
      <c r="D11366" t="s">
        <v>21049</v>
      </c>
      <c r="E11366" t="str">
        <f>HYPERLINK("https://patents.google.com/patent/US4410883A/en")</f>
        <v>https://patents.google.com/patent/US4410883A/en</v>
      </c>
    </row>
    <row r="11367" spans="3:5" x14ac:dyDescent="0.25">
      <c r="C11367" t="s">
        <v>21050</v>
      </c>
      <c r="D11367" t="s">
        <v>21051</v>
      </c>
      <c r="E11367" t="str">
        <f>HYPERLINK("https://patents.google.com/patent/US20070243853A1/en")</f>
        <v>https://patents.google.com/patent/US20070243853A1/en</v>
      </c>
    </row>
    <row r="11368" spans="3:5" x14ac:dyDescent="0.25">
      <c r="C11368" t="s">
        <v>21052</v>
      </c>
      <c r="D11368" t="s">
        <v>21053</v>
      </c>
      <c r="E11368" t="str">
        <f>HYPERLINK("https://patents.google.com/patent/US20020156832A1/en")</f>
        <v>https://patents.google.com/patent/US20020156832A1/en</v>
      </c>
    </row>
    <row r="11369" spans="3:5" x14ac:dyDescent="0.25">
      <c r="C11369" t="s">
        <v>21054</v>
      </c>
      <c r="D11369" t="s">
        <v>21055</v>
      </c>
      <c r="E11369" t="str">
        <f>HYPERLINK("https://patents.google.com/patent/US20150178561A1/en")</f>
        <v>https://patents.google.com/patent/US20150178561A1/en</v>
      </c>
    </row>
    <row r="11370" spans="3:5" x14ac:dyDescent="0.25">
      <c r="C11370" t="s">
        <v>21056</v>
      </c>
      <c r="D11370" t="s">
        <v>21057</v>
      </c>
      <c r="E11370" t="str">
        <f>HYPERLINK("https://patents.google.com/patent/US20050289236A1/en")</f>
        <v>https://patents.google.com/patent/US20050289236A1/en</v>
      </c>
    </row>
    <row r="11371" spans="3:5" x14ac:dyDescent="0.25">
      <c r="C11371" t="s">
        <v>21058</v>
      </c>
      <c r="D11371" t="s">
        <v>21059</v>
      </c>
      <c r="E11371" t="str">
        <f>HYPERLINK("https://patents.google.com/patent/GB2355627A/en")</f>
        <v>https://patents.google.com/patent/GB2355627A/en</v>
      </c>
    </row>
    <row r="11372" spans="3:5" x14ac:dyDescent="0.25">
      <c r="C11372" t="s">
        <v>21060</v>
      </c>
      <c r="D11372" t="s">
        <v>21061</v>
      </c>
      <c r="E11372" t="str">
        <f>HYPERLINK("https://patents.google.com/patent/US9552334B1/en")</f>
        <v>https://patents.google.com/patent/US9552334B1/en</v>
      </c>
    </row>
    <row r="11373" spans="3:5" x14ac:dyDescent="0.25">
      <c r="C11373" t="s">
        <v>21062</v>
      </c>
      <c r="D11373" t="s">
        <v>21063</v>
      </c>
      <c r="E11373" t="str">
        <f>HYPERLINK("https://patents.google.com/patent/US20100009809A1/en")</f>
        <v>https://patents.google.com/patent/US20100009809A1/en</v>
      </c>
    </row>
    <row r="11374" spans="3:5" x14ac:dyDescent="0.25">
      <c r="C11374" t="s">
        <v>21064</v>
      </c>
      <c r="D11374" t="s">
        <v>21065</v>
      </c>
      <c r="E11374" t="str">
        <f>HYPERLINK("https://patents.google.com/patent/CN101521874A/en")</f>
        <v>https://patents.google.com/patent/CN101521874A/en</v>
      </c>
    </row>
    <row r="11375" spans="3:5" x14ac:dyDescent="0.25">
      <c r="C11375" t="s">
        <v>21066</v>
      </c>
      <c r="D11375" t="s">
        <v>21067</v>
      </c>
      <c r="E11375" t="str">
        <f>HYPERLINK("https://patents.google.com/patent/US20110319098A1/en")</f>
        <v>https://patents.google.com/patent/US20110319098A1/en</v>
      </c>
    </row>
    <row r="11376" spans="3:5" x14ac:dyDescent="0.25">
      <c r="C11376" t="s">
        <v>21068</v>
      </c>
      <c r="D11376" t="s">
        <v>21069</v>
      </c>
      <c r="E11376" t="str">
        <f>HYPERLINK("https://patents.google.com/patent/US20090210388A1/en")</f>
        <v>https://patents.google.com/patent/US20090210388A1/en</v>
      </c>
    </row>
    <row r="11377" spans="3:5" x14ac:dyDescent="0.25">
      <c r="C11377" t="s">
        <v>21070</v>
      </c>
      <c r="D11377" t="s">
        <v>21071</v>
      </c>
      <c r="E11377" t="str">
        <f>HYPERLINK("https://patents.google.com/patent/US20090031071A1/en")</f>
        <v>https://patents.google.com/patent/US20090031071A1/en</v>
      </c>
    </row>
    <row r="11378" spans="3:5" x14ac:dyDescent="0.25">
      <c r="C11378" t="s">
        <v>21072</v>
      </c>
      <c r="D11378" t="s">
        <v>21073</v>
      </c>
      <c r="E11378" t="str">
        <f>HYPERLINK("https://patents.google.com/patent/US20070061199A1/en")</f>
        <v>https://patents.google.com/patent/US20070061199A1/en</v>
      </c>
    </row>
    <row r="11379" spans="3:5" x14ac:dyDescent="0.25">
      <c r="C11379" t="s">
        <v>21074</v>
      </c>
      <c r="D11379" t="s">
        <v>21075</v>
      </c>
      <c r="E11379" t="str">
        <f>HYPERLINK("https://patents.google.com/patent/US20130051615A1/en")</f>
        <v>https://patents.google.com/patent/US20130051615A1/en</v>
      </c>
    </row>
    <row r="11380" spans="3:5" x14ac:dyDescent="0.25">
      <c r="C11380" t="s">
        <v>21076</v>
      </c>
      <c r="D11380" t="s">
        <v>21077</v>
      </c>
      <c r="E11380" t="str">
        <f>HYPERLINK("https://patents.google.com/patent/CN102306172A/en")</f>
        <v>https://patents.google.com/patent/CN102306172A/en</v>
      </c>
    </row>
    <row r="11381" spans="3:5" x14ac:dyDescent="0.25">
      <c r="C11381" t="s">
        <v>21078</v>
      </c>
      <c r="D11381" t="s">
        <v>21079</v>
      </c>
      <c r="E11381" t="str">
        <f>HYPERLINK("https://patents.google.com/patent/US20080162042A1/en")</f>
        <v>https://patents.google.com/patent/US20080162042A1/en</v>
      </c>
    </row>
    <row r="11382" spans="3:5" x14ac:dyDescent="0.25">
      <c r="C11382" t="s">
        <v>21080</v>
      </c>
      <c r="D11382" t="s">
        <v>21081</v>
      </c>
      <c r="E11382" t="str">
        <f>HYPERLINK("https://patents.google.com/patent/US8727893B2/en")</f>
        <v>https://patents.google.com/patent/US8727893B2/en</v>
      </c>
    </row>
    <row r="11383" spans="3:5" x14ac:dyDescent="0.25">
      <c r="C11383" t="s">
        <v>21082</v>
      </c>
      <c r="D11383" t="s">
        <v>21083</v>
      </c>
      <c r="E11383" t="str">
        <f>HYPERLINK("https://patents.google.com/patent/DE19805465A1/en")</f>
        <v>https://patents.google.com/patent/DE19805465A1/en</v>
      </c>
    </row>
    <row r="11384" spans="3:5" x14ac:dyDescent="0.25">
      <c r="C11384" t="s">
        <v>21084</v>
      </c>
      <c r="D11384" t="s">
        <v>21085</v>
      </c>
      <c r="E11384" t="str">
        <f>HYPERLINK("https://patents.google.com/patent/EP0187174A1/en")</f>
        <v>https://patents.google.com/patent/EP0187174A1/en</v>
      </c>
    </row>
    <row r="11385" spans="3:5" x14ac:dyDescent="0.25">
      <c r="C11385" t="s">
        <v>21086</v>
      </c>
      <c r="D11385" t="s">
        <v>21087</v>
      </c>
      <c r="E11385" t="str">
        <f>HYPERLINK("https://patents.google.com/patent/US20020002599A1/en")</f>
        <v>https://patents.google.com/patent/US20020002599A1/en</v>
      </c>
    </row>
    <row r="11386" spans="3:5" x14ac:dyDescent="0.25">
      <c r="C11386" t="s">
        <v>21088</v>
      </c>
      <c r="D11386" t="s">
        <v>21089</v>
      </c>
      <c r="E11386" t="str">
        <f>HYPERLINK("https://patents.google.com/patent/US20060168300A1/en")</f>
        <v>https://patents.google.com/patent/US20060168300A1/en</v>
      </c>
    </row>
    <row r="11387" spans="3:5" x14ac:dyDescent="0.25">
      <c r="C11387" t="s">
        <v>21090</v>
      </c>
      <c r="D11387" t="s">
        <v>21091</v>
      </c>
      <c r="E11387" t="str">
        <f>HYPERLINK("https://patents.google.com/patent/US20110039598A1/en")</f>
        <v>https://patents.google.com/patent/US20110039598A1/en</v>
      </c>
    </row>
    <row r="11388" spans="3:5" x14ac:dyDescent="0.25">
      <c r="C11388" t="s">
        <v>21092</v>
      </c>
      <c r="D11388" t="s">
        <v>21093</v>
      </c>
      <c r="E11388" t="str">
        <f>HYPERLINK("https://patents.google.com/patent/US20070173956A1/en")</f>
        <v>https://patents.google.com/patent/US20070173956A1/en</v>
      </c>
    </row>
    <row r="11389" spans="3:5" x14ac:dyDescent="0.25">
      <c r="C11389" t="s">
        <v>21094</v>
      </c>
      <c r="D11389" t="s">
        <v>21095</v>
      </c>
      <c r="E11389" t="str">
        <f>HYPERLINK("https://patents.google.com/patent/US7076252B1/en")</f>
        <v>https://patents.google.com/patent/US7076252B1/en</v>
      </c>
    </row>
    <row r="11390" spans="3:5" x14ac:dyDescent="0.25">
      <c r="C11390" t="s">
        <v>21096</v>
      </c>
      <c r="D11390" t="s">
        <v>21097</v>
      </c>
      <c r="E11390" t="str">
        <f>HYPERLINK("https://patents.google.com/patent/US20110214072A1/en")</f>
        <v>https://patents.google.com/patent/US20110214072A1/en</v>
      </c>
    </row>
    <row r="11391" spans="3:5" x14ac:dyDescent="0.25">
      <c r="C11391" t="s">
        <v>7998</v>
      </c>
      <c r="D11391" t="s">
        <v>21098</v>
      </c>
      <c r="E11391" t="str">
        <f>HYPERLINK("https://patents.google.com/patent/US20090119013A1/en")</f>
        <v>https://patents.google.com/patent/US20090119013A1/en</v>
      </c>
    </row>
    <row r="11392" spans="3:5" x14ac:dyDescent="0.25">
      <c r="C11392" t="s">
        <v>21099</v>
      </c>
      <c r="D11392" t="s">
        <v>21100</v>
      </c>
      <c r="E11392" t="str">
        <f>HYPERLINK("https://patents.google.com/patent/US20070008905A1/en")</f>
        <v>https://patents.google.com/patent/US20070008905A1/en</v>
      </c>
    </row>
    <row r="11393" spans="3:5" x14ac:dyDescent="0.25">
      <c r="C11393" t="s">
        <v>21101</v>
      </c>
      <c r="D11393" t="s">
        <v>21102</v>
      </c>
      <c r="E11393" t="str">
        <f>HYPERLINK("https://patents.google.com/patent/CN101227461A/en")</f>
        <v>https://patents.google.com/patent/CN101227461A/en</v>
      </c>
    </row>
    <row r="11394" spans="3:5" x14ac:dyDescent="0.25">
      <c r="C11394" t="s">
        <v>21103</v>
      </c>
      <c r="D11394" t="s">
        <v>21104</v>
      </c>
      <c r="E11394" t="str">
        <f>HYPERLINK("https://patents.google.com/patent/JP2001147133A/en")</f>
        <v>https://patents.google.com/patent/JP2001147133A/en</v>
      </c>
    </row>
    <row r="11395" spans="3:5" x14ac:dyDescent="0.25">
      <c r="C11395" t="s">
        <v>21105</v>
      </c>
      <c r="D11395" t="s">
        <v>21106</v>
      </c>
      <c r="E11395" t="str">
        <f>HYPERLINK("https://patents.google.com/patent/US20070049246A1/en")</f>
        <v>https://patents.google.com/patent/US20070049246A1/en</v>
      </c>
    </row>
    <row r="11396" spans="3:5" x14ac:dyDescent="0.25">
      <c r="C11396" t="s">
        <v>21107</v>
      </c>
      <c r="D11396" t="s">
        <v>21108</v>
      </c>
      <c r="E11396" t="str">
        <f>HYPERLINK("https://patents.google.com/patent/US20110307599A1/en")</f>
        <v>https://patents.google.com/patent/US20110307599A1/en</v>
      </c>
    </row>
    <row r="11397" spans="3:5" x14ac:dyDescent="0.25">
      <c r="C11397" t="s">
        <v>21109</v>
      </c>
      <c r="D11397" t="s">
        <v>21110</v>
      </c>
      <c r="E11397" t="str">
        <f>HYPERLINK("https://patents.google.com/patent/US20060187867A1/en")</f>
        <v>https://patents.google.com/patent/US20060187867A1/en</v>
      </c>
    </row>
    <row r="11398" spans="3:5" x14ac:dyDescent="0.25">
      <c r="C11398" t="s">
        <v>21111</v>
      </c>
      <c r="D11398" t="s">
        <v>21112</v>
      </c>
      <c r="E11398" t="str">
        <f>HYPERLINK("https://patents.google.com/patent/US20110202269A1/en")</f>
        <v>https://patents.google.com/patent/US20110202269A1/en</v>
      </c>
    </row>
    <row r="11399" spans="3:5" x14ac:dyDescent="0.25">
      <c r="C11399" t="s">
        <v>21113</v>
      </c>
      <c r="D11399" t="s">
        <v>21114</v>
      </c>
      <c r="E11399" t="str">
        <f>HYPERLINK("https://patents.google.com/patent/US20110045851A1/en")</f>
        <v>https://patents.google.com/patent/US20110045851A1/en</v>
      </c>
    </row>
    <row r="11400" spans="3:5" x14ac:dyDescent="0.25">
      <c r="C11400" t="s">
        <v>21115</v>
      </c>
      <c r="D11400" t="s">
        <v>21116</v>
      </c>
      <c r="E11400" t="str">
        <f>HYPERLINK("https://patents.google.com/patent/US20060259239A1/en")</f>
        <v>https://patents.google.com/patent/US20060259239A1/en</v>
      </c>
    </row>
    <row r="11401" spans="3:5" x14ac:dyDescent="0.25">
      <c r="C11401" t="s">
        <v>21117</v>
      </c>
      <c r="D11401" t="s">
        <v>21118</v>
      </c>
      <c r="E11401" t="str">
        <f>HYPERLINK("https://patents.google.com/patent/KR20060008100A/en")</f>
        <v>https://patents.google.com/patent/KR20060008100A/en</v>
      </c>
    </row>
    <row r="11402" spans="3:5" x14ac:dyDescent="0.25">
      <c r="C11402" t="s">
        <v>21119</v>
      </c>
      <c r="D11402" t="s">
        <v>21120</v>
      </c>
      <c r="E11402" t="str">
        <f>HYPERLINK("https://patents.google.com/patent/US20110119625A1/en")</f>
        <v>https://patents.google.com/patent/US20110119625A1/en</v>
      </c>
    </row>
    <row r="11403" spans="3:5" x14ac:dyDescent="0.25">
      <c r="C11403" t="s">
        <v>21121</v>
      </c>
      <c r="D11403" t="s">
        <v>21122</v>
      </c>
      <c r="E11403" t="str">
        <f>HYPERLINK("https://patents.google.com/patent/US20110105152A1/en")</f>
        <v>https://patents.google.com/patent/US20110105152A1/en</v>
      </c>
    </row>
    <row r="11404" spans="3:5" x14ac:dyDescent="0.25">
      <c r="C11404" t="s">
        <v>21123</v>
      </c>
      <c r="D11404" t="s">
        <v>21124</v>
      </c>
      <c r="E11404" t="str">
        <f>HYPERLINK("https://patents.google.com/patent/CN101888604A/en")</f>
        <v>https://patents.google.com/patent/CN101888604A/en</v>
      </c>
    </row>
    <row r="11405" spans="3:5" x14ac:dyDescent="0.25">
      <c r="C11405" t="s">
        <v>21125</v>
      </c>
      <c r="D11405" t="s">
        <v>21126</v>
      </c>
      <c r="E11405" t="str">
        <f>HYPERLINK("https://patents.google.com/patent/US7313759B2/en")</f>
        <v>https://patents.google.com/patent/US7313759B2/en</v>
      </c>
    </row>
    <row r="11406" spans="3:5" x14ac:dyDescent="0.25">
      <c r="C11406" t="s">
        <v>21127</v>
      </c>
      <c r="D11406" t="s">
        <v>21128</v>
      </c>
      <c r="E11406" t="str">
        <f>HYPERLINK("https://patents.google.com/patent/US20020069127A1/en")</f>
        <v>https://patents.google.com/patent/US20020069127A1/en</v>
      </c>
    </row>
    <row r="11407" spans="3:5" x14ac:dyDescent="0.25">
      <c r="C11407" t="s">
        <v>21129</v>
      </c>
      <c r="D11407" t="s">
        <v>21130</v>
      </c>
      <c r="E11407" t="str">
        <f>HYPERLINK("https://patents.google.com/patent/US20100257195A1/en")</f>
        <v>https://patents.google.com/patent/US20100257195A1/en</v>
      </c>
    </row>
    <row r="11408" spans="3:5" x14ac:dyDescent="0.25">
      <c r="C11408" t="s">
        <v>21131</v>
      </c>
      <c r="D11408" t="s">
        <v>21132</v>
      </c>
      <c r="E11408" t="str">
        <f>HYPERLINK("https://patents.google.com/patent/US6729934B1/en")</f>
        <v>https://patents.google.com/patent/US6729934B1/en</v>
      </c>
    </row>
    <row r="11409" spans="3:5" x14ac:dyDescent="0.25">
      <c r="C11409" t="s">
        <v>21133</v>
      </c>
      <c r="D11409" t="s">
        <v>21134</v>
      </c>
      <c r="E11409" t="str">
        <f>HYPERLINK("https://patents.google.com/patent/US6452544B1/en")</f>
        <v>https://patents.google.com/patent/US6452544B1/en</v>
      </c>
    </row>
    <row r="11410" spans="3:5" x14ac:dyDescent="0.25">
      <c r="C11410" t="s">
        <v>21135</v>
      </c>
      <c r="D11410" t="s">
        <v>21136</v>
      </c>
      <c r="E11410" t="str">
        <f>HYPERLINK("https://patents.google.com/patent/US7321773B2/en")</f>
        <v>https://patents.google.com/patent/US7321773B2/en</v>
      </c>
    </row>
    <row r="11411" spans="3:5" x14ac:dyDescent="0.25">
      <c r="C11411" t="s">
        <v>21137</v>
      </c>
      <c r="D11411" t="s">
        <v>21138</v>
      </c>
      <c r="E11411" t="str">
        <f>HYPERLINK("https://patents.google.com/patent/US7455586B2/en")</f>
        <v>https://patents.google.com/patent/US7455586B2/en</v>
      </c>
    </row>
    <row r="11412" spans="3:5" x14ac:dyDescent="0.25">
      <c r="C11412" t="s">
        <v>21139</v>
      </c>
      <c r="D11412" t="s">
        <v>21140</v>
      </c>
      <c r="E11412" t="str">
        <f>HYPERLINK("https://patents.google.com/patent/US20140344294A1/en")</f>
        <v>https://patents.google.com/patent/US20140344294A1/en</v>
      </c>
    </row>
    <row r="11413" spans="3:5" x14ac:dyDescent="0.25">
      <c r="C11413" t="s">
        <v>21139</v>
      </c>
      <c r="D11413" t="s">
        <v>21141</v>
      </c>
      <c r="E11413" t="str">
        <f>HYPERLINK("https://patents.google.com/patent/US20150120767A1/en")</f>
        <v>https://patents.google.com/patent/US20150120767A1/en</v>
      </c>
    </row>
    <row r="11414" spans="3:5" x14ac:dyDescent="0.25">
      <c r="C11414" t="s">
        <v>21142</v>
      </c>
      <c r="D11414" t="s">
        <v>21143</v>
      </c>
      <c r="E11414" t="str">
        <f>HYPERLINK("https://patents.google.com/patent/US20020019696A1/en")</f>
        <v>https://patents.google.com/patent/US20020019696A1/en</v>
      </c>
    </row>
    <row r="11415" spans="3:5" x14ac:dyDescent="0.25">
      <c r="C11415" t="s">
        <v>21144</v>
      </c>
      <c r="D11415" t="s">
        <v>21145</v>
      </c>
      <c r="E11415" t="str">
        <f>HYPERLINK("https://patents.google.com/patent/US20110275441A1/en")</f>
        <v>https://patents.google.com/patent/US20110275441A1/en</v>
      </c>
    </row>
    <row r="11416" spans="3:5" x14ac:dyDescent="0.25">
      <c r="C11416" t="s">
        <v>21146</v>
      </c>
      <c r="D11416" t="s">
        <v>21147</v>
      </c>
      <c r="E11416" t="str">
        <f>HYPERLINK("https://patents.google.com/patent/US7788032B2/en")</f>
        <v>https://patents.google.com/patent/US7788032B2/en</v>
      </c>
    </row>
    <row r="11417" spans="3:5" x14ac:dyDescent="0.25">
      <c r="C11417" t="s">
        <v>21148</v>
      </c>
      <c r="D11417" t="s">
        <v>21149</v>
      </c>
      <c r="E11417" t="str">
        <f>HYPERLINK("https://patents.google.com/patent/US7865306B2/en")</f>
        <v>https://patents.google.com/patent/US7865306B2/en</v>
      </c>
    </row>
    <row r="11418" spans="3:5" x14ac:dyDescent="0.25">
      <c r="C11418" t="s">
        <v>21150</v>
      </c>
      <c r="D11418" t="s">
        <v>21151</v>
      </c>
      <c r="E11418" t="str">
        <f>HYPERLINK("https://patents.google.com/patent/US9202233B1/en")</f>
        <v>https://patents.google.com/patent/US9202233B1/en</v>
      </c>
    </row>
    <row r="11419" spans="3:5" x14ac:dyDescent="0.25">
      <c r="C11419" t="s">
        <v>21152</v>
      </c>
      <c r="D11419" t="s">
        <v>21153</v>
      </c>
      <c r="E11419" t="str">
        <f>HYPERLINK("https://patents.google.com/patent/US20120326847A1/en")</f>
        <v>https://patents.google.com/patent/US20120326847A1/en</v>
      </c>
    </row>
    <row r="11420" spans="3:5" x14ac:dyDescent="0.25">
      <c r="C11420" t="s">
        <v>21154</v>
      </c>
      <c r="D11420" t="s">
        <v>21155</v>
      </c>
      <c r="E11420" t="str">
        <f>HYPERLINK("https://patents.google.com/patent/US20140282040A1/en")</f>
        <v>https://patents.google.com/patent/US20140282040A1/en</v>
      </c>
    </row>
    <row r="11421" spans="3:5" x14ac:dyDescent="0.25">
      <c r="C11421" t="s">
        <v>21156</v>
      </c>
      <c r="D11421" t="s">
        <v>21157</v>
      </c>
      <c r="E11421" t="str">
        <f>HYPERLINK("https://patents.google.com/patent/JP2001224055A/en")</f>
        <v>https://patents.google.com/patent/JP2001224055A/en</v>
      </c>
    </row>
    <row r="11422" spans="3:5" x14ac:dyDescent="0.25">
      <c r="C11422" t="s">
        <v>21158</v>
      </c>
      <c r="D11422" t="s">
        <v>21159</v>
      </c>
      <c r="E11422" t="str">
        <f>HYPERLINK("https://patents.google.com/patent/JPH09212563A/en")</f>
        <v>https://patents.google.com/patent/JPH09212563A/en</v>
      </c>
    </row>
    <row r="11423" spans="3:5" x14ac:dyDescent="0.25">
      <c r="C11423" t="s">
        <v>21160</v>
      </c>
      <c r="D11423" t="s">
        <v>21161</v>
      </c>
      <c r="E11423" t="str">
        <f>HYPERLINK("https://patents.google.com/patent/US5210786A/en")</f>
        <v>https://patents.google.com/patent/US5210786A/en</v>
      </c>
    </row>
    <row r="11424" spans="3:5" x14ac:dyDescent="0.25">
      <c r="C11424" t="s">
        <v>21162</v>
      </c>
      <c r="D11424" t="s">
        <v>21163</v>
      </c>
      <c r="E11424" t="str">
        <f>HYPERLINK("https://patents.google.com/patent/US5280521A/en")</f>
        <v>https://patents.google.com/patent/US5280521A/en</v>
      </c>
    </row>
    <row r="11425" spans="3:5" x14ac:dyDescent="0.25">
      <c r="C11425" t="s">
        <v>21164</v>
      </c>
      <c r="D11425" t="s">
        <v>21165</v>
      </c>
      <c r="E11425" t="str">
        <f>HYPERLINK("https://patents.google.com/patent/CN102136162A/en")</f>
        <v>https://patents.google.com/patent/CN102136162A/en</v>
      </c>
    </row>
    <row r="11426" spans="3:5" x14ac:dyDescent="0.25">
      <c r="C11426" t="s">
        <v>21166</v>
      </c>
      <c r="D11426" t="s">
        <v>21167</v>
      </c>
      <c r="E11426" t="str">
        <f>HYPERLINK("https://patents.google.com/patent/DE10064978C1/en")</f>
        <v>https://patents.google.com/patent/DE10064978C1/en</v>
      </c>
    </row>
    <row r="11427" spans="3:5" x14ac:dyDescent="0.25">
      <c r="C11427" t="s">
        <v>21168</v>
      </c>
      <c r="D11427" t="s">
        <v>21169</v>
      </c>
      <c r="E11427" t="str">
        <f>HYPERLINK("https://patents.google.com/patent/US7778802B2/en")</f>
        <v>https://patents.google.com/patent/US7778802B2/en</v>
      </c>
    </row>
    <row r="11428" spans="3:5" x14ac:dyDescent="0.25">
      <c r="C11428" t="s">
        <v>21170</v>
      </c>
      <c r="D11428" t="s">
        <v>21171</v>
      </c>
      <c r="E11428" t="str">
        <f>HYPERLINK("https://patents.google.com/patent/US20140237076A1/en")</f>
        <v>https://patents.google.com/patent/US20140237076A1/en</v>
      </c>
    </row>
    <row r="11429" spans="3:5" x14ac:dyDescent="0.25">
      <c r="C11429" t="s">
        <v>21172</v>
      </c>
      <c r="D11429" t="s">
        <v>21173</v>
      </c>
      <c r="E11429" t="str">
        <f>HYPERLINK("https://patents.google.com/patent/JP2005304002A/en")</f>
        <v>https://patents.google.com/patent/JP2005304002A/en</v>
      </c>
    </row>
    <row r="11430" spans="3:5" x14ac:dyDescent="0.25">
      <c r="C11430" t="s">
        <v>21174</v>
      </c>
      <c r="D11430" t="s">
        <v>21175</v>
      </c>
      <c r="E11430" t="str">
        <f>HYPERLINK("https://patents.google.com/patent/DE10059746A1/en")</f>
        <v>https://patents.google.com/patent/DE10059746A1/en</v>
      </c>
    </row>
    <row r="11431" spans="3:5" x14ac:dyDescent="0.25">
      <c r="C11431" t="s">
        <v>21176</v>
      </c>
      <c r="D11431" t="s">
        <v>21177</v>
      </c>
      <c r="E11431" t="str">
        <f>HYPERLINK("https://patents.google.com/patent/CN101944773A/en")</f>
        <v>https://patents.google.com/patent/CN101944773A/en</v>
      </c>
    </row>
    <row r="11432" spans="3:5" x14ac:dyDescent="0.25">
      <c r="C11432" t="s">
        <v>21178</v>
      </c>
      <c r="D11432" t="s">
        <v>21179</v>
      </c>
      <c r="E11432" t="str">
        <f>HYPERLINK("https://patents.google.com/patent/JP2002007600A/en")</f>
        <v>https://patents.google.com/patent/JP2002007600A/en</v>
      </c>
    </row>
    <row r="11433" spans="3:5" x14ac:dyDescent="0.25">
      <c r="C11433" t="s">
        <v>21180</v>
      </c>
      <c r="D11433" t="s">
        <v>21181</v>
      </c>
      <c r="E11433" t="str">
        <f>HYPERLINK("https://patents.google.com/patent/JP2003288663A/en")</f>
        <v>https://patents.google.com/patent/JP2003288663A/en</v>
      </c>
    </row>
    <row r="11434" spans="3:5" x14ac:dyDescent="0.25">
      <c r="C11434" t="s">
        <v>21182</v>
      </c>
      <c r="D11434" t="s">
        <v>21183</v>
      </c>
      <c r="E11434" t="str">
        <f>HYPERLINK("https://patents.google.com/patent/JP2006048584A/en")</f>
        <v>https://patents.google.com/patent/JP2006048584A/en</v>
      </c>
    </row>
    <row r="11435" spans="3:5" x14ac:dyDescent="0.25">
      <c r="C11435" t="s">
        <v>21184</v>
      </c>
      <c r="D11435" t="s">
        <v>21185</v>
      </c>
      <c r="E11435" t="str">
        <f>HYPERLINK("https://patents.google.com/patent/CN101714267A/en")</f>
        <v>https://patents.google.com/patent/CN101714267A/en</v>
      </c>
    </row>
    <row r="11436" spans="3:5" x14ac:dyDescent="0.25">
      <c r="C11436" t="s">
        <v>21186</v>
      </c>
      <c r="D11436" t="s">
        <v>21187</v>
      </c>
      <c r="E11436" t="str">
        <f>HYPERLINK("https://patents.google.com/patent/CN102593750A/en")</f>
        <v>https://patents.google.com/patent/CN102593750A/en</v>
      </c>
    </row>
    <row r="11437" spans="3:5" x14ac:dyDescent="0.25">
      <c r="C11437" t="s">
        <v>21188</v>
      </c>
      <c r="D11437" t="s">
        <v>21189</v>
      </c>
      <c r="E11437" t="str">
        <f>HYPERLINK("https://patents.google.com/patent/US20100177160A1/en")</f>
        <v>https://patents.google.com/patent/US20100177160A1/en</v>
      </c>
    </row>
    <row r="11438" spans="3:5" x14ac:dyDescent="0.25">
      <c r="C11438" t="s">
        <v>21190</v>
      </c>
      <c r="D11438" t="s">
        <v>21191</v>
      </c>
      <c r="E11438" t="str">
        <f>HYPERLINK("https://patents.google.com/patent/CN102339579A/en")</f>
        <v>https://patents.google.com/patent/CN102339579A/en</v>
      </c>
    </row>
    <row r="11439" spans="3:5" x14ac:dyDescent="0.25">
      <c r="C11439" t="s">
        <v>21192</v>
      </c>
      <c r="D11439" t="s">
        <v>21193</v>
      </c>
      <c r="E11439" t="str">
        <f>HYPERLINK("https://patents.google.com/patent/CN102445933A/en")</f>
        <v>https://patents.google.com/patent/CN102445933A/en</v>
      </c>
    </row>
    <row r="11440" spans="3:5" x14ac:dyDescent="0.25">
      <c r="C11440" t="s">
        <v>21194</v>
      </c>
      <c r="D11440" t="s">
        <v>21195</v>
      </c>
      <c r="E11440" t="str">
        <f>HYPERLINK("https://patents.google.com/patent/US20100023387A1/en")</f>
        <v>https://patents.google.com/patent/US20100023387A1/en</v>
      </c>
    </row>
    <row r="11441" spans="3:5" x14ac:dyDescent="0.25">
      <c r="C11441" t="s">
        <v>21196</v>
      </c>
      <c r="D11441" t="s">
        <v>21197</v>
      </c>
      <c r="E11441" t="str">
        <f>HYPERLINK("https://patents.google.com/patent/CN101917664A/en")</f>
        <v>https://patents.google.com/patent/CN101917664A/en</v>
      </c>
    </row>
    <row r="11442" spans="3:5" x14ac:dyDescent="0.25">
      <c r="C11442" t="s">
        <v>21198</v>
      </c>
      <c r="D11442" t="s">
        <v>21199</v>
      </c>
      <c r="E11442" t="str">
        <f>HYPERLINK("https://patents.google.com/patent/US8527192B2/en")</f>
        <v>https://patents.google.com/patent/US8527192B2/en</v>
      </c>
    </row>
    <row r="11443" spans="3:5" x14ac:dyDescent="0.25">
      <c r="C11443" t="s">
        <v>21200</v>
      </c>
      <c r="D11443" t="s">
        <v>21201</v>
      </c>
      <c r="E11443" t="str">
        <f>HYPERLINK("https://patents.google.com/patent/US20130296048A1/en")</f>
        <v>https://patents.google.com/patent/US20130296048A1/en</v>
      </c>
    </row>
    <row r="11444" spans="3:5" x14ac:dyDescent="0.25">
      <c r="C11444" t="s">
        <v>20915</v>
      </c>
      <c r="D11444" t="s">
        <v>21202</v>
      </c>
      <c r="E11444" t="str">
        <f>HYPERLINK("https://patents.google.com/patent/CN101449265A/en")</f>
        <v>https://patents.google.com/patent/CN101449265A/en</v>
      </c>
    </row>
    <row r="11445" spans="3:5" x14ac:dyDescent="0.25">
      <c r="C11445" t="s">
        <v>21203</v>
      </c>
      <c r="D11445" t="s">
        <v>21204</v>
      </c>
      <c r="E11445" t="str">
        <f>HYPERLINK("https://patents.google.com/patent/WO2000054170A2/en")</f>
        <v>https://patents.google.com/patent/WO2000054170A2/en</v>
      </c>
    </row>
    <row r="11446" spans="3:5" x14ac:dyDescent="0.25">
      <c r="C11446" t="s">
        <v>21205</v>
      </c>
      <c r="D11446" t="s">
        <v>21206</v>
      </c>
      <c r="E11446" t="str">
        <f>HYPERLINK("https://patents.google.com/patent/US7247076B2/en")</f>
        <v>https://patents.google.com/patent/US7247076B2/en</v>
      </c>
    </row>
    <row r="11447" spans="3:5" x14ac:dyDescent="0.25">
      <c r="C11447" t="s">
        <v>21207</v>
      </c>
      <c r="D11447" t="s">
        <v>21208</v>
      </c>
      <c r="E11447" t="str">
        <f>HYPERLINK("https://patents.google.com/patent/WO2001076173A2/en")</f>
        <v>https://patents.google.com/patent/WO2001076173A2/en</v>
      </c>
    </row>
    <row r="11448" spans="3:5" x14ac:dyDescent="0.25">
      <c r="C11448" t="s">
        <v>21209</v>
      </c>
      <c r="D11448" t="s">
        <v>21210</v>
      </c>
      <c r="E11448" t="str">
        <f>HYPERLINK("https://patents.google.com/patent/US20100287025A1/en")</f>
        <v>https://patents.google.com/patent/US20100287025A1/en</v>
      </c>
    </row>
    <row r="11449" spans="3:5" x14ac:dyDescent="0.25">
      <c r="C11449" t="s">
        <v>21211</v>
      </c>
      <c r="D11449" t="s">
        <v>21212</v>
      </c>
      <c r="E11449" t="str">
        <f>HYPERLINK("https://patents.google.com/patent/US20090204905A1/en")</f>
        <v>https://patents.google.com/patent/US20090204905A1/en</v>
      </c>
    </row>
    <row r="11450" spans="3:5" x14ac:dyDescent="0.25">
      <c r="C11450" t="s">
        <v>21213</v>
      </c>
      <c r="D11450" t="s">
        <v>21214</v>
      </c>
      <c r="E11450" t="str">
        <f>HYPERLINK("https://patents.google.com/patent/US20100312670A1/en")</f>
        <v>https://patents.google.com/patent/US20100312670A1/en</v>
      </c>
    </row>
    <row r="11451" spans="3:5" x14ac:dyDescent="0.25">
      <c r="C11451" t="s">
        <v>21215</v>
      </c>
      <c r="D11451" t="s">
        <v>21216</v>
      </c>
      <c r="E11451" t="str">
        <f>HYPERLINK("https://patents.google.com/patent/US8880426B2/en")</f>
        <v>https://patents.google.com/patent/US8880426B2/en</v>
      </c>
    </row>
    <row r="11452" spans="3:5" x14ac:dyDescent="0.25">
      <c r="C11452" t="s">
        <v>21217</v>
      </c>
      <c r="D11452" t="s">
        <v>21218</v>
      </c>
      <c r="E11452" t="str">
        <f>HYPERLINK("https://patents.google.com/patent/US7451365B2/en")</f>
        <v>https://patents.google.com/patent/US7451365B2/en</v>
      </c>
    </row>
    <row r="11453" spans="3:5" x14ac:dyDescent="0.25">
      <c r="C11453" t="s">
        <v>21219</v>
      </c>
      <c r="D11453" t="s">
        <v>21220</v>
      </c>
      <c r="E11453" t="str">
        <f>HYPERLINK("https://patents.google.com/patent/US6052669A/en")</f>
        <v>https://patents.google.com/patent/US6052669A/en</v>
      </c>
    </row>
    <row r="11454" spans="3:5" x14ac:dyDescent="0.25">
      <c r="C11454" t="s">
        <v>21221</v>
      </c>
      <c r="D11454" t="s">
        <v>21222</v>
      </c>
      <c r="E11454" t="str">
        <f>HYPERLINK("https://patents.google.com/patent/US4912705A/en")</f>
        <v>https://patents.google.com/patent/US4912705A/en</v>
      </c>
    </row>
    <row r="11455" spans="3:5" x14ac:dyDescent="0.25">
      <c r="C11455" t="s">
        <v>21223</v>
      </c>
      <c r="D11455" t="s">
        <v>21224</v>
      </c>
      <c r="E11455" t="str">
        <f>HYPERLINK("https://patents.google.com/patent/US8029359B2/en")</f>
        <v>https://patents.google.com/patent/US8029359B2/en</v>
      </c>
    </row>
    <row r="11456" spans="3:5" x14ac:dyDescent="0.25">
      <c r="C11456" t="s">
        <v>21225</v>
      </c>
      <c r="D11456" t="s">
        <v>21226</v>
      </c>
      <c r="E11456" t="str">
        <f>HYPERLINK("https://patents.google.com/patent/US20080194323A1/en")</f>
        <v>https://patents.google.com/patent/US20080194323A1/en</v>
      </c>
    </row>
    <row r="11457" spans="3:5" x14ac:dyDescent="0.25">
      <c r="C11457" t="s">
        <v>21227</v>
      </c>
      <c r="D11457" t="s">
        <v>21228</v>
      </c>
      <c r="E11457" t="str">
        <f>HYPERLINK("https://patents.google.com/patent/US20050203698A1/en")</f>
        <v>https://patents.google.com/patent/US20050203698A1/en</v>
      </c>
    </row>
    <row r="11458" spans="3:5" x14ac:dyDescent="0.25">
      <c r="C11458" t="s">
        <v>21229</v>
      </c>
      <c r="D11458" t="s">
        <v>21230</v>
      </c>
      <c r="E11458" t="str">
        <f>HYPERLINK("https://patents.google.com/patent/US20090265105A1/en")</f>
        <v>https://patents.google.com/patent/US20090265105A1/en</v>
      </c>
    </row>
    <row r="11459" spans="3:5" x14ac:dyDescent="0.25">
      <c r="C11459" t="s">
        <v>21231</v>
      </c>
      <c r="D11459" t="s">
        <v>21232</v>
      </c>
      <c r="E11459" t="str">
        <f>HYPERLINK("https://patents.google.com/patent/US20050288958A1/en")</f>
        <v>https://patents.google.com/patent/US20050288958A1/en</v>
      </c>
    </row>
    <row r="11460" spans="3:5" x14ac:dyDescent="0.25">
      <c r="C11460" t="s">
        <v>21233</v>
      </c>
      <c r="D11460" t="s">
        <v>21234</v>
      </c>
      <c r="E11460" t="str">
        <f>HYPERLINK("https://patents.google.com/patent/US20030073065A1/en")</f>
        <v>https://patents.google.com/patent/US20030073065A1/en</v>
      </c>
    </row>
    <row r="11461" spans="3:5" x14ac:dyDescent="0.25">
      <c r="C11461" t="s">
        <v>21235</v>
      </c>
      <c r="D11461" t="s">
        <v>21236</v>
      </c>
      <c r="E11461" t="str">
        <f>HYPERLINK("https://patents.google.com/patent/US20100191728A1/en")</f>
        <v>https://patents.google.com/patent/US20100191728A1/en</v>
      </c>
    </row>
    <row r="11462" spans="3:5" x14ac:dyDescent="0.25">
      <c r="C11462" t="s">
        <v>21237</v>
      </c>
      <c r="D11462" t="s">
        <v>21238</v>
      </c>
      <c r="E11462" t="str">
        <f>HYPERLINK("https://patents.google.com/patent/US20030212996A1/en")</f>
        <v>https://patents.google.com/patent/US20030212996A1/en</v>
      </c>
    </row>
    <row r="11463" spans="3:5" x14ac:dyDescent="0.25">
      <c r="C11463" t="s">
        <v>21239</v>
      </c>
      <c r="D11463" t="s">
        <v>21240</v>
      </c>
      <c r="E11463" t="str">
        <f>HYPERLINK("https://patents.google.com/patent/US20100280956A1/en")</f>
        <v>https://patents.google.com/patent/US20100280956A1/en</v>
      </c>
    </row>
    <row r="11464" spans="3:5" x14ac:dyDescent="0.25">
      <c r="C11464" t="s">
        <v>21241</v>
      </c>
      <c r="D11464" t="s">
        <v>21242</v>
      </c>
      <c r="E11464" t="str">
        <f>HYPERLINK("https://patents.google.com/patent/US20070192352A1/en")</f>
        <v>https://patents.google.com/patent/US20070192352A1/en</v>
      </c>
    </row>
    <row r="11465" spans="3:5" x14ac:dyDescent="0.25">
      <c r="C11465" t="s">
        <v>21243</v>
      </c>
      <c r="D11465" t="s">
        <v>21244</v>
      </c>
      <c r="E11465" t="str">
        <f>HYPERLINK("https://patents.google.com/patent/US20060230415A1/en")</f>
        <v>https://patents.google.com/patent/US20060230415A1/en</v>
      </c>
    </row>
    <row r="11466" spans="3:5" x14ac:dyDescent="0.25">
      <c r="C11466" t="s">
        <v>21245</v>
      </c>
      <c r="D11466" t="s">
        <v>21246</v>
      </c>
      <c r="E11466" t="str">
        <f>HYPERLINK("https://patents.google.com/patent/US20080024364A1/en")</f>
        <v>https://patents.google.com/patent/US20080024364A1/en</v>
      </c>
    </row>
    <row r="11467" spans="3:5" x14ac:dyDescent="0.25">
      <c r="C11467" t="s">
        <v>21247</v>
      </c>
      <c r="D11467" t="s">
        <v>21248</v>
      </c>
      <c r="E11467" t="str">
        <f>HYPERLINK("https://patents.google.com/patent/US20120078667A1/en")</f>
        <v>https://patents.google.com/patent/US20120078667A1/en</v>
      </c>
    </row>
    <row r="11468" spans="3:5" x14ac:dyDescent="0.25">
      <c r="C11468" t="s">
        <v>21249</v>
      </c>
      <c r="D11468" t="s">
        <v>21250</v>
      </c>
      <c r="E11468" t="str">
        <f>HYPERLINK("https://patents.google.com/patent/US20030074559A1/en")</f>
        <v>https://patents.google.com/patent/US20030074559A1/en</v>
      </c>
    </row>
    <row r="11469" spans="3:5" x14ac:dyDescent="0.25">
      <c r="C11469" t="s">
        <v>21251</v>
      </c>
      <c r="D11469" t="s">
        <v>21252</v>
      </c>
      <c r="E11469" t="str">
        <f>HYPERLINK("https://patents.google.com/patent/US20060064305A1/en")</f>
        <v>https://patents.google.com/patent/US20060064305A1/en</v>
      </c>
    </row>
    <row r="11470" spans="3:5" x14ac:dyDescent="0.25">
      <c r="C11470" t="s">
        <v>21253</v>
      </c>
      <c r="D11470" t="s">
        <v>21254</v>
      </c>
      <c r="E11470" t="str">
        <f>HYPERLINK("https://patents.google.com/patent/US20090144772A1/en")</f>
        <v>https://patents.google.com/patent/US20090144772A1/en</v>
      </c>
    </row>
    <row r="11471" spans="3:5" x14ac:dyDescent="0.25">
      <c r="C11471" t="s">
        <v>21255</v>
      </c>
      <c r="D11471" t="s">
        <v>21256</v>
      </c>
      <c r="E11471" t="str">
        <f>HYPERLINK("https://patents.google.com/patent/US6732028B2/en")</f>
        <v>https://patents.google.com/patent/US6732028B2/en</v>
      </c>
    </row>
    <row r="11472" spans="3:5" x14ac:dyDescent="0.25">
      <c r="C11472" t="s">
        <v>21257</v>
      </c>
      <c r="D11472" t="s">
        <v>21258</v>
      </c>
      <c r="E11472" t="str">
        <f>HYPERLINK("https://patents.google.com/patent/US20140281971A1/en")</f>
        <v>https://patents.google.com/patent/US20140281971A1/en</v>
      </c>
    </row>
    <row r="11473" spans="3:5" x14ac:dyDescent="0.25">
      <c r="C11473" t="s">
        <v>21259</v>
      </c>
      <c r="D11473" t="s">
        <v>21260</v>
      </c>
      <c r="E11473" t="str">
        <f>HYPERLINK("https://patents.google.com/patent/US20130173287A1/en")</f>
        <v>https://patents.google.com/patent/US20130173287A1/en</v>
      </c>
    </row>
    <row r="11474" spans="3:5" x14ac:dyDescent="0.25">
      <c r="C11474" t="s">
        <v>21261</v>
      </c>
      <c r="D11474" t="s">
        <v>21262</v>
      </c>
      <c r="E11474" t="str">
        <f>HYPERLINK("https://patents.google.com/patent/US20080126961A1/en")</f>
        <v>https://patents.google.com/patent/US20080126961A1/en</v>
      </c>
    </row>
    <row r="11475" spans="3:5" x14ac:dyDescent="0.25">
      <c r="C11475" t="s">
        <v>21263</v>
      </c>
      <c r="D11475" t="s">
        <v>21264</v>
      </c>
      <c r="E11475" t="str">
        <f>HYPERLINK("https://patents.google.com/patent/US20020186412A1/en")</f>
        <v>https://patents.google.com/patent/US20020186412A1/en</v>
      </c>
    </row>
    <row r="11476" spans="3:5" x14ac:dyDescent="0.25">
      <c r="C11476" t="s">
        <v>21265</v>
      </c>
      <c r="D11476" t="s">
        <v>21266</v>
      </c>
      <c r="E11476" t="str">
        <f>HYPERLINK("https://patents.google.com/patent/US20080162037A1/en")</f>
        <v>https://patents.google.com/patent/US20080162037A1/en</v>
      </c>
    </row>
    <row r="11477" spans="3:5" x14ac:dyDescent="0.25">
      <c r="C11477" t="s">
        <v>21267</v>
      </c>
      <c r="D11477" t="s">
        <v>21268</v>
      </c>
      <c r="E11477" t="str">
        <f>HYPERLINK("https://patents.google.com/patent/US20130083062A1/en")</f>
        <v>https://patents.google.com/patent/US20130083062A1/en</v>
      </c>
    </row>
    <row r="11478" spans="3:5" x14ac:dyDescent="0.25">
      <c r="C11478" t="s">
        <v>21269</v>
      </c>
      <c r="D11478" t="s">
        <v>21270</v>
      </c>
      <c r="E11478" t="str">
        <f>HYPERLINK("https://patents.google.com/patent/US20070282618A1/en")</f>
        <v>https://patents.google.com/patent/US20070282618A1/en</v>
      </c>
    </row>
    <row r="11479" spans="3:5" x14ac:dyDescent="0.25">
      <c r="C11479" t="s">
        <v>21271</v>
      </c>
      <c r="D11479" t="s">
        <v>21272</v>
      </c>
      <c r="E11479" t="str">
        <f>HYPERLINK("https://patents.google.com/patent/US20120078503A1/en")</f>
        <v>https://patents.google.com/patent/US20120078503A1/en</v>
      </c>
    </row>
    <row r="11480" spans="3:5" x14ac:dyDescent="0.25">
      <c r="C11480" t="s">
        <v>21273</v>
      </c>
      <c r="D11480" t="s">
        <v>21274</v>
      </c>
      <c r="E11480" t="str">
        <f>HYPERLINK("https://patents.google.com/patent/US20130275886A1/en")</f>
        <v>https://patents.google.com/patent/US20130275886A1/en</v>
      </c>
    </row>
    <row r="11481" spans="3:5" x14ac:dyDescent="0.25">
      <c r="C11481" t="s">
        <v>21275</v>
      </c>
      <c r="D11481" t="s">
        <v>21276</v>
      </c>
      <c r="E11481" t="str">
        <f>HYPERLINK("https://patents.google.com/patent/US20060161335A1/en")</f>
        <v>https://patents.google.com/patent/US20060161335A1/en</v>
      </c>
    </row>
    <row r="11482" spans="3:5" x14ac:dyDescent="0.25">
      <c r="C11482" t="s">
        <v>21277</v>
      </c>
      <c r="D11482" t="s">
        <v>21278</v>
      </c>
      <c r="E11482" t="str">
        <f>HYPERLINK("https://patents.google.com/patent/US6515585B2/en")</f>
        <v>https://patents.google.com/patent/US6515585B2/en</v>
      </c>
    </row>
    <row r="11483" spans="3:5" x14ac:dyDescent="0.25">
      <c r="C11483" t="s">
        <v>21279</v>
      </c>
      <c r="D11483" t="s">
        <v>21280</v>
      </c>
      <c r="E11483" t="str">
        <f>HYPERLINK("https://patents.google.com/patent/US20130041696A1/en")</f>
        <v>https://patents.google.com/patent/US20130041696A1/en</v>
      </c>
    </row>
    <row r="11484" spans="3:5" x14ac:dyDescent="0.25">
      <c r="C11484" t="s">
        <v>21281</v>
      </c>
      <c r="D11484" t="s">
        <v>21282</v>
      </c>
      <c r="E11484" t="str">
        <f>HYPERLINK("https://patents.google.com/patent/US20050001743A1/en")</f>
        <v>https://patents.google.com/patent/US20050001743A1/en</v>
      </c>
    </row>
    <row r="11485" spans="3:5" x14ac:dyDescent="0.25">
      <c r="C11485" t="s">
        <v>21283</v>
      </c>
      <c r="D11485" t="s">
        <v>21284</v>
      </c>
      <c r="E11485" t="str">
        <f>HYPERLINK("https://patents.google.com/patent/US20130250931A1/en")</f>
        <v>https://patents.google.com/patent/US20130250931A1/en</v>
      </c>
    </row>
    <row r="11486" spans="3:5" x14ac:dyDescent="0.25">
      <c r="C11486" t="s">
        <v>21285</v>
      </c>
      <c r="D11486" t="s">
        <v>21286</v>
      </c>
      <c r="E11486" t="str">
        <f>HYPERLINK("https://patents.google.com/patent/US20110042156A1/en")</f>
        <v>https://patents.google.com/patent/US20110042156A1/en</v>
      </c>
    </row>
    <row r="11487" spans="3:5" x14ac:dyDescent="0.25">
      <c r="C11487" t="s">
        <v>21287</v>
      </c>
      <c r="D11487" t="s">
        <v>21288</v>
      </c>
      <c r="E11487" t="str">
        <f>HYPERLINK("https://patents.google.com/patent/US20080167016A1/en")</f>
        <v>https://patents.google.com/patent/US20080167016A1/en</v>
      </c>
    </row>
    <row r="11488" spans="3:5" x14ac:dyDescent="0.25">
      <c r="C11488" t="s">
        <v>21289</v>
      </c>
      <c r="D11488" t="s">
        <v>21290</v>
      </c>
      <c r="E11488" t="str">
        <f>HYPERLINK("https://patents.google.com/patent/US20130305287A1/en")</f>
        <v>https://patents.google.com/patent/US20130305287A1/en</v>
      </c>
    </row>
    <row r="11489" spans="3:5" x14ac:dyDescent="0.25">
      <c r="C11489" t="s">
        <v>21291</v>
      </c>
      <c r="D11489" t="s">
        <v>21292</v>
      </c>
      <c r="E11489" t="str">
        <f>HYPERLINK("https://patents.google.com/patent/US20110040657A1/en")</f>
        <v>https://patents.google.com/patent/US20110040657A1/en</v>
      </c>
    </row>
    <row r="11490" spans="3:5" x14ac:dyDescent="0.25">
      <c r="C11490" t="s">
        <v>21293</v>
      </c>
      <c r="D11490" t="s">
        <v>21294</v>
      </c>
      <c r="E11490" t="str">
        <f>HYPERLINK("https://patents.google.com/patent/US20110307399A1/en")</f>
        <v>https://patents.google.com/patent/US20110307399A1/en</v>
      </c>
    </row>
    <row r="11491" spans="3:5" x14ac:dyDescent="0.25">
      <c r="C11491" t="s">
        <v>21295</v>
      </c>
      <c r="D11491" t="s">
        <v>21296</v>
      </c>
      <c r="E11491" t="str">
        <f>HYPERLINK("https://patents.google.com/patent/US20030073064A1/en")</f>
        <v>https://patents.google.com/patent/US20030073064A1/en</v>
      </c>
    </row>
    <row r="11492" spans="3:5" x14ac:dyDescent="0.25">
      <c r="C11492" t="s">
        <v>21297</v>
      </c>
      <c r="D11492" t="s">
        <v>21298</v>
      </c>
      <c r="E11492" t="str">
        <f>HYPERLINK("https://patents.google.com/patent/US20060056832A1/en")</f>
        <v>https://patents.google.com/patent/US20060056832A1/en</v>
      </c>
    </row>
    <row r="11493" spans="3:5" x14ac:dyDescent="0.25">
      <c r="C11493" t="s">
        <v>21299</v>
      </c>
      <c r="D11493" t="s">
        <v>21300</v>
      </c>
      <c r="E11493" t="str">
        <f>HYPERLINK("https://patents.google.com/patent/US20010032152A1/en")</f>
        <v>https://patents.google.com/patent/US20010032152A1/en</v>
      </c>
    </row>
    <row r="11494" spans="3:5" x14ac:dyDescent="0.25">
      <c r="C11494" t="s">
        <v>21301</v>
      </c>
      <c r="D11494" t="s">
        <v>21302</v>
      </c>
      <c r="E11494" t="str">
        <f>HYPERLINK("https://patents.google.com/patent/US20040107236A1/en")</f>
        <v>https://patents.google.com/patent/US20040107236A1/en</v>
      </c>
    </row>
    <row r="11495" spans="3:5" x14ac:dyDescent="0.25">
      <c r="C11495" t="s">
        <v>21303</v>
      </c>
      <c r="D11495" t="s">
        <v>21304</v>
      </c>
      <c r="E11495" t="str">
        <f>HYPERLINK("https://patents.google.com/patent/US5850610A/en")</f>
        <v>https://patents.google.com/patent/US5850610A/en</v>
      </c>
    </row>
    <row r="11496" spans="3:5" x14ac:dyDescent="0.25">
      <c r="C11496" t="s">
        <v>21305</v>
      </c>
      <c r="D11496" t="s">
        <v>21306</v>
      </c>
      <c r="E11496" t="str">
        <f>HYPERLINK("https://patents.google.com/patent/US20020196342A1/en")</f>
        <v>https://patents.google.com/patent/US20020196342A1/en</v>
      </c>
    </row>
    <row r="11497" spans="3:5" x14ac:dyDescent="0.25">
      <c r="C11497" t="s">
        <v>21307</v>
      </c>
      <c r="D11497" t="s">
        <v>21308</v>
      </c>
      <c r="E11497" t="str">
        <f>HYPERLINK("https://patents.google.com/patent/US20070123258A1/en")</f>
        <v>https://patents.google.com/patent/US20070123258A1/en</v>
      </c>
    </row>
    <row r="11498" spans="3:5" x14ac:dyDescent="0.25">
      <c r="C11498" t="s">
        <v>21309</v>
      </c>
      <c r="D11498" t="s">
        <v>21310</v>
      </c>
      <c r="E11498" t="str">
        <f>HYPERLINK("https://patents.google.com/patent/US20110238501A1/en")</f>
        <v>https://patents.google.com/patent/US20110238501A1/en</v>
      </c>
    </row>
    <row r="11499" spans="3:5" x14ac:dyDescent="0.25">
      <c r="C11499" t="s">
        <v>21311</v>
      </c>
      <c r="D11499" t="s">
        <v>21312</v>
      </c>
      <c r="E11499" t="str">
        <f>HYPERLINK("https://patents.google.com/patent/US20110261030A1/en")</f>
        <v>https://patents.google.com/patent/US20110261030A1/en</v>
      </c>
    </row>
    <row r="11500" spans="3:5" x14ac:dyDescent="0.25">
      <c r="C11500" t="s">
        <v>21313</v>
      </c>
      <c r="D11500" t="s">
        <v>21314</v>
      </c>
      <c r="E11500" t="str">
        <f>HYPERLINK("https://patents.google.com/patent/US20110212430A1/en")</f>
        <v>https://patents.google.com/patent/US20110212430A1/en</v>
      </c>
    </row>
    <row r="11501" spans="3:5" x14ac:dyDescent="0.25">
      <c r="C11501" t="s">
        <v>21315</v>
      </c>
      <c r="D11501" t="s">
        <v>21316</v>
      </c>
      <c r="E11501" t="str">
        <f>HYPERLINK("https://patents.google.com/patent/US20020087371A1/en")</f>
        <v>https://patents.google.com/patent/US20020087371A1/en</v>
      </c>
    </row>
    <row r="11502" spans="3:5" x14ac:dyDescent="0.25">
      <c r="C11502" t="s">
        <v>21317</v>
      </c>
      <c r="D11502" t="s">
        <v>21318</v>
      </c>
      <c r="E11502" t="str">
        <f>HYPERLINK("https://patents.google.com/patent/US20070087834A1/en")</f>
        <v>https://patents.google.com/patent/US20070087834A1/en</v>
      </c>
    </row>
    <row r="11503" spans="3:5" x14ac:dyDescent="0.25">
      <c r="C11503" t="s">
        <v>21319</v>
      </c>
      <c r="D11503" t="s">
        <v>21320</v>
      </c>
      <c r="E11503" t="str">
        <f>HYPERLINK("https://patents.google.com/patent/US20020069312A1/en")</f>
        <v>https://patents.google.com/patent/US20020069312A1/en</v>
      </c>
    </row>
    <row r="11504" spans="3:5" x14ac:dyDescent="0.25">
      <c r="C11504" t="s">
        <v>21321</v>
      </c>
      <c r="D11504" t="s">
        <v>21322</v>
      </c>
      <c r="E11504" t="str">
        <f>HYPERLINK("https://patents.google.com/patent/US20100093429A1/en")</f>
        <v>https://patents.google.com/patent/US20100093429A1/en</v>
      </c>
    </row>
    <row r="11505" spans="3:5" x14ac:dyDescent="0.25">
      <c r="C11505" t="s">
        <v>21323</v>
      </c>
      <c r="D11505" t="s">
        <v>21324</v>
      </c>
      <c r="E11505" t="str">
        <f>HYPERLINK("https://patents.google.com/patent/US20110279634A1/en")</f>
        <v>https://patents.google.com/patent/US20110279634A1/en</v>
      </c>
    </row>
    <row r="11506" spans="3:5" x14ac:dyDescent="0.25">
      <c r="C11506" t="s">
        <v>21325</v>
      </c>
      <c r="D11506" t="s">
        <v>21326</v>
      </c>
      <c r="E11506" t="str">
        <f>HYPERLINK("https://patents.google.com/patent/US20090132341A1/en")</f>
        <v>https://patents.google.com/patent/US20090132341A1/en</v>
      </c>
    </row>
    <row r="11507" spans="3:5" x14ac:dyDescent="0.25">
      <c r="C11507" t="s">
        <v>21327</v>
      </c>
      <c r="D11507" t="s">
        <v>21328</v>
      </c>
      <c r="E11507" t="str">
        <f>HYPERLINK("https://patents.google.com/patent/US8060412B2/en")</f>
        <v>https://patents.google.com/patent/US8060412B2/en</v>
      </c>
    </row>
    <row r="11508" spans="3:5" x14ac:dyDescent="0.25">
      <c r="C11508" t="s">
        <v>21325</v>
      </c>
      <c r="D11508" t="s">
        <v>21329</v>
      </c>
      <c r="E11508" t="str">
        <f>HYPERLINK("https://patents.google.com/patent/US20090132311A1/en")</f>
        <v>https://patents.google.com/patent/US20090132311A1/en</v>
      </c>
    </row>
    <row r="11509" spans="3:5" x14ac:dyDescent="0.25">
      <c r="C11509" t="s">
        <v>21330</v>
      </c>
      <c r="D11509" t="s">
        <v>21331</v>
      </c>
      <c r="E11509" t="str">
        <f>HYPERLINK("https://patents.google.com/patent/US7299067B2/en")</f>
        <v>https://patents.google.com/patent/US7299067B2/en</v>
      </c>
    </row>
    <row r="11510" spans="3:5" x14ac:dyDescent="0.25">
      <c r="C11510" t="s">
        <v>21332</v>
      </c>
      <c r="D11510" t="s">
        <v>21333</v>
      </c>
      <c r="E11510" t="str">
        <f>HYPERLINK("https://patents.google.com/patent/US20030074320A1/en")</f>
        <v>https://patents.google.com/patent/US20030074320A1/en</v>
      </c>
    </row>
    <row r="11511" spans="3:5" x14ac:dyDescent="0.25">
      <c r="C11511" t="s">
        <v>21334</v>
      </c>
      <c r="D11511" t="s">
        <v>21335</v>
      </c>
      <c r="E11511" t="str">
        <f>HYPERLINK("https://patents.google.com/patent/WO1993020546A1/en")</f>
        <v>https://patents.google.com/patent/WO1993020546A1/en</v>
      </c>
    </row>
    <row r="11512" spans="3:5" x14ac:dyDescent="0.25">
      <c r="C11512" t="s">
        <v>21336</v>
      </c>
      <c r="D11512" t="s">
        <v>21337</v>
      </c>
      <c r="E11512" t="str">
        <f>HYPERLINK("https://patents.google.com/patent/US20120264511A1/en")</f>
        <v>https://patents.google.com/patent/US20120264511A1/en</v>
      </c>
    </row>
    <row r="11513" spans="3:5" x14ac:dyDescent="0.25">
      <c r="C11513" t="s">
        <v>21338</v>
      </c>
      <c r="D11513" t="s">
        <v>21339</v>
      </c>
      <c r="E11513" t="str">
        <f>HYPERLINK("https://patents.google.com/patent/US8140592B2/en")</f>
        <v>https://patents.google.com/patent/US8140592B2/en</v>
      </c>
    </row>
    <row r="11514" spans="3:5" x14ac:dyDescent="0.25">
      <c r="C11514" t="s">
        <v>21340</v>
      </c>
      <c r="D11514" t="s">
        <v>21341</v>
      </c>
      <c r="E11514" t="str">
        <f>HYPERLINK("https://patents.google.com/patent/US20110219403A1/en")</f>
        <v>https://patents.google.com/patent/US20110219403A1/en</v>
      </c>
    </row>
    <row r="11515" spans="3:5" x14ac:dyDescent="0.25">
      <c r="C11515" t="s">
        <v>21342</v>
      </c>
      <c r="D11515" t="s">
        <v>21343</v>
      </c>
      <c r="E11515" t="str">
        <f>HYPERLINK("https://patents.google.com/patent/US20080005761A1/en")</f>
        <v>https://patents.google.com/patent/US20080005761A1/en</v>
      </c>
    </row>
    <row r="11516" spans="3:5" x14ac:dyDescent="0.25">
      <c r="C11516" t="s">
        <v>21344</v>
      </c>
      <c r="D11516" t="s">
        <v>21345</v>
      </c>
      <c r="E11516" t="str">
        <f>HYPERLINK("https://patents.google.com/patent/US6917982B1/en")</f>
        <v>https://patents.google.com/patent/US6917982B1/en</v>
      </c>
    </row>
    <row r="11517" spans="3:5" x14ac:dyDescent="0.25">
      <c r="C11517" t="s">
        <v>21346</v>
      </c>
      <c r="D11517" t="s">
        <v>21347</v>
      </c>
      <c r="E11517" t="str">
        <f>HYPERLINK("https://patents.google.com/patent/US20130271456A1/en")</f>
        <v>https://patents.google.com/patent/US20130271456A1/en</v>
      </c>
    </row>
    <row r="11518" spans="3:5" x14ac:dyDescent="0.25">
      <c r="C11518" t="s">
        <v>19891</v>
      </c>
      <c r="D11518" t="s">
        <v>21348</v>
      </c>
      <c r="E11518" t="str">
        <f>HYPERLINK("https://patents.google.com/patent/US20020103597A1/en")</f>
        <v>https://patents.google.com/patent/US20020103597A1/en</v>
      </c>
    </row>
    <row r="11519" spans="3:5" x14ac:dyDescent="0.25">
      <c r="C11519" t="s">
        <v>21349</v>
      </c>
      <c r="D11519" t="s">
        <v>21350</v>
      </c>
      <c r="E11519" t="str">
        <f>HYPERLINK("https://patents.google.com/patent/US20100093428A1/en")</f>
        <v>https://patents.google.com/patent/US20100093428A1/en</v>
      </c>
    </row>
    <row r="11520" spans="3:5" x14ac:dyDescent="0.25">
      <c r="C11520" t="s">
        <v>21351</v>
      </c>
      <c r="D11520" t="s">
        <v>21352</v>
      </c>
      <c r="E11520" t="str">
        <f>HYPERLINK("https://patents.google.com/patent/US6745036B1/en")</f>
        <v>https://patents.google.com/patent/US6745036B1/en</v>
      </c>
    </row>
    <row r="11521" spans="3:5" x14ac:dyDescent="0.25">
      <c r="C11521" t="s">
        <v>21353</v>
      </c>
      <c r="D11521" t="s">
        <v>21354</v>
      </c>
      <c r="E11521" t="str">
        <f>HYPERLINK("https://patents.google.com/patent/US20070094304A1/en")</f>
        <v>https://patents.google.com/patent/US20070094304A1/en</v>
      </c>
    </row>
    <row r="11522" spans="3:5" x14ac:dyDescent="0.25">
      <c r="C11522" t="s">
        <v>21355</v>
      </c>
      <c r="D11522" t="s">
        <v>21356</v>
      </c>
      <c r="E11522" t="str">
        <f>HYPERLINK("https://patents.google.com/patent/US20080082264A1/en")</f>
        <v>https://patents.google.com/patent/US20080082264A1/en</v>
      </c>
    </row>
    <row r="11523" spans="3:5" x14ac:dyDescent="0.25">
      <c r="C11523" t="s">
        <v>21357</v>
      </c>
      <c r="D11523" t="s">
        <v>21358</v>
      </c>
      <c r="E11523" t="str">
        <f>HYPERLINK("https://patents.google.com/patent/US20100115123A1/en")</f>
        <v>https://patents.google.com/patent/US20100115123A1/en</v>
      </c>
    </row>
    <row r="11524" spans="3:5" x14ac:dyDescent="0.25">
      <c r="C11524" t="s">
        <v>21359</v>
      </c>
      <c r="D11524" t="s">
        <v>21360</v>
      </c>
      <c r="E11524" t="str">
        <f>HYPERLINK("https://patents.google.com/patent/US20130300939A1/en")</f>
        <v>https://patents.google.com/patent/US20130300939A1/en</v>
      </c>
    </row>
    <row r="11525" spans="3:5" x14ac:dyDescent="0.25">
      <c r="C11525" t="s">
        <v>21361</v>
      </c>
      <c r="D11525" t="s">
        <v>21362</v>
      </c>
      <c r="E11525" t="str">
        <f>HYPERLINK("https://patents.google.com/patent/US20110007094A1/en")</f>
        <v>https://patents.google.com/patent/US20110007094A1/en</v>
      </c>
    </row>
    <row r="11526" spans="3:5" x14ac:dyDescent="0.25">
      <c r="C11526" t="s">
        <v>21363</v>
      </c>
      <c r="D11526" t="s">
        <v>21364</v>
      </c>
      <c r="E11526" t="str">
        <f>HYPERLINK("https://patents.google.com/patent/US20130083007A1/en")</f>
        <v>https://patents.google.com/patent/US20130083007A1/en</v>
      </c>
    </row>
    <row r="11527" spans="3:5" x14ac:dyDescent="0.25">
      <c r="C11527" t="s">
        <v>21365</v>
      </c>
      <c r="D11527" t="s">
        <v>21366</v>
      </c>
      <c r="E11527" t="str">
        <f>HYPERLINK("https://patents.google.com/patent/US20090280824A1/en")</f>
        <v>https://patents.google.com/patent/US20090280824A1/en</v>
      </c>
    </row>
    <row r="11528" spans="3:5" x14ac:dyDescent="0.25">
      <c r="C11528" t="s">
        <v>21367</v>
      </c>
      <c r="D11528" t="s">
        <v>21368</v>
      </c>
      <c r="E11528" t="str">
        <f>HYPERLINK("https://patents.google.com/patent/US20020016165A1/en")</f>
        <v>https://patents.google.com/patent/US20020016165A1/en</v>
      </c>
    </row>
    <row r="11529" spans="3:5" x14ac:dyDescent="0.25">
      <c r="C11529" t="s">
        <v>21369</v>
      </c>
      <c r="D11529" t="s">
        <v>21370</v>
      </c>
      <c r="E11529" t="str">
        <f>HYPERLINK("https://patents.google.com/patent/US20070078729A1/en")</f>
        <v>https://patents.google.com/patent/US20070078729A1/en</v>
      </c>
    </row>
    <row r="11530" spans="3:5" x14ac:dyDescent="0.25">
      <c r="C11530" t="s">
        <v>21371</v>
      </c>
      <c r="D11530" t="s">
        <v>21372</v>
      </c>
      <c r="E11530" t="str">
        <f>HYPERLINK("https://patents.google.com/patent/US20150179062A1/en")</f>
        <v>https://patents.google.com/patent/US20150179062A1/en</v>
      </c>
    </row>
    <row r="11531" spans="3:5" x14ac:dyDescent="0.25">
      <c r="C11531" t="s">
        <v>21373</v>
      </c>
      <c r="D11531" t="s">
        <v>21374</v>
      </c>
      <c r="E11531" t="str">
        <f>HYPERLINK("https://patents.google.com/patent/US20120082226A1/en")</f>
        <v>https://patents.google.com/patent/US20120082226A1/en</v>
      </c>
    </row>
    <row r="11532" spans="3:5" x14ac:dyDescent="0.25">
      <c r="C11532" t="s">
        <v>21375</v>
      </c>
      <c r="D11532" t="s">
        <v>21376</v>
      </c>
      <c r="E11532" t="str">
        <f>HYPERLINK("https://patents.google.com/patent/US20130232194A1/en")</f>
        <v>https://patents.google.com/patent/US20130232194A1/en</v>
      </c>
    </row>
    <row r="11533" spans="3:5" x14ac:dyDescent="0.25">
      <c r="C11533" t="s">
        <v>21377</v>
      </c>
      <c r="D11533" t="s">
        <v>21378</v>
      </c>
      <c r="E11533" t="str">
        <f>HYPERLINK("https://patents.google.com/patent/US5151925A/en")</f>
        <v>https://patents.google.com/patent/US5151925A/en</v>
      </c>
    </row>
    <row r="11534" spans="3:5" x14ac:dyDescent="0.25">
      <c r="C11534" t="s">
        <v>21379</v>
      </c>
      <c r="D11534" t="s">
        <v>21380</v>
      </c>
      <c r="E11534" t="str">
        <f>HYPERLINK("https://patents.google.com/patent/US20060069740A1/en")</f>
        <v>https://patents.google.com/patent/US20060069740A1/en</v>
      </c>
    </row>
    <row r="11535" spans="3:5" x14ac:dyDescent="0.25">
      <c r="C11535" t="s">
        <v>21381</v>
      </c>
      <c r="D11535" t="s">
        <v>21382</v>
      </c>
      <c r="E11535" t="str">
        <f>HYPERLINK("https://patents.google.com/patent/US20150258432A1/en")</f>
        <v>https://patents.google.com/patent/US20150258432A1/en</v>
      </c>
    </row>
    <row r="11536" spans="3:5" x14ac:dyDescent="0.25">
      <c r="C11536" t="s">
        <v>21383</v>
      </c>
      <c r="D11536" t="s">
        <v>21384</v>
      </c>
      <c r="E11536" t="str">
        <f>HYPERLINK("https://patents.google.com/patent/US20110087426A1/en")</f>
        <v>https://patents.google.com/patent/US20110087426A1/en</v>
      </c>
    </row>
    <row r="11537" spans="3:5" x14ac:dyDescent="0.25">
      <c r="C11537" t="s">
        <v>21385</v>
      </c>
      <c r="D11537" t="s">
        <v>21386</v>
      </c>
      <c r="E11537" t="str">
        <f>HYPERLINK("https://patents.google.com/patent/CN1588476A/en")</f>
        <v>https://patents.google.com/patent/CN1588476A/en</v>
      </c>
    </row>
    <row r="11538" spans="3:5" x14ac:dyDescent="0.25">
      <c r="C11538" t="s">
        <v>21387</v>
      </c>
      <c r="D11538" t="s">
        <v>21388</v>
      </c>
      <c r="E11538" t="str">
        <f>HYPERLINK("https://patents.google.com/patent/US20070027925A1/en")</f>
        <v>https://patents.google.com/patent/US20070027925A1/en</v>
      </c>
    </row>
    <row r="11539" spans="3:5" x14ac:dyDescent="0.25">
      <c r="C11539" t="s">
        <v>21389</v>
      </c>
      <c r="D11539" t="s">
        <v>21390</v>
      </c>
      <c r="E11539" t="str">
        <f>HYPERLINK("https://patents.google.com/patent/US20140156584A1/en")</f>
        <v>https://patents.google.com/patent/US20140156584A1/en</v>
      </c>
    </row>
    <row r="11540" spans="3:5" x14ac:dyDescent="0.25">
      <c r="C11540" t="s">
        <v>21391</v>
      </c>
      <c r="D11540" t="s">
        <v>21392</v>
      </c>
      <c r="E11540" t="str">
        <f>HYPERLINK("https://patents.google.com/patent/US20070044160A1/en")</f>
        <v>https://patents.google.com/patent/US20070044160A1/en</v>
      </c>
    </row>
    <row r="11541" spans="3:5" x14ac:dyDescent="0.25">
      <c r="C11541" t="s">
        <v>21393</v>
      </c>
      <c r="D11541" t="s">
        <v>21394</v>
      </c>
      <c r="E11541" t="str">
        <f>HYPERLINK("https://patents.google.com/patent/US20070249367A1/en")</f>
        <v>https://patents.google.com/patent/US20070249367A1/en</v>
      </c>
    </row>
    <row r="11542" spans="3:5" x14ac:dyDescent="0.25">
      <c r="C11542" t="s">
        <v>21395</v>
      </c>
      <c r="D11542" t="s">
        <v>21396</v>
      </c>
      <c r="E11542" t="str">
        <f>HYPERLINK("https://patents.google.com/patent/EP0040147A2/en")</f>
        <v>https://patents.google.com/patent/EP0040147A2/en</v>
      </c>
    </row>
    <row r="11543" spans="3:5" x14ac:dyDescent="0.25">
      <c r="C11543" t="s">
        <v>21397</v>
      </c>
      <c r="D11543" t="s">
        <v>21398</v>
      </c>
      <c r="E11543" t="str">
        <f>HYPERLINK("https://patents.google.com/patent/US20130328937A1/en")</f>
        <v>https://patents.google.com/patent/US20130328937A1/en</v>
      </c>
    </row>
    <row r="11544" spans="3:5" x14ac:dyDescent="0.25">
      <c r="C11544" t="s">
        <v>21399</v>
      </c>
      <c r="D11544" t="s">
        <v>21400</v>
      </c>
      <c r="E11544" t="str">
        <f>HYPERLINK("https://patents.google.com/patent/US20010051903A1/en")</f>
        <v>https://patents.google.com/patent/US20010051903A1/en</v>
      </c>
    </row>
    <row r="11545" spans="3:5" x14ac:dyDescent="0.25">
      <c r="C11545" t="s">
        <v>21401</v>
      </c>
      <c r="D11545" t="s">
        <v>21402</v>
      </c>
      <c r="E11545" t="str">
        <f>HYPERLINK("https://patents.google.com/patent/US20160093108A1/en")</f>
        <v>https://patents.google.com/patent/US20160093108A1/en</v>
      </c>
    </row>
    <row r="11546" spans="3:5" x14ac:dyDescent="0.25">
      <c r="C11546" t="s">
        <v>21403</v>
      </c>
      <c r="D11546" t="s">
        <v>21404</v>
      </c>
      <c r="E11546" t="str">
        <f>HYPERLINK("https://patents.google.com/patent/US20140181259A1/en")</f>
        <v>https://patents.google.com/patent/US20140181259A1/en</v>
      </c>
    </row>
    <row r="11547" spans="3:5" x14ac:dyDescent="0.25">
      <c r="C11547" t="s">
        <v>21405</v>
      </c>
      <c r="D11547" t="s">
        <v>21406</v>
      </c>
      <c r="E11547" t="str">
        <f>HYPERLINK("https://patents.google.com/patent/US20080260616A1/en")</f>
        <v>https://patents.google.com/patent/US20080260616A1/en</v>
      </c>
    </row>
    <row r="11548" spans="3:5" x14ac:dyDescent="0.25">
      <c r="C11548" t="s">
        <v>21407</v>
      </c>
      <c r="D11548" t="s">
        <v>21408</v>
      </c>
      <c r="E11548" t="str">
        <f>HYPERLINK("https://patents.google.com/patent/US20150066649A1/en")</f>
        <v>https://patents.google.com/patent/US20150066649A1/en</v>
      </c>
    </row>
    <row r="11549" spans="3:5" x14ac:dyDescent="0.25">
      <c r="C11549" t="s">
        <v>21409</v>
      </c>
      <c r="D11549" t="s">
        <v>21410</v>
      </c>
      <c r="E11549" t="str">
        <f>HYPERLINK("https://patents.google.com/patent/JP2002073756A/en")</f>
        <v>https://patents.google.com/patent/JP2002073756A/en</v>
      </c>
    </row>
    <row r="11550" spans="3:5" x14ac:dyDescent="0.25">
      <c r="C11550" t="s">
        <v>21411</v>
      </c>
      <c r="D11550" t="s">
        <v>21412</v>
      </c>
      <c r="E11550" t="str">
        <f>HYPERLINK("https://patents.google.com/patent/US7978219B1/en")</f>
        <v>https://patents.google.com/patent/US7978219B1/en</v>
      </c>
    </row>
    <row r="11551" spans="3:5" x14ac:dyDescent="0.25">
      <c r="C11551" t="s">
        <v>21413</v>
      </c>
      <c r="D11551" t="s">
        <v>21414</v>
      </c>
      <c r="E11551" t="str">
        <f>HYPERLINK("https://patents.google.com/patent/US20060052150A1/en")</f>
        <v>https://patents.google.com/patent/US20060052150A1/en</v>
      </c>
    </row>
    <row r="11552" spans="3:5" x14ac:dyDescent="0.25">
      <c r="C11552" t="s">
        <v>21415</v>
      </c>
      <c r="D11552" t="s">
        <v>21416</v>
      </c>
      <c r="E11552" t="str">
        <f>HYPERLINK("https://patents.google.com/patent/WO1992014028A2/fr")</f>
        <v>https://patents.google.com/patent/WO1992014028A2/fr</v>
      </c>
    </row>
    <row r="11553" spans="3:5" x14ac:dyDescent="0.25">
      <c r="C11553" t="s">
        <v>21417</v>
      </c>
      <c r="D11553" t="s">
        <v>21418</v>
      </c>
      <c r="E11553" t="str">
        <f>HYPERLINK("https://patents.google.com/patent/WO2007136241A1/fr")</f>
        <v>https://patents.google.com/patent/WO2007136241A1/fr</v>
      </c>
    </row>
    <row r="11554" spans="3:5" x14ac:dyDescent="0.25">
      <c r="C11554" t="s">
        <v>21419</v>
      </c>
      <c r="D11554" t="s">
        <v>21420</v>
      </c>
      <c r="E11554" t="str">
        <f>HYPERLINK("https://patents.google.com/patent/FR2602703A1/fr")</f>
        <v>https://patents.google.com/patent/FR2602703A1/fr</v>
      </c>
    </row>
    <row r="11555" spans="3:5" x14ac:dyDescent="0.25">
      <c r="C11555" t="s">
        <v>21421</v>
      </c>
      <c r="D11555" t="s">
        <v>21422</v>
      </c>
      <c r="E11555" t="str">
        <f>HYPERLINK("https://patents.google.com/patent/WO2001008770A1/fr")</f>
        <v>https://patents.google.com/patent/WO2001008770A1/fr</v>
      </c>
    </row>
    <row r="11556" spans="3:5" x14ac:dyDescent="0.25">
      <c r="C11556" t="s">
        <v>21423</v>
      </c>
      <c r="D11556" t="s">
        <v>21424</v>
      </c>
      <c r="E11556" t="str">
        <f>HYPERLINK("https://patents.google.com/patent/EP2557350A2/fr")</f>
        <v>https://patents.google.com/patent/EP2557350A2/fr</v>
      </c>
    </row>
    <row r="11557" spans="3:5" x14ac:dyDescent="0.25">
      <c r="C11557" t="s">
        <v>21425</v>
      </c>
      <c r="D11557" t="s">
        <v>21426</v>
      </c>
      <c r="E11557" t="str">
        <f>HYPERLINK("https://patents.google.com/patent/FR2903974A1/fr")</f>
        <v>https://patents.google.com/patent/FR2903974A1/fr</v>
      </c>
    </row>
    <row r="11558" spans="3:5" x14ac:dyDescent="0.25">
      <c r="C11558" t="s">
        <v>21427</v>
      </c>
      <c r="D11558" t="s">
        <v>21428</v>
      </c>
      <c r="E11558" t="str">
        <f>HYPERLINK("https://patents.google.com/patent/WO2006095082A1/fr")</f>
        <v>https://patents.google.com/patent/WO2006095082A1/fr</v>
      </c>
    </row>
    <row r="11559" spans="3:5" x14ac:dyDescent="0.25">
      <c r="C11559" t="s">
        <v>21429</v>
      </c>
      <c r="D11559" t="s">
        <v>21430</v>
      </c>
      <c r="E11559" t="str">
        <f>HYPERLINK("https://patents.google.com/patent/WO2013109147A2/fr")</f>
        <v>https://patents.google.com/patent/WO2013109147A2/fr</v>
      </c>
    </row>
    <row r="11560" spans="3:5" x14ac:dyDescent="0.25">
      <c r="C11560" t="s">
        <v>21431</v>
      </c>
      <c r="D11560" t="s">
        <v>21432</v>
      </c>
      <c r="E11560" t="str">
        <f>HYPERLINK("https://patents.google.com/patent/EP0731054A1/fr")</f>
        <v>https://patents.google.com/patent/EP0731054A1/fr</v>
      </c>
    </row>
    <row r="11561" spans="3:5" x14ac:dyDescent="0.25">
      <c r="C11561" t="s">
        <v>21433</v>
      </c>
      <c r="D11561" t="s">
        <v>21434</v>
      </c>
      <c r="E11561" t="str">
        <f>HYPERLINK("https://patents.google.com/patent/EP0508208A1/fr")</f>
        <v>https://patents.google.com/patent/EP0508208A1/fr</v>
      </c>
    </row>
    <row r="11562" spans="3:5" x14ac:dyDescent="0.25">
      <c r="C11562" t="s">
        <v>21435</v>
      </c>
      <c r="D11562" t="s">
        <v>21436</v>
      </c>
      <c r="E11562" t="str">
        <f>HYPERLINK("https://patents.google.com/patent/EP2383797A1/fr")</f>
        <v>https://patents.google.com/patent/EP2383797A1/fr</v>
      </c>
    </row>
    <row r="11563" spans="3:5" x14ac:dyDescent="0.25">
      <c r="C11563" t="s">
        <v>21437</v>
      </c>
      <c r="D11563" t="s">
        <v>21438</v>
      </c>
      <c r="E11563" t="str">
        <f>HYPERLINK("https://patents.google.com/patent/EP1367166A1/fr")</f>
        <v>https://patents.google.com/patent/EP1367166A1/fr</v>
      </c>
    </row>
    <row r="11564" spans="3:5" x14ac:dyDescent="0.25">
      <c r="C11564" t="s">
        <v>21439</v>
      </c>
      <c r="D11564" t="s">
        <v>21440</v>
      </c>
      <c r="E11564" t="str">
        <f>HYPERLINK("https://patents.google.com/patent/EP1054518B1/fr")</f>
        <v>https://patents.google.com/patent/EP1054518B1/fr</v>
      </c>
    </row>
    <row r="11565" spans="3:5" x14ac:dyDescent="0.25">
      <c r="C11565" t="s">
        <v>21441</v>
      </c>
      <c r="D11565" t="s">
        <v>21442</v>
      </c>
      <c r="E11565" t="str">
        <f>HYPERLINK("https://patents.google.com/patent/FR2640760A1/fr")</f>
        <v>https://patents.google.com/patent/FR2640760A1/fr</v>
      </c>
    </row>
    <row r="11566" spans="3:5" x14ac:dyDescent="0.25">
      <c r="C11566" t="s">
        <v>21443</v>
      </c>
      <c r="D11566" t="s">
        <v>21444</v>
      </c>
      <c r="E11566" t="str">
        <f>HYPERLINK("https://patents.google.com/patent/EP0043772A1/fr")</f>
        <v>https://patents.google.com/patent/EP0043772A1/fr</v>
      </c>
    </row>
    <row r="11567" spans="3:5" x14ac:dyDescent="0.25">
      <c r="C11567" t="s">
        <v>21445</v>
      </c>
      <c r="D11567" t="s">
        <v>21446</v>
      </c>
      <c r="E11567" t="str">
        <f>HYPERLINK("https://patents.google.com/patent/EP0337673A2/fr")</f>
        <v>https://patents.google.com/patent/EP0337673A2/fr</v>
      </c>
    </row>
    <row r="11568" spans="3:5" x14ac:dyDescent="0.25">
      <c r="C11568" t="s">
        <v>21447</v>
      </c>
      <c r="D11568" t="s">
        <v>21448</v>
      </c>
      <c r="E11568" t="str">
        <f>HYPERLINK("https://patents.google.com/patent/EP0057136A2/fr")</f>
        <v>https://patents.google.com/patent/EP0057136A2/fr</v>
      </c>
    </row>
    <row r="11569" spans="3:5" x14ac:dyDescent="0.25">
      <c r="C11569" t="s">
        <v>21449</v>
      </c>
      <c r="D11569" t="s">
        <v>21450</v>
      </c>
      <c r="E11569" t="str">
        <f>HYPERLINK("https://patents.google.com/patent/EP0324297A1/fr")</f>
        <v>https://patents.google.com/patent/EP0324297A1/fr</v>
      </c>
    </row>
    <row r="11570" spans="3:5" x14ac:dyDescent="0.25">
      <c r="C11570" t="s">
        <v>21451</v>
      </c>
      <c r="D11570" t="s">
        <v>21452</v>
      </c>
      <c r="E11570" t="str">
        <f>HYPERLINK("https://patents.google.com/patent/FR2599988A1/fr")</f>
        <v>https://patents.google.com/patent/FR2599988A1/fr</v>
      </c>
    </row>
    <row r="11571" spans="3:5" x14ac:dyDescent="0.25">
      <c r="C11571" t="s">
        <v>21453</v>
      </c>
      <c r="D11571" t="s">
        <v>21454</v>
      </c>
      <c r="E11571" t="str">
        <f>HYPERLINK("https://patents.google.com/patent/EP0923817B1/fr")</f>
        <v>https://patents.google.com/patent/EP0923817B1/fr</v>
      </c>
    </row>
    <row r="11572" spans="3:5" x14ac:dyDescent="0.25">
      <c r="C11572" t="s">
        <v>21455</v>
      </c>
      <c r="D11572" t="s">
        <v>21456</v>
      </c>
      <c r="E11572" t="str">
        <f>HYPERLINK("https://patents.google.com/patent/FR2687808A1/fr")</f>
        <v>https://patents.google.com/patent/FR2687808A1/fr</v>
      </c>
    </row>
    <row r="11573" spans="3:5" x14ac:dyDescent="0.25">
      <c r="C11573" t="s">
        <v>21457</v>
      </c>
      <c r="D11573" t="s">
        <v>21458</v>
      </c>
      <c r="E11573" t="str">
        <f>HYPERLINK("https://patents.google.com/patent/FR2504301A1/fr")</f>
        <v>https://patents.google.com/patent/FR2504301A1/fr</v>
      </c>
    </row>
    <row r="11574" spans="3:5" x14ac:dyDescent="0.25">
      <c r="C11574" t="s">
        <v>21459</v>
      </c>
      <c r="D11574" t="s">
        <v>21460</v>
      </c>
      <c r="E11574" t="str">
        <f>HYPERLINK("https://patents.google.com/patent/EP0275775A2/fr")</f>
        <v>https://patents.google.com/patent/EP0275775A2/fr</v>
      </c>
    </row>
    <row r="11575" spans="3:5" x14ac:dyDescent="0.25">
      <c r="C11575" t="s">
        <v>21461</v>
      </c>
      <c r="D11575" t="s">
        <v>21462</v>
      </c>
      <c r="E11575" t="str">
        <f>HYPERLINK("https://patents.google.com/patent/EP1235129A1/fr")</f>
        <v>https://patents.google.com/patent/EP1235129A1/fr</v>
      </c>
    </row>
    <row r="11576" spans="3:5" x14ac:dyDescent="0.25">
      <c r="C11576" t="s">
        <v>21463</v>
      </c>
      <c r="D11576" t="s">
        <v>21464</v>
      </c>
      <c r="E11576" t="str">
        <f>HYPERLINK("https://patents.google.com/patent/EP0310481A1/fr")</f>
        <v>https://patents.google.com/patent/EP0310481A1/fr</v>
      </c>
    </row>
    <row r="11577" spans="3:5" x14ac:dyDescent="0.25">
      <c r="C11577" t="s">
        <v>21465</v>
      </c>
      <c r="D11577" t="s">
        <v>21466</v>
      </c>
      <c r="E11577" t="str">
        <f>HYPERLINK("https://patents.google.com/patent/WO2002009563A1/fr")</f>
        <v>https://patents.google.com/patent/WO2002009563A1/fr</v>
      </c>
    </row>
    <row r="11578" spans="3:5" x14ac:dyDescent="0.25">
      <c r="C11578" t="s">
        <v>21467</v>
      </c>
      <c r="D11578" t="s">
        <v>21468</v>
      </c>
      <c r="E11578" t="str">
        <f>HYPERLINK("https://patents.google.com/patent/EP0123598A1/fr")</f>
        <v>https://patents.google.com/patent/EP0123598A1/fr</v>
      </c>
    </row>
    <row r="11579" spans="3:5" x14ac:dyDescent="0.25">
      <c r="C11579" t="s">
        <v>21469</v>
      </c>
      <c r="D11579" t="s">
        <v>21470</v>
      </c>
      <c r="E11579" t="str">
        <f>HYPERLINK("https://patents.google.com/patent/EP0161210A1/fr")</f>
        <v>https://patents.google.com/patent/EP0161210A1/fr</v>
      </c>
    </row>
    <row r="11580" spans="3:5" x14ac:dyDescent="0.25">
      <c r="C11580" t="s">
        <v>21471</v>
      </c>
      <c r="D11580" t="s">
        <v>21472</v>
      </c>
      <c r="E11580" t="str">
        <f>HYPERLINK("https://patents.google.com/patent/WO2008144948A2/fr")</f>
        <v>https://patents.google.com/patent/WO2008144948A2/fr</v>
      </c>
    </row>
    <row r="11581" spans="3:5" x14ac:dyDescent="0.25">
      <c r="C11581" t="s">
        <v>21473</v>
      </c>
      <c r="D11581" t="s">
        <v>21474</v>
      </c>
      <c r="E11581" t="str">
        <f>HYPERLINK("https://patents.google.com/patent/WO1998031583A1/fr")</f>
        <v>https://patents.google.com/patent/WO1998031583A1/fr</v>
      </c>
    </row>
    <row r="11582" spans="3:5" x14ac:dyDescent="0.25">
      <c r="C11582" t="s">
        <v>21475</v>
      </c>
      <c r="D11582" t="s">
        <v>21476</v>
      </c>
      <c r="E11582" t="str">
        <f>HYPERLINK("https://patents.google.com/patent/FR2482995A3/fr")</f>
        <v>https://patents.google.com/patent/FR2482995A3/fr</v>
      </c>
    </row>
    <row r="11583" spans="3:5" x14ac:dyDescent="0.25">
      <c r="C11583" t="s">
        <v>21477</v>
      </c>
      <c r="D11583" t="s">
        <v>21478</v>
      </c>
      <c r="E11583" t="str">
        <f>HYPERLINK("https://patents.google.com/patent/FR2495327A1/fr")</f>
        <v>https://patents.google.com/patent/FR2495327A1/fr</v>
      </c>
    </row>
    <row r="11584" spans="3:5" x14ac:dyDescent="0.25">
      <c r="C11584" t="s">
        <v>21479</v>
      </c>
      <c r="D11584" t="s">
        <v>21480</v>
      </c>
      <c r="E11584" t="str">
        <f>HYPERLINK("https://patents.google.com/patent/EP0438364A1/fr")</f>
        <v>https://patents.google.com/patent/EP0438364A1/fr</v>
      </c>
    </row>
    <row r="11585" spans="3:5" x14ac:dyDescent="0.25">
      <c r="C11585" t="s">
        <v>21481</v>
      </c>
      <c r="D11585" t="s">
        <v>21482</v>
      </c>
      <c r="E11585" t="str">
        <f>HYPERLINK("https://patents.google.com/patent/EP0082821A1/fr")</f>
        <v>https://patents.google.com/patent/EP0082821A1/fr</v>
      </c>
    </row>
    <row r="11586" spans="3:5" x14ac:dyDescent="0.25">
      <c r="C11586" t="s">
        <v>21483</v>
      </c>
      <c r="D11586" t="s">
        <v>21484</v>
      </c>
      <c r="E11586" t="str">
        <f>HYPERLINK("https://patents.google.com/patent/FR2500475A1/fr")</f>
        <v>https://patents.google.com/patent/FR2500475A1/fr</v>
      </c>
    </row>
    <row r="11587" spans="3:5" x14ac:dyDescent="0.25">
      <c r="C11587" t="s">
        <v>21485</v>
      </c>
      <c r="D11587" t="s">
        <v>21486</v>
      </c>
      <c r="E11587" t="str">
        <f>HYPERLINK("https://patents.google.com/patent/FR2849877A1/fr")</f>
        <v>https://patents.google.com/patent/FR2849877A1/fr</v>
      </c>
    </row>
    <row r="11588" spans="3:5" x14ac:dyDescent="0.25">
      <c r="C11588" t="s">
        <v>21487</v>
      </c>
      <c r="D11588" t="s">
        <v>21488</v>
      </c>
      <c r="E11588" t="str">
        <f>HYPERLINK("https://patents.google.com/patent/EP1286233A1/fr")</f>
        <v>https://patents.google.com/patent/EP1286233A1/fr</v>
      </c>
    </row>
    <row r="11589" spans="3:5" x14ac:dyDescent="0.25">
      <c r="C11589" t="s">
        <v>21489</v>
      </c>
      <c r="D11589" t="s">
        <v>21490</v>
      </c>
      <c r="E11589" t="str">
        <f>HYPERLINK("https://patents.google.com/patent/FR2556939A1/fr")</f>
        <v>https://patents.google.com/patent/FR2556939A1/fr</v>
      </c>
    </row>
    <row r="11590" spans="3:5" x14ac:dyDescent="0.25">
      <c r="C11590" t="s">
        <v>21491</v>
      </c>
      <c r="D11590" t="s">
        <v>21492</v>
      </c>
      <c r="E11590" t="str">
        <f>HYPERLINK("https://patents.google.com/patent/EP1564608A2/fr")</f>
        <v>https://patents.google.com/patent/EP1564608A2/fr</v>
      </c>
    </row>
    <row r="11591" spans="3:5" x14ac:dyDescent="0.25">
      <c r="C11591" t="s">
        <v>21493</v>
      </c>
      <c r="D11591" t="s">
        <v>21494</v>
      </c>
      <c r="E11591" t="str">
        <f>HYPERLINK("https://patents.google.com/patent/EP0803723A1/fr")</f>
        <v>https://patents.google.com/patent/EP0803723A1/fr</v>
      </c>
    </row>
    <row r="11592" spans="3:5" x14ac:dyDescent="0.25">
      <c r="C11592" t="s">
        <v>21495</v>
      </c>
      <c r="D11592" t="s">
        <v>21496</v>
      </c>
      <c r="E11592" t="str">
        <f>HYPERLINK("https://patents.google.com/patent/WO2003056956A2/fr")</f>
        <v>https://patents.google.com/patent/WO2003056956A2/fr</v>
      </c>
    </row>
    <row r="11593" spans="3:5" x14ac:dyDescent="0.25">
      <c r="C11593" t="s">
        <v>21497</v>
      </c>
      <c r="D11593" t="s">
        <v>21498</v>
      </c>
      <c r="E11593" t="str">
        <f>HYPERLINK("https://patents.google.com/patent/FR2788743A1/fr")</f>
        <v>https://patents.google.com/patent/FR2788743A1/fr</v>
      </c>
    </row>
    <row r="11594" spans="3:5" x14ac:dyDescent="0.25">
      <c r="C11594" t="s">
        <v>21499</v>
      </c>
      <c r="D11594" t="s">
        <v>21500</v>
      </c>
      <c r="E11594" t="str">
        <f>HYPERLINK("https://patents.google.com/patent/FR2559930A1/fr")</f>
        <v>https://patents.google.com/patent/FR2559930A1/fr</v>
      </c>
    </row>
    <row r="11595" spans="3:5" x14ac:dyDescent="0.25">
      <c r="C11595" t="s">
        <v>21501</v>
      </c>
      <c r="D11595" t="s">
        <v>21502</v>
      </c>
      <c r="E11595" t="str">
        <f>HYPERLINK("https://patents.google.com/patent/EP1168810A2/fr")</f>
        <v>https://patents.google.com/patent/EP1168810A2/fr</v>
      </c>
    </row>
    <row r="11596" spans="3:5" x14ac:dyDescent="0.25">
      <c r="C11596" t="s">
        <v>21503</v>
      </c>
      <c r="D11596" t="s">
        <v>21504</v>
      </c>
      <c r="E11596" t="str">
        <f>HYPERLINK("https://patents.google.com/patent/FR2570177A1/fr")</f>
        <v>https://patents.google.com/patent/FR2570177A1/fr</v>
      </c>
    </row>
    <row r="11597" spans="3:5" x14ac:dyDescent="0.25">
      <c r="C11597" t="s">
        <v>21505</v>
      </c>
      <c r="D11597" t="s">
        <v>21506</v>
      </c>
      <c r="E11597" t="str">
        <f>HYPERLINK("https://patents.google.com/patent/FR2469296A1/fr")</f>
        <v>https://patents.google.com/patent/FR2469296A1/fr</v>
      </c>
    </row>
    <row r="11598" spans="3:5" x14ac:dyDescent="0.25">
      <c r="C11598" t="s">
        <v>21507</v>
      </c>
      <c r="D11598" t="s">
        <v>21508</v>
      </c>
      <c r="E11598" t="str">
        <f>HYPERLINK("https://patents.google.com/patent/FR2657087A1/fr")</f>
        <v>https://patents.google.com/patent/FR2657087A1/fr</v>
      </c>
    </row>
    <row r="11599" spans="3:5" x14ac:dyDescent="0.25">
      <c r="C11599" t="s">
        <v>21509</v>
      </c>
      <c r="D11599" t="s">
        <v>21510</v>
      </c>
      <c r="E11599" t="str">
        <f>HYPERLINK("https://patents.google.com/patent/FR2693863A1/fr")</f>
        <v>https://patents.google.com/patent/FR2693863A1/fr</v>
      </c>
    </row>
    <row r="11600" spans="3:5" x14ac:dyDescent="0.25">
      <c r="C11600" t="s">
        <v>21511</v>
      </c>
      <c r="D11600" t="s">
        <v>21512</v>
      </c>
      <c r="E11600" t="str">
        <f>HYPERLINK("https://patents.google.com/patent/EP1351104A1/fr")</f>
        <v>https://patents.google.com/patent/EP1351104A1/fr</v>
      </c>
    </row>
    <row r="11601" spans="3:5" x14ac:dyDescent="0.25">
      <c r="C11601" t="s">
        <v>21513</v>
      </c>
      <c r="D11601" t="s">
        <v>21514</v>
      </c>
      <c r="E11601" t="str">
        <f>HYPERLINK("https://patents.google.com/patent/WO2003017009A2/fr")</f>
        <v>https://patents.google.com/patent/WO2003017009A2/fr</v>
      </c>
    </row>
    <row r="11602" spans="3:5" x14ac:dyDescent="0.25">
      <c r="C11602" t="s">
        <v>21515</v>
      </c>
      <c r="D11602" t="s">
        <v>21516</v>
      </c>
      <c r="E11602" t="str">
        <f>HYPERLINK("https://patents.google.com/patent/WO1995034874A1/fr")</f>
        <v>https://patents.google.com/patent/WO1995034874A1/fr</v>
      </c>
    </row>
    <row r="11603" spans="3:5" x14ac:dyDescent="0.25">
      <c r="C11603" t="s">
        <v>21517</v>
      </c>
      <c r="D11603" t="s">
        <v>21518</v>
      </c>
      <c r="E11603" t="str">
        <f>HYPERLINK("https://patents.google.com/patent/EP0269496A2/fr")</f>
        <v>https://patents.google.com/patent/EP0269496A2/fr</v>
      </c>
    </row>
    <row r="11604" spans="3:5" x14ac:dyDescent="0.25">
      <c r="C11604" t="s">
        <v>21519</v>
      </c>
      <c r="D11604" t="s">
        <v>21520</v>
      </c>
      <c r="E11604" t="str">
        <f>HYPERLINK("https://patents.google.com/patent/EP0072262A1/fr")</f>
        <v>https://patents.google.com/patent/EP0072262A1/fr</v>
      </c>
    </row>
    <row r="11605" spans="3:5" x14ac:dyDescent="0.25">
      <c r="C11605" t="s">
        <v>21521</v>
      </c>
      <c r="D11605" t="s">
        <v>21522</v>
      </c>
      <c r="E11605" t="str">
        <f>HYPERLINK("https://patents.google.com/patent/FR2800500A1/fr")</f>
        <v>https://patents.google.com/patent/FR2800500A1/fr</v>
      </c>
    </row>
    <row r="11606" spans="3:5" x14ac:dyDescent="0.25">
      <c r="C11606" t="s">
        <v>21523</v>
      </c>
      <c r="D11606" t="s">
        <v>21524</v>
      </c>
      <c r="E11606" t="str">
        <f>HYPERLINK("https://patents.google.com/patent/FR2830765A1/fr")</f>
        <v>https://patents.google.com/patent/FR2830765A1/fr</v>
      </c>
    </row>
    <row r="11607" spans="3:5" x14ac:dyDescent="0.25">
      <c r="C11607" t="s">
        <v>21525</v>
      </c>
      <c r="D11607" t="s">
        <v>21526</v>
      </c>
      <c r="E11607" t="str">
        <f>HYPERLINK("https://patents.google.com/patent/FR2675919A1/fr")</f>
        <v>https://patents.google.com/patent/FR2675919A1/fr</v>
      </c>
    </row>
    <row r="11608" spans="3:5" x14ac:dyDescent="0.25">
      <c r="C11608" t="s">
        <v>21527</v>
      </c>
      <c r="D11608" t="s">
        <v>21528</v>
      </c>
      <c r="E11608" t="str">
        <f>HYPERLINK("https://patents.google.com/patent/FR2882681A1/fr")</f>
        <v>https://patents.google.com/patent/FR2882681A1/fr</v>
      </c>
    </row>
    <row r="11609" spans="3:5" x14ac:dyDescent="0.25">
      <c r="C11609" t="s">
        <v>21529</v>
      </c>
      <c r="D11609" t="s">
        <v>21530</v>
      </c>
      <c r="E11609" t="str">
        <f>HYPERLINK("https://patents.google.com/patent/WO2007057563A1/fr")</f>
        <v>https://patents.google.com/patent/WO2007057563A1/fr</v>
      </c>
    </row>
    <row r="11610" spans="3:5" x14ac:dyDescent="0.25">
      <c r="C11610" t="s">
        <v>21531</v>
      </c>
      <c r="D11610" t="s">
        <v>21532</v>
      </c>
      <c r="E11610" t="str">
        <f>HYPERLINK("https://patents.google.com/patent/EP1024416A2/fr")</f>
        <v>https://patents.google.com/patent/EP1024416A2/fr</v>
      </c>
    </row>
    <row r="11611" spans="3:5" x14ac:dyDescent="0.25">
      <c r="C11611" t="s">
        <v>21533</v>
      </c>
      <c r="D11611" t="s">
        <v>21534</v>
      </c>
      <c r="E11611" t="str">
        <f>HYPERLINK("https://patents.google.com/patent/EP1167927A1/fr")</f>
        <v>https://patents.google.com/patent/EP1167927A1/fr</v>
      </c>
    </row>
    <row r="11612" spans="3:5" x14ac:dyDescent="0.25">
      <c r="C11612" t="s">
        <v>21535</v>
      </c>
      <c r="D11612" t="s">
        <v>21536</v>
      </c>
      <c r="E11612" t="str">
        <f>HYPERLINK("https://patents.google.com/patent/EP0647752A2/fr")</f>
        <v>https://patents.google.com/patent/EP0647752A2/fr</v>
      </c>
    </row>
    <row r="11613" spans="3:5" x14ac:dyDescent="0.25">
      <c r="C11613" t="s">
        <v>21537</v>
      </c>
      <c r="D11613" t="s">
        <v>21538</v>
      </c>
      <c r="E11613" t="str">
        <f>HYPERLINK("https://patents.google.com/patent/FR2943970A3/fr")</f>
        <v>https://patents.google.com/patent/FR2943970A3/fr</v>
      </c>
    </row>
    <row r="11614" spans="3:5" x14ac:dyDescent="0.25">
      <c r="C11614" t="s">
        <v>21539</v>
      </c>
      <c r="D11614" t="s">
        <v>21540</v>
      </c>
      <c r="E11614" t="str">
        <f>HYPERLINK("https://patents.google.com/patent/EP0580055A1/fr")</f>
        <v>https://patents.google.com/patent/EP0580055A1/fr</v>
      </c>
    </row>
    <row r="11615" spans="3:5" x14ac:dyDescent="0.25">
      <c r="C11615" t="s">
        <v>21541</v>
      </c>
      <c r="D11615" t="s">
        <v>21542</v>
      </c>
      <c r="E11615" t="str">
        <f>HYPERLINK("https://patents.google.com/patent/FR2845038A1/fr")</f>
        <v>https://patents.google.com/patent/FR2845038A1/fr</v>
      </c>
    </row>
    <row r="11616" spans="3:5" x14ac:dyDescent="0.25">
      <c r="C11616" t="s">
        <v>21543</v>
      </c>
      <c r="D11616" t="s">
        <v>21544</v>
      </c>
      <c r="E11616" t="str">
        <f>HYPERLINK("https://patents.google.com/patent/EP0158544A1/fr")</f>
        <v>https://patents.google.com/patent/EP0158544A1/fr</v>
      </c>
    </row>
    <row r="11617" spans="1:5" x14ac:dyDescent="0.25">
      <c r="C11617" t="s">
        <v>21545</v>
      </c>
      <c r="D11617" t="s">
        <v>21546</v>
      </c>
      <c r="E11617" t="str">
        <f>HYPERLINK("https://patents.google.com/patent/EP1925997A1/fr")</f>
        <v>https://patents.google.com/patent/EP1925997A1/fr</v>
      </c>
    </row>
    <row r="11618" spans="1:5" x14ac:dyDescent="0.25">
      <c r="A11618" t="s">
        <v>2390</v>
      </c>
      <c r="B11618">
        <v>768</v>
      </c>
    </row>
    <row r="11619" spans="1:5" x14ac:dyDescent="0.25">
      <c r="C11619" t="s">
        <v>21547</v>
      </c>
      <c r="D11619" t="s">
        <v>21548</v>
      </c>
      <c r="E11619" t="str">
        <f>HYPERLINK("https://patents.google.com/patent/CN87215582U/en")</f>
        <v>https://patents.google.com/patent/CN87215582U/en</v>
      </c>
    </row>
    <row r="11620" spans="1:5" x14ac:dyDescent="0.25">
      <c r="C11620" t="s">
        <v>21549</v>
      </c>
      <c r="D11620" t="s">
        <v>21550</v>
      </c>
      <c r="E11620" t="str">
        <f>HYPERLINK("https://patents.google.com/patent/CN201607767U/en")</f>
        <v>https://patents.google.com/patent/CN201607767U/en</v>
      </c>
    </row>
    <row r="11621" spans="1:5" x14ac:dyDescent="0.25">
      <c r="C11621" t="s">
        <v>21551</v>
      </c>
      <c r="D11621" t="s">
        <v>21552</v>
      </c>
      <c r="E11621" t="str">
        <f>HYPERLINK("https://patents.google.com/patent/CN101620812A/en")</f>
        <v>https://patents.google.com/patent/CN101620812A/en</v>
      </c>
    </row>
    <row r="11622" spans="1:5" x14ac:dyDescent="0.25">
      <c r="C11622" t="s">
        <v>21553</v>
      </c>
      <c r="D11622" t="s">
        <v>21554</v>
      </c>
      <c r="E11622" t="str">
        <f>HYPERLINK("https://patents.google.com/patent/WO2007037582A1/en")</f>
        <v>https://patents.google.com/patent/WO2007037582A1/en</v>
      </c>
    </row>
    <row r="11623" spans="1:5" x14ac:dyDescent="0.25">
      <c r="C11623" t="s">
        <v>21555</v>
      </c>
      <c r="D11623" t="s">
        <v>21556</v>
      </c>
      <c r="E11623" t="str">
        <f>HYPERLINK("https://patents.google.com/patent/CN201622341U/en")</f>
        <v>https://patents.google.com/patent/CN201622341U/en</v>
      </c>
    </row>
    <row r="11624" spans="1:5" x14ac:dyDescent="0.25">
      <c r="C11624" t="s">
        <v>21557</v>
      </c>
      <c r="D11624" t="s">
        <v>21558</v>
      </c>
      <c r="E11624" t="str">
        <f>HYPERLINK("https://patents.google.com/patent/CN104270214A/en")</f>
        <v>https://patents.google.com/patent/CN104270214A/en</v>
      </c>
    </row>
    <row r="11625" spans="1:5" x14ac:dyDescent="0.25">
      <c r="C11625" t="s">
        <v>21559</v>
      </c>
      <c r="D11625" t="s">
        <v>21560</v>
      </c>
      <c r="E11625" t="str">
        <f>HYPERLINK("https://patents.google.com/patent/KR101283135B1/en")</f>
        <v>https://patents.google.com/patent/KR101283135B1/en</v>
      </c>
    </row>
    <row r="11626" spans="1:5" x14ac:dyDescent="0.25">
      <c r="C11626" t="s">
        <v>21561</v>
      </c>
      <c r="D11626" t="s">
        <v>21562</v>
      </c>
      <c r="E11626" t="str">
        <f>HYPERLINK("https://patents.google.com/patent/KR200256325Y1/en")</f>
        <v>https://patents.google.com/patent/KR200256325Y1/en</v>
      </c>
    </row>
    <row r="11627" spans="1:5" x14ac:dyDescent="0.25">
      <c r="C11627" t="s">
        <v>21563</v>
      </c>
      <c r="D11627" t="s">
        <v>21564</v>
      </c>
      <c r="E11627" t="str">
        <f>HYPERLINK("https://patents.google.com/patent/KR101633188B1/en")</f>
        <v>https://patents.google.com/patent/KR101633188B1/en</v>
      </c>
    </row>
    <row r="11628" spans="1:5" x14ac:dyDescent="0.25">
      <c r="C11628" t="s">
        <v>21565</v>
      </c>
      <c r="D11628" t="s">
        <v>21566</v>
      </c>
      <c r="E11628" t="str">
        <f>HYPERLINK("https://patents.google.com/patent/US20160198252A1/en")</f>
        <v>https://patents.google.com/patent/US20160198252A1/en</v>
      </c>
    </row>
    <row r="11629" spans="1:5" x14ac:dyDescent="0.25">
      <c r="C11629" t="s">
        <v>21567</v>
      </c>
      <c r="D11629" t="s">
        <v>21568</v>
      </c>
      <c r="E11629" t="str">
        <f>HYPERLINK("https://patents.google.com/patent/KR101777654B1/en")</f>
        <v>https://patents.google.com/patent/KR101777654B1/en</v>
      </c>
    </row>
    <row r="11630" spans="1:5" x14ac:dyDescent="0.25">
      <c r="C11630" t="s">
        <v>21569</v>
      </c>
      <c r="D11630" t="s">
        <v>21570</v>
      </c>
      <c r="E11630" t="str">
        <f>HYPERLINK("https://patents.google.com/patent/CN1808980A/en")</f>
        <v>https://patents.google.com/patent/CN1808980A/en</v>
      </c>
    </row>
    <row r="11631" spans="1:5" x14ac:dyDescent="0.25">
      <c r="C11631" t="s">
        <v>21571</v>
      </c>
      <c r="D11631" t="s">
        <v>21572</v>
      </c>
      <c r="E11631" t="str">
        <f>HYPERLINK("https://patents.google.com/patent/US9066199B2/en")</f>
        <v>https://patents.google.com/patent/US9066199B2/en</v>
      </c>
    </row>
    <row r="11632" spans="1:5" x14ac:dyDescent="0.25">
      <c r="C11632" t="s">
        <v>21573</v>
      </c>
      <c r="D11632" t="s">
        <v>21574</v>
      </c>
      <c r="E11632" t="str">
        <f>HYPERLINK("https://patents.google.com/patent/KR101162986B1/en")</f>
        <v>https://patents.google.com/patent/KR101162986B1/en</v>
      </c>
    </row>
    <row r="11633" spans="3:5" x14ac:dyDescent="0.25">
      <c r="C11633" t="s">
        <v>21575</v>
      </c>
      <c r="D11633" t="s">
        <v>21576</v>
      </c>
      <c r="E11633" t="str">
        <f>HYPERLINK("https://patents.google.com/patent/CN202856840U/en")</f>
        <v>https://patents.google.com/patent/CN202856840U/en</v>
      </c>
    </row>
    <row r="11634" spans="3:5" x14ac:dyDescent="0.25">
      <c r="C11634" t="s">
        <v>21577</v>
      </c>
      <c r="D11634" t="s">
        <v>21578</v>
      </c>
      <c r="E11634" t="str">
        <f>HYPERLINK("https://patents.google.com/patent/CN106782218A/en")</f>
        <v>https://patents.google.com/patent/CN106782218A/en</v>
      </c>
    </row>
    <row r="11635" spans="3:5" x14ac:dyDescent="0.25">
      <c r="C11635" t="s">
        <v>21579</v>
      </c>
      <c r="D11635" t="s">
        <v>21580</v>
      </c>
      <c r="E11635" t="str">
        <f>HYPERLINK("https://patents.google.com/patent/CN206040183U/en")</f>
        <v>https://patents.google.com/patent/CN206040183U/en</v>
      </c>
    </row>
    <row r="11636" spans="3:5" x14ac:dyDescent="0.25">
      <c r="C11636" t="s">
        <v>21581</v>
      </c>
      <c r="D11636" t="s">
        <v>21582</v>
      </c>
      <c r="E11636" t="str">
        <f>HYPERLINK("https://patents.google.com/patent/CN106332001A/en")</f>
        <v>https://patents.google.com/patent/CN106332001A/en</v>
      </c>
    </row>
    <row r="11637" spans="3:5" x14ac:dyDescent="0.25">
      <c r="C11637" t="s">
        <v>21583</v>
      </c>
      <c r="D11637" t="s">
        <v>21584</v>
      </c>
      <c r="E11637" t="str">
        <f>HYPERLINK("https://patents.google.com/patent/CN102611987A/en")</f>
        <v>https://patents.google.com/patent/CN102611987A/en</v>
      </c>
    </row>
    <row r="11638" spans="3:5" x14ac:dyDescent="0.25">
      <c r="C11638" t="s">
        <v>21585</v>
      </c>
      <c r="D11638" t="s">
        <v>21586</v>
      </c>
      <c r="E11638" t="str">
        <f>HYPERLINK("https://patents.google.com/patent/KR20130137821A/en")</f>
        <v>https://patents.google.com/patent/KR20130137821A/en</v>
      </c>
    </row>
    <row r="11639" spans="3:5" x14ac:dyDescent="0.25">
      <c r="C11639" t="s">
        <v>21587</v>
      </c>
      <c r="D11639" t="s">
        <v>21588</v>
      </c>
      <c r="E11639" t="str">
        <f>HYPERLINK("https://patents.google.com/patent/KR101672907B1/en")</f>
        <v>https://patents.google.com/patent/KR101672907B1/en</v>
      </c>
    </row>
    <row r="11640" spans="3:5" x14ac:dyDescent="0.25">
      <c r="C11640" t="s">
        <v>21589</v>
      </c>
      <c r="D11640" t="s">
        <v>21590</v>
      </c>
      <c r="E11640" t="str">
        <f>HYPERLINK("https://patents.google.com/patent/KR20020097339A/en")</f>
        <v>https://patents.google.com/patent/KR20020097339A/en</v>
      </c>
    </row>
    <row r="11641" spans="3:5" x14ac:dyDescent="0.25">
      <c r="C11641" t="s">
        <v>21591</v>
      </c>
      <c r="D11641" t="s">
        <v>21592</v>
      </c>
      <c r="E11641" t="str">
        <f>HYPERLINK("https://patents.google.com/patent/CN103618992B/en")</f>
        <v>https://patents.google.com/patent/CN103618992B/en</v>
      </c>
    </row>
    <row r="11642" spans="3:5" x14ac:dyDescent="0.25">
      <c r="C11642" t="s">
        <v>21593</v>
      </c>
      <c r="D11642" t="s">
        <v>21594</v>
      </c>
      <c r="E11642" t="str">
        <f>HYPERLINK("https://patents.google.com/patent/KR20170063138A/en")</f>
        <v>https://patents.google.com/patent/KR20170063138A/en</v>
      </c>
    </row>
    <row r="11643" spans="3:5" x14ac:dyDescent="0.25">
      <c r="C11643" t="s">
        <v>21595</v>
      </c>
      <c r="D11643" t="s">
        <v>21596</v>
      </c>
      <c r="E11643" t="str">
        <f>HYPERLINK("https://patents.google.com/patent/CN104867428A/en")</f>
        <v>https://patents.google.com/patent/CN104867428A/en</v>
      </c>
    </row>
    <row r="11644" spans="3:5" x14ac:dyDescent="0.25">
      <c r="C11644" t="s">
        <v>21597</v>
      </c>
      <c r="D11644" t="s">
        <v>21598</v>
      </c>
      <c r="E11644" t="str">
        <f>HYPERLINK("https://patents.google.com/patent/CN1665257A/en")</f>
        <v>https://patents.google.com/patent/CN1665257A/en</v>
      </c>
    </row>
    <row r="11645" spans="3:5" x14ac:dyDescent="0.25">
      <c r="C11645" t="s">
        <v>21599</v>
      </c>
      <c r="D11645" t="s">
        <v>21600</v>
      </c>
      <c r="E11645" t="str">
        <f>HYPERLINK("https://patents.google.com/patent/CN101498586A/en")</f>
        <v>https://patents.google.com/patent/CN101498586A/en</v>
      </c>
    </row>
    <row r="11646" spans="3:5" x14ac:dyDescent="0.25">
      <c r="C11646" t="s">
        <v>21601</v>
      </c>
      <c r="D11646" t="s">
        <v>21602</v>
      </c>
      <c r="E11646" t="str">
        <f>HYPERLINK("https://patents.google.com/patent/KR20090001615A/en")</f>
        <v>https://patents.google.com/patent/KR20090001615A/en</v>
      </c>
    </row>
    <row r="11647" spans="3:5" x14ac:dyDescent="0.25">
      <c r="C11647" t="s">
        <v>21603</v>
      </c>
      <c r="D11647" t="s">
        <v>21604</v>
      </c>
      <c r="E11647" t="str">
        <f>HYPERLINK("https://patents.google.com/patent/KR20140033631A/en")</f>
        <v>https://patents.google.com/patent/KR20140033631A/en</v>
      </c>
    </row>
    <row r="11648" spans="3:5" x14ac:dyDescent="0.25">
      <c r="C11648" t="s">
        <v>21605</v>
      </c>
      <c r="D11648" t="s">
        <v>21606</v>
      </c>
      <c r="E11648" t="str">
        <f>HYPERLINK("https://patents.google.com/patent/CN101487721A/en")</f>
        <v>https://patents.google.com/patent/CN101487721A/en</v>
      </c>
    </row>
    <row r="11649" spans="3:5" x14ac:dyDescent="0.25">
      <c r="C11649" t="s">
        <v>21607</v>
      </c>
      <c r="D11649" t="s">
        <v>21608</v>
      </c>
      <c r="E11649" t="str">
        <f>HYPERLINK("https://patents.google.com/patent/CN207124676U/en")</f>
        <v>https://patents.google.com/patent/CN207124676U/en</v>
      </c>
    </row>
    <row r="11650" spans="3:5" x14ac:dyDescent="0.25">
      <c r="C11650" t="s">
        <v>21609</v>
      </c>
      <c r="D11650" t="s">
        <v>21610</v>
      </c>
      <c r="E11650" t="str">
        <f>HYPERLINK("https://patents.google.com/patent/CN201182277Y/en")</f>
        <v>https://patents.google.com/patent/CN201182277Y/en</v>
      </c>
    </row>
    <row r="11651" spans="3:5" x14ac:dyDescent="0.25">
      <c r="C11651" t="s">
        <v>21611</v>
      </c>
      <c r="D11651" t="s">
        <v>21612</v>
      </c>
      <c r="E11651" t="str">
        <f>HYPERLINK("https://patents.google.com/patent/CN201781482U/en")</f>
        <v>https://patents.google.com/patent/CN201781482U/en</v>
      </c>
    </row>
    <row r="11652" spans="3:5" x14ac:dyDescent="0.25">
      <c r="C11652" t="s">
        <v>21613</v>
      </c>
      <c r="D11652" t="s">
        <v>21614</v>
      </c>
      <c r="E11652" t="str">
        <f>HYPERLINK("https://patents.google.com/patent/CN101150807A/en")</f>
        <v>https://patents.google.com/patent/CN101150807A/en</v>
      </c>
    </row>
    <row r="11653" spans="3:5" x14ac:dyDescent="0.25">
      <c r="C11653" t="s">
        <v>21121</v>
      </c>
      <c r="D11653" t="s">
        <v>21615</v>
      </c>
      <c r="E11653" t="str">
        <f>HYPERLINK("https://patents.google.com/patent/CN102484769A/en")</f>
        <v>https://patents.google.com/patent/CN102484769A/en</v>
      </c>
    </row>
    <row r="11654" spans="3:5" x14ac:dyDescent="0.25">
      <c r="C11654" t="s">
        <v>21616</v>
      </c>
      <c r="D11654" t="s">
        <v>21617</v>
      </c>
      <c r="E11654" t="str">
        <f>HYPERLINK("https://patents.google.com/patent/CN206340322U/en")</f>
        <v>https://patents.google.com/patent/CN206340322U/en</v>
      </c>
    </row>
    <row r="11655" spans="3:5" x14ac:dyDescent="0.25">
      <c r="C11655" t="s">
        <v>21190</v>
      </c>
      <c r="D11655" t="s">
        <v>21618</v>
      </c>
      <c r="E11655" t="str">
        <f>HYPERLINK("https://patents.google.com/patent/CN201976253U/en")</f>
        <v>https://patents.google.com/patent/CN201976253U/en</v>
      </c>
    </row>
    <row r="11656" spans="3:5" x14ac:dyDescent="0.25">
      <c r="C11656" t="s">
        <v>21619</v>
      </c>
      <c r="D11656" t="s">
        <v>21620</v>
      </c>
      <c r="E11656" t="str">
        <f>HYPERLINK("https://patents.google.com/patent/CN1629840A/en")</f>
        <v>https://patents.google.com/patent/CN1629840A/en</v>
      </c>
    </row>
    <row r="11657" spans="3:5" x14ac:dyDescent="0.25">
      <c r="C11657" t="s">
        <v>21621</v>
      </c>
      <c r="D11657" t="s">
        <v>21622</v>
      </c>
      <c r="E11657" t="str">
        <f>HYPERLINK("https://patents.google.com/patent/KR20060094176A/en")</f>
        <v>https://patents.google.com/patent/KR20060094176A/en</v>
      </c>
    </row>
    <row r="11658" spans="3:5" x14ac:dyDescent="0.25">
      <c r="C11658" t="s">
        <v>21623</v>
      </c>
      <c r="D11658" t="s">
        <v>21624</v>
      </c>
      <c r="E11658" t="str">
        <f>HYPERLINK("https://patents.google.com/patent/KR100951403B1/en")</f>
        <v>https://patents.google.com/patent/KR100951403B1/en</v>
      </c>
    </row>
    <row r="11659" spans="3:5" x14ac:dyDescent="0.25">
      <c r="C11659" t="s">
        <v>21625</v>
      </c>
      <c r="D11659" t="s">
        <v>21626</v>
      </c>
      <c r="E11659" t="str">
        <f>HYPERLINK("https://patents.google.com/patent/KR20150006985A/en")</f>
        <v>https://patents.google.com/patent/KR20150006985A/en</v>
      </c>
    </row>
    <row r="11660" spans="3:5" x14ac:dyDescent="0.25">
      <c r="C11660" t="s">
        <v>21627</v>
      </c>
      <c r="D11660" t="s">
        <v>21628</v>
      </c>
      <c r="E11660" t="str">
        <f>HYPERLINK("https://patents.google.com/patent/CN206835237U/en")</f>
        <v>https://patents.google.com/patent/CN206835237U/en</v>
      </c>
    </row>
    <row r="11661" spans="3:5" x14ac:dyDescent="0.25">
      <c r="C11661" t="s">
        <v>21629</v>
      </c>
      <c r="D11661" t="s">
        <v>21630</v>
      </c>
      <c r="E11661" t="str">
        <f>HYPERLINK("https://patents.google.com/patent/CN102509529A/en")</f>
        <v>https://patents.google.com/patent/CN102509529A/en</v>
      </c>
    </row>
    <row r="11662" spans="3:5" x14ac:dyDescent="0.25">
      <c r="C11662" t="s">
        <v>21631</v>
      </c>
      <c r="D11662" t="s">
        <v>21632</v>
      </c>
      <c r="E11662" t="str">
        <f>HYPERLINK("https://patents.google.com/patent/KR20170074541A/en")</f>
        <v>https://patents.google.com/patent/KR20170074541A/en</v>
      </c>
    </row>
    <row r="11663" spans="3:5" x14ac:dyDescent="0.25">
      <c r="C11663" t="s">
        <v>21633</v>
      </c>
      <c r="D11663" t="s">
        <v>21634</v>
      </c>
      <c r="E11663" t="str">
        <f>HYPERLINK("https://patents.google.com/patent/CN101846521A/en")</f>
        <v>https://patents.google.com/patent/CN101846521A/en</v>
      </c>
    </row>
    <row r="11664" spans="3:5" x14ac:dyDescent="0.25">
      <c r="C11664" t="s">
        <v>21635</v>
      </c>
      <c r="D11664" t="s">
        <v>21636</v>
      </c>
      <c r="E11664" t="str">
        <f>HYPERLINK("https://patents.google.com/patent/KR101876957B1/en")</f>
        <v>https://patents.google.com/patent/KR101876957B1/en</v>
      </c>
    </row>
    <row r="11665" spans="3:5" x14ac:dyDescent="0.25">
      <c r="C11665" t="s">
        <v>21637</v>
      </c>
      <c r="D11665" t="s">
        <v>21638</v>
      </c>
      <c r="E11665" t="str">
        <f>HYPERLINK("https://patents.google.com/patent/CN103781020A/en")</f>
        <v>https://patents.google.com/patent/CN103781020A/en</v>
      </c>
    </row>
    <row r="11666" spans="3:5" x14ac:dyDescent="0.25">
      <c r="C11666" t="s">
        <v>21639</v>
      </c>
      <c r="D11666" t="s">
        <v>21640</v>
      </c>
      <c r="E11666" t="str">
        <f>HYPERLINK("https://patents.google.com/patent/CN206923047U/en")</f>
        <v>https://patents.google.com/patent/CN206923047U/en</v>
      </c>
    </row>
    <row r="11667" spans="3:5" x14ac:dyDescent="0.25">
      <c r="C11667" t="s">
        <v>21641</v>
      </c>
      <c r="D11667" t="s">
        <v>21642</v>
      </c>
      <c r="E11667" t="str">
        <f>HYPERLINK("https://patents.google.com/patent/CN205880767U/en")</f>
        <v>https://patents.google.com/patent/CN205880767U/en</v>
      </c>
    </row>
    <row r="11668" spans="3:5" x14ac:dyDescent="0.25">
      <c r="C11668" t="s">
        <v>21643</v>
      </c>
      <c r="D11668" t="s">
        <v>21644</v>
      </c>
      <c r="E11668" t="str">
        <f>HYPERLINK("https://patents.google.com/patent/JP4323123B2/en")</f>
        <v>https://patents.google.com/patent/JP4323123B2/en</v>
      </c>
    </row>
    <row r="11669" spans="3:5" x14ac:dyDescent="0.25">
      <c r="C11669" t="s">
        <v>21645</v>
      </c>
      <c r="D11669" t="s">
        <v>21646</v>
      </c>
      <c r="E11669" t="str">
        <f>HYPERLINK("https://patents.google.com/patent/DE10042432A1/en")</f>
        <v>https://patents.google.com/patent/DE10042432A1/en</v>
      </c>
    </row>
    <row r="11670" spans="3:5" x14ac:dyDescent="0.25">
      <c r="C11670" t="s">
        <v>21647</v>
      </c>
      <c r="D11670" t="s">
        <v>21648</v>
      </c>
      <c r="E11670" t="str">
        <f>HYPERLINK("https://patents.google.com/patent/CN104244176A/en")</f>
        <v>https://patents.google.com/patent/CN104244176A/en</v>
      </c>
    </row>
    <row r="11671" spans="3:5" x14ac:dyDescent="0.25">
      <c r="C11671" t="s">
        <v>21649</v>
      </c>
      <c r="D11671" t="s">
        <v>21650</v>
      </c>
      <c r="E11671" t="str">
        <f>HYPERLINK("https://patents.google.com/patent/KR100956035B1/en")</f>
        <v>https://patents.google.com/patent/KR100956035B1/en</v>
      </c>
    </row>
    <row r="11672" spans="3:5" x14ac:dyDescent="0.25">
      <c r="C11672" t="s">
        <v>21651</v>
      </c>
      <c r="D11672" t="s">
        <v>21652</v>
      </c>
      <c r="E11672" t="str">
        <f>HYPERLINK("https://patents.google.com/patent/CN103366708A/en")</f>
        <v>https://patents.google.com/patent/CN103366708A/en</v>
      </c>
    </row>
    <row r="11673" spans="3:5" x14ac:dyDescent="0.25">
      <c r="C11673" t="s">
        <v>21653</v>
      </c>
      <c r="D11673" t="s">
        <v>21654</v>
      </c>
      <c r="E11673" t="str">
        <f>HYPERLINK("https://patents.google.com/patent/DE102006003363A1/en")</f>
        <v>https://patents.google.com/patent/DE102006003363A1/en</v>
      </c>
    </row>
    <row r="11674" spans="3:5" x14ac:dyDescent="0.25">
      <c r="C11674" t="s">
        <v>21655</v>
      </c>
      <c r="D11674" t="s">
        <v>21656</v>
      </c>
      <c r="E11674" t="str">
        <f>HYPERLINK("https://patents.google.com/patent/DE102014217983A1/en")</f>
        <v>https://patents.google.com/patent/DE102014217983A1/en</v>
      </c>
    </row>
    <row r="11675" spans="3:5" x14ac:dyDescent="0.25">
      <c r="C11675" t="s">
        <v>21657</v>
      </c>
      <c r="D11675" t="s">
        <v>21658</v>
      </c>
      <c r="E11675" t="str">
        <f>HYPERLINK("https://patents.google.com/patent/CN204292432U/en")</f>
        <v>https://patents.google.com/patent/CN204292432U/en</v>
      </c>
    </row>
    <row r="11676" spans="3:5" x14ac:dyDescent="0.25">
      <c r="C11676" t="s">
        <v>21659</v>
      </c>
      <c r="D11676" t="s">
        <v>21660</v>
      </c>
      <c r="E11676" t="str">
        <f>HYPERLINK("https://patents.google.com/patent/KR20070037727A/en")</f>
        <v>https://patents.google.com/patent/KR20070037727A/en</v>
      </c>
    </row>
    <row r="11677" spans="3:5" x14ac:dyDescent="0.25">
      <c r="C11677" t="s">
        <v>21661</v>
      </c>
      <c r="D11677" t="s">
        <v>21662</v>
      </c>
      <c r="E11677" t="str">
        <f>HYPERLINK("https://patents.google.com/patent/US20100203868A1/en")</f>
        <v>https://patents.google.com/patent/US20100203868A1/en</v>
      </c>
    </row>
    <row r="11678" spans="3:5" x14ac:dyDescent="0.25">
      <c r="C11678" t="s">
        <v>18772</v>
      </c>
      <c r="D11678" t="s">
        <v>21663</v>
      </c>
      <c r="E11678" t="str">
        <f>HYPERLINK("https://patents.google.com/patent/WO2018068537A1/en")</f>
        <v>https://patents.google.com/patent/WO2018068537A1/en</v>
      </c>
    </row>
    <row r="11679" spans="3:5" x14ac:dyDescent="0.25">
      <c r="C11679" t="s">
        <v>21664</v>
      </c>
      <c r="D11679" t="s">
        <v>21665</v>
      </c>
      <c r="E11679" t="str">
        <f>HYPERLINK("https://patents.google.com/patent/CN105338492B/en")</f>
        <v>https://patents.google.com/patent/CN105338492B/en</v>
      </c>
    </row>
    <row r="11680" spans="3:5" x14ac:dyDescent="0.25">
      <c r="C11680" t="s">
        <v>21032</v>
      </c>
      <c r="D11680" t="s">
        <v>21666</v>
      </c>
      <c r="E11680" t="str">
        <f>HYPERLINK("https://patents.google.com/patent/EP2219163A1/en")</f>
        <v>https://patents.google.com/patent/EP2219163A1/en</v>
      </c>
    </row>
    <row r="11681" spans="3:5" x14ac:dyDescent="0.25">
      <c r="C11681" t="s">
        <v>21667</v>
      </c>
      <c r="D11681" t="s">
        <v>21668</v>
      </c>
      <c r="E11681" t="str">
        <f>HYPERLINK("https://patents.google.com/patent/CN105491107A/en")</f>
        <v>https://patents.google.com/patent/CN105491107A/en</v>
      </c>
    </row>
    <row r="11682" spans="3:5" x14ac:dyDescent="0.25">
      <c r="C11682" t="s">
        <v>21669</v>
      </c>
      <c r="D11682" t="s">
        <v>21670</v>
      </c>
      <c r="E11682" t="str">
        <f>HYPERLINK("https://patents.google.com/patent/KR101658614B1/en")</f>
        <v>https://patents.google.com/patent/KR101658614B1/en</v>
      </c>
    </row>
    <row r="11683" spans="3:5" x14ac:dyDescent="0.25">
      <c r="C11683" t="s">
        <v>21671</v>
      </c>
      <c r="D11683" t="s">
        <v>21672</v>
      </c>
      <c r="E11683" t="str">
        <f>HYPERLINK("https://patents.google.com/patent/EP3104631B1/en")</f>
        <v>https://patents.google.com/patent/EP3104631B1/en</v>
      </c>
    </row>
    <row r="11684" spans="3:5" x14ac:dyDescent="0.25">
      <c r="C11684" t="s">
        <v>21673</v>
      </c>
      <c r="D11684" t="s">
        <v>21674</v>
      </c>
      <c r="E11684" t="str">
        <f>HYPERLINK("https://patents.google.com/patent/KR101068888B1/en")</f>
        <v>https://patents.google.com/patent/KR101068888B1/en</v>
      </c>
    </row>
    <row r="11685" spans="3:5" x14ac:dyDescent="0.25">
      <c r="C11685" t="s">
        <v>21675</v>
      </c>
      <c r="D11685" t="s">
        <v>21676</v>
      </c>
      <c r="E11685" t="str">
        <f>HYPERLINK("https://patents.google.com/patent/KR20120003597U/en")</f>
        <v>https://patents.google.com/patent/KR20120003597U/en</v>
      </c>
    </row>
    <row r="11686" spans="3:5" x14ac:dyDescent="0.25">
      <c r="C11686" t="s">
        <v>21677</v>
      </c>
      <c r="D11686" t="s">
        <v>21678</v>
      </c>
      <c r="E11686" t="str">
        <f>HYPERLINK("https://patents.google.com/patent/KR20140050265A/en")</f>
        <v>https://patents.google.com/patent/KR20140050265A/en</v>
      </c>
    </row>
    <row r="11687" spans="3:5" x14ac:dyDescent="0.25">
      <c r="C11687" t="s">
        <v>21679</v>
      </c>
      <c r="D11687" t="s">
        <v>21680</v>
      </c>
      <c r="E11687" t="str">
        <f>HYPERLINK("https://patents.google.com/patent/CN104424809B/en")</f>
        <v>https://patents.google.com/patent/CN104424809B/en</v>
      </c>
    </row>
    <row r="11688" spans="3:5" x14ac:dyDescent="0.25">
      <c r="C11688" t="s">
        <v>15369</v>
      </c>
      <c r="D11688" t="s">
        <v>21681</v>
      </c>
      <c r="E11688" t="str">
        <f>HYPERLINK("https://patents.google.com/patent/WO2001069799A2/en")</f>
        <v>https://patents.google.com/patent/WO2001069799A2/en</v>
      </c>
    </row>
    <row r="11689" spans="3:5" x14ac:dyDescent="0.25">
      <c r="C11689" t="s">
        <v>21682</v>
      </c>
      <c r="D11689" t="s">
        <v>21683</v>
      </c>
      <c r="E11689" t="str">
        <f>HYPERLINK("https://patents.google.com/patent/WO2000070851A1/en")</f>
        <v>https://patents.google.com/patent/WO2000070851A1/en</v>
      </c>
    </row>
    <row r="11690" spans="3:5" x14ac:dyDescent="0.25">
      <c r="C11690" t="s">
        <v>21684</v>
      </c>
      <c r="D11690" t="s">
        <v>21685</v>
      </c>
      <c r="E11690" t="str">
        <f>HYPERLINK("https://patents.google.com/patent/CN205880864U/en")</f>
        <v>https://patents.google.com/patent/CN205880864U/en</v>
      </c>
    </row>
    <row r="11691" spans="3:5" x14ac:dyDescent="0.25">
      <c r="C11691" t="s">
        <v>21686</v>
      </c>
      <c r="D11691" t="s">
        <v>21687</v>
      </c>
      <c r="E11691" t="str">
        <f>HYPERLINK("https://patents.google.com/patent/CN203313360U/en")</f>
        <v>https://patents.google.com/patent/CN203313360U/en</v>
      </c>
    </row>
    <row r="11692" spans="3:5" x14ac:dyDescent="0.25">
      <c r="C11692" t="s">
        <v>21688</v>
      </c>
      <c r="D11692" t="s">
        <v>21689</v>
      </c>
      <c r="E11692" t="str">
        <f>HYPERLINK("https://patents.google.com/patent/CN205318804U/en")</f>
        <v>https://patents.google.com/patent/CN205318804U/en</v>
      </c>
    </row>
    <row r="11693" spans="3:5" x14ac:dyDescent="0.25">
      <c r="C11693" t="s">
        <v>21690</v>
      </c>
      <c r="D11693" t="s">
        <v>21691</v>
      </c>
      <c r="E11693" t="str">
        <f>HYPERLINK("https://patents.google.com/patent/US20150219470A1/en")</f>
        <v>https://patents.google.com/patent/US20150219470A1/en</v>
      </c>
    </row>
    <row r="11694" spans="3:5" x14ac:dyDescent="0.25">
      <c r="C11694" t="s">
        <v>21692</v>
      </c>
      <c r="D11694" t="s">
        <v>21693</v>
      </c>
      <c r="E11694" t="str">
        <f>HYPERLINK("https://patents.google.com/patent/WO2000065497A2/en")</f>
        <v>https://patents.google.com/patent/WO2000065497A2/en</v>
      </c>
    </row>
    <row r="11695" spans="3:5" x14ac:dyDescent="0.25">
      <c r="C11695" t="s">
        <v>21694</v>
      </c>
      <c r="D11695" t="s">
        <v>21695</v>
      </c>
      <c r="E11695" t="str">
        <f>HYPERLINK("https://patents.google.com/patent/KR101425671B1/en")</f>
        <v>https://patents.google.com/patent/KR101425671B1/en</v>
      </c>
    </row>
    <row r="11696" spans="3:5" x14ac:dyDescent="0.25">
      <c r="C11696" t="s">
        <v>21696</v>
      </c>
      <c r="D11696" t="s">
        <v>21697</v>
      </c>
      <c r="E11696" t="str">
        <f>HYPERLINK("https://patents.google.com/patent/JP2017130169A/en")</f>
        <v>https://patents.google.com/patent/JP2017130169A/en</v>
      </c>
    </row>
    <row r="11697" spans="3:5" x14ac:dyDescent="0.25">
      <c r="C11697" t="s">
        <v>20948</v>
      </c>
      <c r="D11697" t="s">
        <v>21698</v>
      </c>
      <c r="E11697" t="str">
        <f>HYPERLINK("https://patents.google.com/patent/CN1981502A/en")</f>
        <v>https://patents.google.com/patent/CN1981502A/en</v>
      </c>
    </row>
    <row r="11698" spans="3:5" x14ac:dyDescent="0.25">
      <c r="C11698" t="s">
        <v>21699</v>
      </c>
      <c r="D11698" t="s">
        <v>21700</v>
      </c>
      <c r="E11698" t="str">
        <f>HYPERLINK("https://patents.google.com/patent/CN1618578A/en")</f>
        <v>https://patents.google.com/patent/CN1618578A/en</v>
      </c>
    </row>
    <row r="11699" spans="3:5" x14ac:dyDescent="0.25">
      <c r="C11699" t="s">
        <v>21701</v>
      </c>
      <c r="D11699" t="s">
        <v>21702</v>
      </c>
      <c r="E11699" t="str">
        <f>HYPERLINK("https://patents.google.com/patent/CN101237674A/en")</f>
        <v>https://patents.google.com/patent/CN101237674A/en</v>
      </c>
    </row>
    <row r="11700" spans="3:5" x14ac:dyDescent="0.25">
      <c r="C11700" t="s">
        <v>21703</v>
      </c>
      <c r="D11700" t="s">
        <v>21704</v>
      </c>
      <c r="E11700" t="str">
        <f>HYPERLINK("https://patents.google.com/patent/CN1358019A/en")</f>
        <v>https://patents.google.com/patent/CN1358019A/en</v>
      </c>
    </row>
    <row r="11701" spans="3:5" x14ac:dyDescent="0.25">
      <c r="C11701" t="s">
        <v>21705</v>
      </c>
      <c r="D11701" t="s">
        <v>21706</v>
      </c>
      <c r="E11701" t="str">
        <f>HYPERLINK("https://patents.google.com/patent/JP2005316851A/en")</f>
        <v>https://patents.google.com/patent/JP2005316851A/en</v>
      </c>
    </row>
    <row r="11702" spans="3:5" x14ac:dyDescent="0.25">
      <c r="C11702" t="s">
        <v>21707</v>
      </c>
      <c r="D11702" t="s">
        <v>21708</v>
      </c>
      <c r="E11702" t="str">
        <f>HYPERLINK("https://patents.google.com/patent/CN101726307A/en")</f>
        <v>https://patents.google.com/patent/CN101726307A/en</v>
      </c>
    </row>
    <row r="11703" spans="3:5" x14ac:dyDescent="0.25">
      <c r="C11703" t="s">
        <v>21709</v>
      </c>
      <c r="D11703" t="s">
        <v>21710</v>
      </c>
      <c r="E11703" t="str">
        <f>HYPERLINK("https://patents.google.com/patent/CN105043373A/en")</f>
        <v>https://patents.google.com/patent/CN105043373A/en</v>
      </c>
    </row>
    <row r="11704" spans="3:5" x14ac:dyDescent="0.25">
      <c r="C11704" t="s">
        <v>21711</v>
      </c>
      <c r="D11704" t="s">
        <v>21712</v>
      </c>
      <c r="E11704" t="str">
        <f>HYPERLINK("https://patents.google.com/patent/CN202261802U/en")</f>
        <v>https://patents.google.com/patent/CN202261802U/en</v>
      </c>
    </row>
    <row r="11705" spans="3:5" x14ac:dyDescent="0.25">
      <c r="C11705" t="s">
        <v>21713</v>
      </c>
      <c r="D11705" t="s">
        <v>21714</v>
      </c>
      <c r="E11705" t="str">
        <f>HYPERLINK("https://patents.google.com/patent/JP2004088361A/en")</f>
        <v>https://patents.google.com/patent/JP2004088361A/en</v>
      </c>
    </row>
    <row r="11706" spans="3:5" x14ac:dyDescent="0.25">
      <c r="C11706" t="s">
        <v>21715</v>
      </c>
      <c r="D11706" t="s">
        <v>21716</v>
      </c>
      <c r="E11706" t="str">
        <f>HYPERLINK("https://patents.google.com/patent/DE10205080A1/en")</f>
        <v>https://patents.google.com/patent/DE10205080A1/en</v>
      </c>
    </row>
    <row r="11707" spans="3:5" x14ac:dyDescent="0.25">
      <c r="C11707" t="s">
        <v>21717</v>
      </c>
      <c r="D11707" t="s">
        <v>21718</v>
      </c>
      <c r="E11707" t="str">
        <f>HYPERLINK("https://patents.google.com/patent/JP2006215883A/en")</f>
        <v>https://patents.google.com/patent/JP2006215883A/en</v>
      </c>
    </row>
    <row r="11708" spans="3:5" x14ac:dyDescent="0.25">
      <c r="C11708" t="s">
        <v>21719</v>
      </c>
      <c r="D11708" t="s">
        <v>21720</v>
      </c>
      <c r="E11708" t="str">
        <f>HYPERLINK("https://patents.google.com/patent/WO2012134027A1/en")</f>
        <v>https://patents.google.com/patent/WO2012134027A1/en</v>
      </c>
    </row>
    <row r="11709" spans="3:5" x14ac:dyDescent="0.25">
      <c r="C11709" t="s">
        <v>21721</v>
      </c>
      <c r="D11709" t="s">
        <v>21722</v>
      </c>
      <c r="E11709" t="str">
        <f>HYPERLINK("https://patents.google.com/patent/KR20110010666A/en")</f>
        <v>https://patents.google.com/patent/KR20110010666A/en</v>
      </c>
    </row>
    <row r="11710" spans="3:5" x14ac:dyDescent="0.25">
      <c r="C11710" t="s">
        <v>21723</v>
      </c>
      <c r="D11710" t="s">
        <v>21724</v>
      </c>
      <c r="E11710" t="str">
        <f>HYPERLINK("https://patents.google.com/patent/CN1983339A/en")</f>
        <v>https://patents.google.com/patent/CN1983339A/en</v>
      </c>
    </row>
    <row r="11711" spans="3:5" x14ac:dyDescent="0.25">
      <c r="C11711" t="s">
        <v>21725</v>
      </c>
      <c r="D11711" t="s">
        <v>21726</v>
      </c>
      <c r="E11711" t="str">
        <f>HYPERLINK("https://patents.google.com/patent/KR100312793B1/en")</f>
        <v>https://patents.google.com/patent/KR100312793B1/en</v>
      </c>
    </row>
    <row r="11712" spans="3:5" x14ac:dyDescent="0.25">
      <c r="C11712" t="s">
        <v>21727</v>
      </c>
      <c r="D11712" t="s">
        <v>21728</v>
      </c>
      <c r="E11712" t="str">
        <f>HYPERLINK("https://patents.google.com/patent/CN1964226A/en")</f>
        <v>https://patents.google.com/patent/CN1964226A/en</v>
      </c>
    </row>
    <row r="11713" spans="3:5" x14ac:dyDescent="0.25">
      <c r="C11713" t="s">
        <v>19938</v>
      </c>
      <c r="D11713" t="s">
        <v>21729</v>
      </c>
      <c r="E11713" t="str">
        <f>HYPERLINK("https://patents.google.com/patent/US8863212B2/en")</f>
        <v>https://patents.google.com/patent/US8863212B2/en</v>
      </c>
    </row>
    <row r="11714" spans="3:5" x14ac:dyDescent="0.25">
      <c r="C11714" t="s">
        <v>21730</v>
      </c>
      <c r="D11714" t="s">
        <v>21731</v>
      </c>
      <c r="E11714" t="str">
        <f>HYPERLINK("https://patents.google.com/patent/CN104902099A/en")</f>
        <v>https://patents.google.com/patent/CN104902099A/en</v>
      </c>
    </row>
    <row r="11715" spans="3:5" x14ac:dyDescent="0.25">
      <c r="C11715" t="s">
        <v>21732</v>
      </c>
      <c r="D11715" t="s">
        <v>21733</v>
      </c>
      <c r="E11715" t="str">
        <f>HYPERLINK("https://patents.google.com/patent/CN201118893Y/en")</f>
        <v>https://patents.google.com/patent/CN201118893Y/en</v>
      </c>
    </row>
    <row r="11716" spans="3:5" x14ac:dyDescent="0.25">
      <c r="C11716" t="s">
        <v>21734</v>
      </c>
      <c r="D11716" t="s">
        <v>21735</v>
      </c>
      <c r="E11716" t="str">
        <f>HYPERLINK("https://patents.google.com/patent/CN205666037U/en")</f>
        <v>https://patents.google.com/patent/CN205666037U/en</v>
      </c>
    </row>
    <row r="11717" spans="3:5" x14ac:dyDescent="0.25">
      <c r="C11717" t="s">
        <v>21736</v>
      </c>
      <c r="D11717" t="s">
        <v>21737</v>
      </c>
      <c r="E11717" t="str">
        <f>HYPERLINK("https://patents.google.com/patent/KR20040090498A/en")</f>
        <v>https://patents.google.com/patent/KR20040090498A/en</v>
      </c>
    </row>
    <row r="11718" spans="3:5" x14ac:dyDescent="0.25">
      <c r="C11718" t="s">
        <v>21738</v>
      </c>
      <c r="D11718" t="s">
        <v>21739</v>
      </c>
      <c r="E11718" t="str">
        <f>HYPERLINK("https://patents.google.com/patent/CN107305571A/en")</f>
        <v>https://patents.google.com/patent/CN107305571A/en</v>
      </c>
    </row>
    <row r="11719" spans="3:5" x14ac:dyDescent="0.25">
      <c r="C11719" t="s">
        <v>21740</v>
      </c>
      <c r="D11719" t="s">
        <v>21741</v>
      </c>
      <c r="E11719" t="str">
        <f>HYPERLINK("https://patents.google.com/patent/CN202815227U/en")</f>
        <v>https://patents.google.com/patent/CN202815227U/en</v>
      </c>
    </row>
    <row r="11720" spans="3:5" x14ac:dyDescent="0.25">
      <c r="C11720" t="s">
        <v>21742</v>
      </c>
      <c r="D11720" t="s">
        <v>21743</v>
      </c>
      <c r="E11720" t="str">
        <f>HYPERLINK("https://patents.google.com/patent/CN204260072U/en")</f>
        <v>https://patents.google.com/patent/CN204260072U/en</v>
      </c>
    </row>
    <row r="11721" spans="3:5" x14ac:dyDescent="0.25">
      <c r="C11721" t="s">
        <v>21744</v>
      </c>
      <c r="D11721" t="s">
        <v>21745</v>
      </c>
      <c r="E11721" t="str">
        <f>HYPERLINK("https://patents.google.com/patent/CN201691288U/en")</f>
        <v>https://patents.google.com/patent/CN201691288U/en</v>
      </c>
    </row>
    <row r="11722" spans="3:5" x14ac:dyDescent="0.25">
      <c r="C11722" t="s">
        <v>21746</v>
      </c>
      <c r="D11722" t="s">
        <v>21747</v>
      </c>
      <c r="E11722" t="str">
        <f>HYPERLINK("https://patents.google.com/patent/CN105717919B/en")</f>
        <v>https://patents.google.com/patent/CN105717919B/en</v>
      </c>
    </row>
    <row r="11723" spans="3:5" x14ac:dyDescent="0.25">
      <c r="C11723" t="s">
        <v>21748</v>
      </c>
      <c r="D11723" t="s">
        <v>21749</v>
      </c>
      <c r="E11723" t="str">
        <f>HYPERLINK("https://patents.google.com/patent/CN104933642A/en")</f>
        <v>https://patents.google.com/patent/CN104933642A/en</v>
      </c>
    </row>
    <row r="11724" spans="3:5" x14ac:dyDescent="0.25">
      <c r="C11724" t="s">
        <v>21750</v>
      </c>
      <c r="D11724" t="s">
        <v>21751</v>
      </c>
      <c r="E11724" t="str">
        <f>HYPERLINK("https://patents.google.com/patent/CN105761650B/en")</f>
        <v>https://patents.google.com/patent/CN105761650B/en</v>
      </c>
    </row>
    <row r="11725" spans="3:5" x14ac:dyDescent="0.25">
      <c r="C11725" t="s">
        <v>21752</v>
      </c>
      <c r="D11725" t="s">
        <v>21753</v>
      </c>
      <c r="E11725" t="str">
        <f>HYPERLINK("https://patents.google.com/patent/CN203054874U/en")</f>
        <v>https://patents.google.com/patent/CN203054874U/en</v>
      </c>
    </row>
    <row r="11726" spans="3:5" x14ac:dyDescent="0.25">
      <c r="C11726" t="s">
        <v>21754</v>
      </c>
      <c r="D11726" t="s">
        <v>21755</v>
      </c>
      <c r="E11726" t="str">
        <f>HYPERLINK("https://patents.google.com/patent/JP2005149430A/en")</f>
        <v>https://patents.google.com/patent/JP2005149430A/en</v>
      </c>
    </row>
    <row r="11727" spans="3:5" x14ac:dyDescent="0.25">
      <c r="C11727" t="s">
        <v>21756</v>
      </c>
      <c r="D11727" t="s">
        <v>21757</v>
      </c>
      <c r="E11727" t="str">
        <f>HYPERLINK("https://patents.google.com/patent/KR100708526B1/en")</f>
        <v>https://patents.google.com/patent/KR100708526B1/en</v>
      </c>
    </row>
    <row r="11728" spans="3:5" x14ac:dyDescent="0.25">
      <c r="C11728" t="s">
        <v>21758</v>
      </c>
      <c r="D11728" t="s">
        <v>21759</v>
      </c>
      <c r="E11728" t="str">
        <f>HYPERLINK("https://patents.google.com/patent/US20080319773A1/en")</f>
        <v>https://patents.google.com/patent/US20080319773A1/en</v>
      </c>
    </row>
    <row r="11729" spans="3:5" x14ac:dyDescent="0.25">
      <c r="C11729" t="s">
        <v>21760</v>
      </c>
      <c r="D11729" t="s">
        <v>21761</v>
      </c>
      <c r="E11729" t="str">
        <f>HYPERLINK("https://patents.google.com/patent/CN104598650A/en")</f>
        <v>https://patents.google.com/patent/CN104598650A/en</v>
      </c>
    </row>
    <row r="11730" spans="3:5" x14ac:dyDescent="0.25">
      <c r="C11730" t="s">
        <v>21762</v>
      </c>
      <c r="D11730" t="s">
        <v>21763</v>
      </c>
      <c r="E11730" t="str">
        <f>HYPERLINK("https://patents.google.com/patent/KR101376790B1/en")</f>
        <v>https://patents.google.com/patent/KR101376790B1/en</v>
      </c>
    </row>
    <row r="11731" spans="3:5" x14ac:dyDescent="0.25">
      <c r="C11731" t="s">
        <v>21764</v>
      </c>
      <c r="D11731" t="s">
        <v>21765</v>
      </c>
      <c r="E11731" t="str">
        <f>HYPERLINK("https://patents.google.com/patent/US20110282718A1/en")</f>
        <v>https://patents.google.com/patent/US20110282718A1/en</v>
      </c>
    </row>
    <row r="11732" spans="3:5" x14ac:dyDescent="0.25">
      <c r="C11732" t="s">
        <v>21766</v>
      </c>
      <c r="D11732" t="s">
        <v>21767</v>
      </c>
      <c r="E11732" t="str">
        <f>HYPERLINK("https://patents.google.com/patent/CN201854435U/en")</f>
        <v>https://patents.google.com/patent/CN201854435U/en</v>
      </c>
    </row>
    <row r="11733" spans="3:5" x14ac:dyDescent="0.25">
      <c r="C11733" t="s">
        <v>21616</v>
      </c>
      <c r="D11733" t="s">
        <v>21768</v>
      </c>
      <c r="E11733" t="str">
        <f>HYPERLINK("https://patents.google.com/patent/CN206040172U/en")</f>
        <v>https://patents.google.com/patent/CN206040172U/en</v>
      </c>
    </row>
    <row r="11734" spans="3:5" x14ac:dyDescent="0.25">
      <c r="C11734" t="s">
        <v>21769</v>
      </c>
      <c r="D11734" t="s">
        <v>21770</v>
      </c>
      <c r="E11734" t="str">
        <f>HYPERLINK("https://patents.google.com/patent/DE19935564A1/en")</f>
        <v>https://patents.google.com/patent/DE19935564A1/en</v>
      </c>
    </row>
    <row r="11735" spans="3:5" x14ac:dyDescent="0.25">
      <c r="C11735" t="s">
        <v>21771</v>
      </c>
      <c r="D11735" t="s">
        <v>21772</v>
      </c>
      <c r="E11735" t="str">
        <f>HYPERLINK("https://patents.google.com/patent/CN101478720A/en")</f>
        <v>https://patents.google.com/patent/CN101478720A/en</v>
      </c>
    </row>
    <row r="11736" spans="3:5" x14ac:dyDescent="0.25">
      <c r="C11736" t="s">
        <v>21773</v>
      </c>
      <c r="D11736" t="s">
        <v>21774</v>
      </c>
      <c r="E11736" t="str">
        <f>HYPERLINK("https://patents.google.com/patent/JP2003030287A/en")</f>
        <v>https://patents.google.com/patent/JP2003030287A/en</v>
      </c>
    </row>
    <row r="11737" spans="3:5" x14ac:dyDescent="0.25">
      <c r="C11737" t="s">
        <v>21775</v>
      </c>
      <c r="D11737" t="s">
        <v>21776</v>
      </c>
      <c r="E11737" t="str">
        <f>HYPERLINK("https://patents.google.com/patent/US7598928B1/en")</f>
        <v>https://patents.google.com/patent/US7598928B1/en</v>
      </c>
    </row>
    <row r="11738" spans="3:5" x14ac:dyDescent="0.25">
      <c r="C11738" t="s">
        <v>21777</v>
      </c>
      <c r="D11738" t="s">
        <v>21778</v>
      </c>
      <c r="E11738" t="str">
        <f>HYPERLINK("https://patents.google.com/patent/WO2006106303A1/en")</f>
        <v>https://patents.google.com/patent/WO2006106303A1/en</v>
      </c>
    </row>
    <row r="11739" spans="3:5" x14ac:dyDescent="0.25">
      <c r="C11739" t="s">
        <v>19481</v>
      </c>
      <c r="D11739" t="s">
        <v>21779</v>
      </c>
      <c r="E11739" t="str">
        <f>HYPERLINK("https://patents.google.com/patent/US20070043651A1/en")</f>
        <v>https://patents.google.com/patent/US20070043651A1/en</v>
      </c>
    </row>
    <row r="11740" spans="3:5" x14ac:dyDescent="0.25">
      <c r="C11740" t="s">
        <v>21780</v>
      </c>
      <c r="D11740" t="s">
        <v>21781</v>
      </c>
      <c r="E11740" t="str">
        <f>HYPERLINK("https://patents.google.com/patent/US20150127486A1/en")</f>
        <v>https://patents.google.com/patent/US20150127486A1/en</v>
      </c>
    </row>
    <row r="11741" spans="3:5" x14ac:dyDescent="0.25">
      <c r="C11741" t="s">
        <v>21782</v>
      </c>
      <c r="D11741" t="s">
        <v>21783</v>
      </c>
      <c r="E11741" t="str">
        <f>HYPERLINK("https://patents.google.com/patent/JP2002245131A/en")</f>
        <v>https://patents.google.com/patent/JP2002245131A/en</v>
      </c>
    </row>
    <row r="11742" spans="3:5" x14ac:dyDescent="0.25">
      <c r="C11742" t="s">
        <v>21784</v>
      </c>
      <c r="D11742" t="s">
        <v>21785</v>
      </c>
      <c r="E11742" t="str">
        <f>HYPERLINK("https://patents.google.com/patent/CN201438764U/en")</f>
        <v>https://patents.google.com/patent/CN201438764U/en</v>
      </c>
    </row>
    <row r="11743" spans="3:5" x14ac:dyDescent="0.25">
      <c r="C11743" t="s">
        <v>21786</v>
      </c>
      <c r="D11743" t="s">
        <v>21787</v>
      </c>
      <c r="E11743" t="str">
        <f>HYPERLINK("https://patents.google.com/patent/CN2896388Y/en")</f>
        <v>https://patents.google.com/patent/CN2896388Y/en</v>
      </c>
    </row>
    <row r="11744" spans="3:5" x14ac:dyDescent="0.25">
      <c r="C11744" t="s">
        <v>21788</v>
      </c>
      <c r="D11744" t="s">
        <v>21789</v>
      </c>
      <c r="E11744" t="str">
        <f>HYPERLINK("https://patents.google.com/patent/US6554707B1/en")</f>
        <v>https://patents.google.com/patent/US6554707B1/en</v>
      </c>
    </row>
    <row r="11745" spans="3:5" x14ac:dyDescent="0.25">
      <c r="C11745" t="s">
        <v>21790</v>
      </c>
      <c r="D11745" t="s">
        <v>21791</v>
      </c>
      <c r="E11745" t="str">
        <f>HYPERLINK("https://patents.google.com/patent/CN101247170A/en")</f>
        <v>https://patents.google.com/patent/CN101247170A/en</v>
      </c>
    </row>
    <row r="11746" spans="3:5" x14ac:dyDescent="0.25">
      <c r="C11746" t="s">
        <v>21792</v>
      </c>
      <c r="D11746" t="s">
        <v>21793</v>
      </c>
      <c r="E11746" t="str">
        <f>HYPERLINK("https://patents.google.com/patent/CN1866240A/en")</f>
        <v>https://patents.google.com/patent/CN1866240A/en</v>
      </c>
    </row>
    <row r="11747" spans="3:5" x14ac:dyDescent="0.25">
      <c r="C11747" t="s">
        <v>21794</v>
      </c>
      <c r="D11747" t="s">
        <v>21795</v>
      </c>
      <c r="E11747" t="str">
        <f>HYPERLINK("https://patents.google.com/patent/CN1912898A/en")</f>
        <v>https://patents.google.com/patent/CN1912898A/en</v>
      </c>
    </row>
    <row r="11748" spans="3:5" x14ac:dyDescent="0.25">
      <c r="C11748" t="s">
        <v>21796</v>
      </c>
      <c r="D11748" t="s">
        <v>21797</v>
      </c>
      <c r="E11748" t="str">
        <f>HYPERLINK("https://patents.google.com/patent/DE19520754A1/en")</f>
        <v>https://patents.google.com/patent/DE19520754A1/en</v>
      </c>
    </row>
    <row r="11749" spans="3:5" x14ac:dyDescent="0.25">
      <c r="C11749" t="s">
        <v>21050</v>
      </c>
      <c r="D11749" t="s">
        <v>21798</v>
      </c>
      <c r="E11749" t="str">
        <f>HYPERLINK("https://patents.google.com/patent/US8666361B2/en")</f>
        <v>https://patents.google.com/patent/US8666361B2/en</v>
      </c>
    </row>
    <row r="11750" spans="3:5" x14ac:dyDescent="0.25">
      <c r="C11750" t="s">
        <v>21799</v>
      </c>
      <c r="D11750" t="s">
        <v>21800</v>
      </c>
      <c r="E11750" t="str">
        <f>HYPERLINK("https://patents.google.com/patent/JP2003016279A/en")</f>
        <v>https://patents.google.com/patent/JP2003016279A/en</v>
      </c>
    </row>
    <row r="11751" spans="3:5" x14ac:dyDescent="0.25">
      <c r="C11751" t="s">
        <v>21801</v>
      </c>
      <c r="D11751" t="s">
        <v>21802</v>
      </c>
      <c r="E11751" t="str">
        <f>HYPERLINK("https://patents.google.com/patent/CN205406063U/en")</f>
        <v>https://patents.google.com/patent/CN205406063U/en</v>
      </c>
    </row>
    <row r="11752" spans="3:5" x14ac:dyDescent="0.25">
      <c r="C11752" t="s">
        <v>21803</v>
      </c>
      <c r="D11752" t="s">
        <v>21804</v>
      </c>
      <c r="E11752" t="str">
        <f>HYPERLINK("https://patents.google.com/patent/JP2002259612A/en")</f>
        <v>https://patents.google.com/patent/JP2002259612A/en</v>
      </c>
    </row>
    <row r="11753" spans="3:5" x14ac:dyDescent="0.25">
      <c r="C11753" t="s">
        <v>21805</v>
      </c>
      <c r="D11753" t="s">
        <v>21806</v>
      </c>
      <c r="E11753" t="str">
        <f>HYPERLINK("https://patents.google.com/patent/JP2010039710A/en")</f>
        <v>https://patents.google.com/patent/JP2010039710A/en</v>
      </c>
    </row>
    <row r="11754" spans="3:5" x14ac:dyDescent="0.25">
      <c r="C11754" t="s">
        <v>21050</v>
      </c>
      <c r="D11754" t="s">
        <v>21807</v>
      </c>
      <c r="E11754" t="str">
        <f>HYPERLINK("https://patents.google.com/patent/WO2007118331A1/en")</f>
        <v>https://patents.google.com/patent/WO2007118331A1/en</v>
      </c>
    </row>
    <row r="11755" spans="3:5" x14ac:dyDescent="0.25">
      <c r="C11755" t="s">
        <v>21808</v>
      </c>
      <c r="D11755" t="s">
        <v>21809</v>
      </c>
      <c r="E11755" t="str">
        <f>HYPERLINK("https://patents.google.com/patent/US20130083008A1/en")</f>
        <v>https://patents.google.com/patent/US20130083008A1/en</v>
      </c>
    </row>
    <row r="11756" spans="3:5" x14ac:dyDescent="0.25">
      <c r="C11756" t="s">
        <v>21810</v>
      </c>
      <c r="D11756" t="s">
        <v>21811</v>
      </c>
      <c r="E11756" t="str">
        <f>HYPERLINK("https://patents.google.com/patent/US7962284B2/en")</f>
        <v>https://patents.google.com/patent/US7962284B2/en</v>
      </c>
    </row>
    <row r="11757" spans="3:5" x14ac:dyDescent="0.25">
      <c r="C11757" t="s">
        <v>8162</v>
      </c>
      <c r="D11757" t="s">
        <v>21812</v>
      </c>
      <c r="E11757" t="str">
        <f>HYPERLINK("https://patents.google.com/patent/US20150172262A1/en")</f>
        <v>https://patents.google.com/patent/US20150172262A1/en</v>
      </c>
    </row>
    <row r="11758" spans="3:5" x14ac:dyDescent="0.25">
      <c r="C11758" t="s">
        <v>21813</v>
      </c>
      <c r="D11758" t="s">
        <v>21814</v>
      </c>
      <c r="E11758" t="str">
        <f>HYPERLINK("https://patents.google.com/patent/CN202694751U/en")</f>
        <v>https://patents.google.com/patent/CN202694751U/en</v>
      </c>
    </row>
    <row r="11759" spans="3:5" x14ac:dyDescent="0.25">
      <c r="C11759" t="s">
        <v>21815</v>
      </c>
      <c r="D11759" t="s">
        <v>21816</v>
      </c>
      <c r="E11759" t="str">
        <f>HYPERLINK("https://patents.google.com/patent/CN101807288A/en")</f>
        <v>https://patents.google.com/patent/CN101807288A/en</v>
      </c>
    </row>
    <row r="11760" spans="3:5" x14ac:dyDescent="0.25">
      <c r="C11760" t="s">
        <v>18874</v>
      </c>
      <c r="D11760" t="s">
        <v>21817</v>
      </c>
      <c r="E11760" t="str">
        <f>HYPERLINK("https://patents.google.com/patent/US20040097226A1/en")</f>
        <v>https://patents.google.com/patent/US20040097226A1/en</v>
      </c>
    </row>
    <row r="11761" spans="3:5" x14ac:dyDescent="0.25">
      <c r="C11761" t="s">
        <v>21818</v>
      </c>
      <c r="D11761" t="s">
        <v>21819</v>
      </c>
      <c r="E11761" t="str">
        <f>HYPERLINK("https://patents.google.com/patent/US20080005225A1/en")</f>
        <v>https://patents.google.com/patent/US20080005225A1/en</v>
      </c>
    </row>
    <row r="11762" spans="3:5" x14ac:dyDescent="0.25">
      <c r="C11762" t="s">
        <v>21820</v>
      </c>
      <c r="D11762" t="s">
        <v>21821</v>
      </c>
      <c r="E11762" t="str">
        <f>HYPERLINK("https://patents.google.com/patent/CN1851761A/en")</f>
        <v>https://patents.google.com/patent/CN1851761A/en</v>
      </c>
    </row>
    <row r="11763" spans="3:5" x14ac:dyDescent="0.25">
      <c r="C11763" t="s">
        <v>21822</v>
      </c>
      <c r="D11763" t="s">
        <v>21823</v>
      </c>
      <c r="E11763" t="str">
        <f>HYPERLINK("https://patents.google.com/patent/CN102904921A/en")</f>
        <v>https://patents.google.com/patent/CN102904921A/en</v>
      </c>
    </row>
    <row r="11764" spans="3:5" x14ac:dyDescent="0.25">
      <c r="C11764" t="s">
        <v>21824</v>
      </c>
      <c r="D11764" t="s">
        <v>21825</v>
      </c>
      <c r="E11764" t="str">
        <f>HYPERLINK("https://patents.google.com/patent/CN204288752U/en")</f>
        <v>https://patents.google.com/patent/CN204288752U/en</v>
      </c>
    </row>
    <row r="11765" spans="3:5" x14ac:dyDescent="0.25">
      <c r="C11765" t="s">
        <v>21826</v>
      </c>
      <c r="D11765" t="s">
        <v>21827</v>
      </c>
      <c r="E11765" t="str">
        <f>HYPERLINK("https://patents.google.com/patent/CN200994155Y/en")</f>
        <v>https://patents.google.com/patent/CN200994155Y/en</v>
      </c>
    </row>
    <row r="11766" spans="3:5" x14ac:dyDescent="0.25">
      <c r="C11766" t="s">
        <v>21828</v>
      </c>
      <c r="D11766" t="s">
        <v>21829</v>
      </c>
      <c r="E11766" t="str">
        <f>HYPERLINK("https://patents.google.com/patent/US6266614B1/en")</f>
        <v>https://patents.google.com/patent/US6266614B1/en</v>
      </c>
    </row>
    <row r="11767" spans="3:5" x14ac:dyDescent="0.25">
      <c r="C11767" t="s">
        <v>21830</v>
      </c>
      <c r="D11767" t="s">
        <v>21831</v>
      </c>
      <c r="E11767" t="str">
        <f>HYPERLINK("https://patents.google.com/patent/US7194454B2/en")</f>
        <v>https://patents.google.com/patent/US7194454B2/en</v>
      </c>
    </row>
    <row r="11768" spans="3:5" x14ac:dyDescent="0.25">
      <c r="C11768" t="s">
        <v>21832</v>
      </c>
      <c r="D11768" t="s">
        <v>21833</v>
      </c>
      <c r="E11768" t="str">
        <f>HYPERLINK("https://patents.google.com/patent/US7576916B2/en")</f>
        <v>https://patents.google.com/patent/US7576916B2/en</v>
      </c>
    </row>
    <row r="11769" spans="3:5" x14ac:dyDescent="0.25">
      <c r="C11769" t="s">
        <v>21834</v>
      </c>
      <c r="D11769" t="s">
        <v>21835</v>
      </c>
      <c r="E11769" t="str">
        <f>HYPERLINK("https://patents.google.com/patent/US5717392A/en")</f>
        <v>https://patents.google.com/patent/US5717392A/en</v>
      </c>
    </row>
    <row r="11770" spans="3:5" x14ac:dyDescent="0.25">
      <c r="C11770" t="s">
        <v>21836</v>
      </c>
      <c r="D11770" t="s">
        <v>21837</v>
      </c>
      <c r="E11770" t="str">
        <f>HYPERLINK("https://patents.google.com/patent/US6697649B1/en")</f>
        <v>https://patents.google.com/patent/US6697649B1/en</v>
      </c>
    </row>
    <row r="11771" spans="3:5" x14ac:dyDescent="0.25">
      <c r="C11771" t="s">
        <v>21838</v>
      </c>
      <c r="D11771" t="s">
        <v>21839</v>
      </c>
      <c r="E11771" t="str">
        <f>HYPERLINK("https://patents.google.com/patent/US7467356B2/en")</f>
        <v>https://patents.google.com/patent/US7467356B2/en</v>
      </c>
    </row>
    <row r="11772" spans="3:5" x14ac:dyDescent="0.25">
      <c r="C11772" t="s">
        <v>21840</v>
      </c>
      <c r="D11772" t="s">
        <v>21841</v>
      </c>
      <c r="E11772" t="str">
        <f>HYPERLINK("https://patents.google.com/patent/US7457628B2/en")</f>
        <v>https://patents.google.com/patent/US7457628B2/en</v>
      </c>
    </row>
    <row r="11773" spans="3:5" x14ac:dyDescent="0.25">
      <c r="C11773" t="s">
        <v>21842</v>
      </c>
      <c r="D11773" t="s">
        <v>21843</v>
      </c>
      <c r="E11773" t="str">
        <f>HYPERLINK("https://patents.google.com/patent/KR20100004406A/en")</f>
        <v>https://patents.google.com/patent/KR20100004406A/en</v>
      </c>
    </row>
    <row r="11774" spans="3:5" x14ac:dyDescent="0.25">
      <c r="C11774" t="s">
        <v>21844</v>
      </c>
      <c r="D11774" t="s">
        <v>21845</v>
      </c>
      <c r="E11774" t="str">
        <f>HYPERLINK("https://patents.google.com/patent/CN202907185U/en")</f>
        <v>https://patents.google.com/patent/CN202907185U/en</v>
      </c>
    </row>
    <row r="11775" spans="3:5" x14ac:dyDescent="0.25">
      <c r="C11775" t="s">
        <v>21846</v>
      </c>
      <c r="D11775" t="s">
        <v>21847</v>
      </c>
      <c r="E11775" t="str">
        <f>HYPERLINK("https://patents.google.com/patent/US6046689A/en")</f>
        <v>https://patents.google.com/patent/US6046689A/en</v>
      </c>
    </row>
    <row r="11776" spans="3:5" x14ac:dyDescent="0.25">
      <c r="C11776" t="s">
        <v>21848</v>
      </c>
      <c r="D11776" t="s">
        <v>21849</v>
      </c>
      <c r="E11776" t="str">
        <f>HYPERLINK("https://patents.google.com/patent/US10068299B1/en")</f>
        <v>https://patents.google.com/patent/US10068299B1/en</v>
      </c>
    </row>
    <row r="11777" spans="3:5" x14ac:dyDescent="0.25">
      <c r="C11777" t="s">
        <v>21850</v>
      </c>
      <c r="D11777" t="s">
        <v>21851</v>
      </c>
      <c r="E11777" t="str">
        <f>HYPERLINK("https://patents.google.com/patent/KR100817406B1/en")</f>
        <v>https://patents.google.com/patent/KR100817406B1/en</v>
      </c>
    </row>
    <row r="11778" spans="3:5" x14ac:dyDescent="0.25">
      <c r="C11778" t="s">
        <v>21852</v>
      </c>
      <c r="D11778" t="s">
        <v>21853</v>
      </c>
      <c r="E11778" t="str">
        <f>HYPERLINK("https://patents.google.com/patent/KR20100013038A/en")</f>
        <v>https://patents.google.com/patent/KR20100013038A/en</v>
      </c>
    </row>
    <row r="11779" spans="3:5" x14ac:dyDescent="0.25">
      <c r="C11779" t="s">
        <v>21854</v>
      </c>
      <c r="D11779" t="s">
        <v>21855</v>
      </c>
      <c r="E11779" t="str">
        <f>HYPERLINK("https://patents.google.com/patent/CN103186922A/en")</f>
        <v>https://patents.google.com/patent/CN103186922A/en</v>
      </c>
    </row>
    <row r="11780" spans="3:5" x14ac:dyDescent="0.25">
      <c r="C11780" t="s">
        <v>21856</v>
      </c>
      <c r="D11780" t="s">
        <v>21857</v>
      </c>
      <c r="E11780" t="str">
        <f>HYPERLINK("https://patents.google.com/patent/US20140344681A1/en")</f>
        <v>https://patents.google.com/patent/US20140344681A1/en</v>
      </c>
    </row>
    <row r="11781" spans="3:5" x14ac:dyDescent="0.25">
      <c r="C11781" t="s">
        <v>21858</v>
      </c>
      <c r="D11781" t="s">
        <v>21859</v>
      </c>
      <c r="E11781" t="str">
        <f>HYPERLINK("https://patents.google.com/patent/KR20020001369A/en")</f>
        <v>https://patents.google.com/patent/KR20020001369A/en</v>
      </c>
    </row>
    <row r="11782" spans="3:5" x14ac:dyDescent="0.25">
      <c r="C11782" t="s">
        <v>8162</v>
      </c>
      <c r="D11782" t="s">
        <v>21860</v>
      </c>
      <c r="E11782" t="str">
        <f>HYPERLINK("https://patents.google.com/patent/US20150169284A1/en")</f>
        <v>https://patents.google.com/patent/US20150169284A1/en</v>
      </c>
    </row>
    <row r="11783" spans="3:5" x14ac:dyDescent="0.25">
      <c r="C11783" t="s">
        <v>21861</v>
      </c>
      <c r="D11783" t="s">
        <v>21862</v>
      </c>
      <c r="E11783" t="str">
        <f>HYPERLINK("https://patents.google.com/patent/US20100171027A1/en")</f>
        <v>https://patents.google.com/patent/US20100171027A1/en</v>
      </c>
    </row>
    <row r="11784" spans="3:5" x14ac:dyDescent="0.25">
      <c r="C11784" t="s">
        <v>21863</v>
      </c>
      <c r="D11784" t="s">
        <v>21864</v>
      </c>
      <c r="E11784" t="str">
        <f>HYPERLINK("https://patents.google.com/patent/KR100738194B1/en")</f>
        <v>https://patents.google.com/patent/KR100738194B1/en</v>
      </c>
    </row>
    <row r="11785" spans="3:5" x14ac:dyDescent="0.25">
      <c r="C11785" t="s">
        <v>21865</v>
      </c>
      <c r="D11785" t="s">
        <v>21866</v>
      </c>
      <c r="E11785" t="str">
        <f>HYPERLINK("https://patents.google.com/patent/CN204066190U/en")</f>
        <v>https://patents.google.com/patent/CN204066190U/en</v>
      </c>
    </row>
    <row r="11786" spans="3:5" x14ac:dyDescent="0.25">
      <c r="C11786" t="s">
        <v>21867</v>
      </c>
      <c r="D11786" t="s">
        <v>21868</v>
      </c>
      <c r="E11786" t="str">
        <f>HYPERLINK("https://patents.google.com/patent/CN101527020A/en")</f>
        <v>https://patents.google.com/patent/CN101527020A/en</v>
      </c>
    </row>
    <row r="11787" spans="3:5" x14ac:dyDescent="0.25">
      <c r="C11787" t="s">
        <v>21869</v>
      </c>
      <c r="D11787" t="s">
        <v>21870</v>
      </c>
      <c r="E11787" t="str">
        <f>HYPERLINK("https://patents.google.com/patent/KR20020005236A/en")</f>
        <v>https://patents.google.com/patent/KR20020005236A/en</v>
      </c>
    </row>
    <row r="11788" spans="3:5" x14ac:dyDescent="0.25">
      <c r="C11788" t="s">
        <v>21871</v>
      </c>
      <c r="D11788" t="s">
        <v>21872</v>
      </c>
      <c r="E11788" t="str">
        <f>HYPERLINK("https://patents.google.com/patent/US20030110216A1/en")</f>
        <v>https://patents.google.com/patent/US20030110216A1/en</v>
      </c>
    </row>
    <row r="11789" spans="3:5" x14ac:dyDescent="0.25">
      <c r="C11789" t="s">
        <v>21873</v>
      </c>
      <c r="D11789" t="s">
        <v>21874</v>
      </c>
      <c r="E11789" t="str">
        <f>HYPERLINK("https://patents.google.com/patent/US20120136566A1/en")</f>
        <v>https://patents.google.com/patent/US20120136566A1/en</v>
      </c>
    </row>
    <row r="11790" spans="3:5" x14ac:dyDescent="0.25">
      <c r="C11790" t="s">
        <v>21875</v>
      </c>
      <c r="D11790" t="s">
        <v>21876</v>
      </c>
      <c r="E11790" t="str">
        <f>HYPERLINK("https://patents.google.com/patent/US5121793A/en")</f>
        <v>https://patents.google.com/patent/US5121793A/en</v>
      </c>
    </row>
    <row r="11791" spans="3:5" x14ac:dyDescent="0.25">
      <c r="C11791" t="s">
        <v>21877</v>
      </c>
      <c r="D11791" t="s">
        <v>21878</v>
      </c>
      <c r="E11791" t="str">
        <f>HYPERLINK("https://patents.google.com/patent/US20150020170A1/en")</f>
        <v>https://patents.google.com/patent/US20150020170A1/en</v>
      </c>
    </row>
    <row r="11792" spans="3:5" x14ac:dyDescent="0.25">
      <c r="C11792" t="s">
        <v>21879</v>
      </c>
      <c r="D11792" t="s">
        <v>21880</v>
      </c>
      <c r="E11792" t="str">
        <f>HYPERLINK("https://patents.google.com/patent/US6456930B1/en")</f>
        <v>https://patents.google.com/patent/US6456930B1/en</v>
      </c>
    </row>
    <row r="11793" spans="3:5" x14ac:dyDescent="0.25">
      <c r="C11793" t="s">
        <v>21881</v>
      </c>
      <c r="D11793" t="s">
        <v>21882</v>
      </c>
      <c r="E11793" t="str">
        <f>HYPERLINK("https://patents.google.com/patent/US4541754A/en")</f>
        <v>https://patents.google.com/patent/US4541754A/en</v>
      </c>
    </row>
    <row r="11794" spans="3:5" x14ac:dyDescent="0.25">
      <c r="C11794" t="s">
        <v>21883</v>
      </c>
      <c r="D11794" t="s">
        <v>21884</v>
      </c>
      <c r="E11794" t="str">
        <f>HYPERLINK("https://patents.google.com/patent/US20080111832A1/en")</f>
        <v>https://patents.google.com/patent/US20080111832A1/en</v>
      </c>
    </row>
    <row r="11795" spans="3:5" x14ac:dyDescent="0.25">
      <c r="C11795" t="s">
        <v>21885</v>
      </c>
      <c r="D11795" t="s">
        <v>21886</v>
      </c>
      <c r="E11795" t="str">
        <f>HYPERLINK("https://patents.google.com/patent/US20050096840A1/en")</f>
        <v>https://patents.google.com/patent/US20050096840A1/en</v>
      </c>
    </row>
    <row r="11796" spans="3:5" x14ac:dyDescent="0.25">
      <c r="C11796" t="s">
        <v>21887</v>
      </c>
      <c r="D11796" t="s">
        <v>21888</v>
      </c>
      <c r="E11796" t="str">
        <f>HYPERLINK("https://patents.google.com/patent/US20080070588A1/en")</f>
        <v>https://patents.google.com/patent/US20080070588A1/en</v>
      </c>
    </row>
    <row r="11797" spans="3:5" x14ac:dyDescent="0.25">
      <c r="C11797" t="s">
        <v>21889</v>
      </c>
      <c r="D11797" t="s">
        <v>21890</v>
      </c>
      <c r="E11797" t="str">
        <f>HYPERLINK("https://patents.google.com/patent/US20060271277A1/en")</f>
        <v>https://patents.google.com/patent/US20060271277A1/en</v>
      </c>
    </row>
    <row r="11798" spans="3:5" x14ac:dyDescent="0.25">
      <c r="C11798" t="s">
        <v>21891</v>
      </c>
      <c r="D11798" t="s">
        <v>21892</v>
      </c>
      <c r="E11798" t="str">
        <f>HYPERLINK("https://patents.google.com/patent/US20070060328A1/en")</f>
        <v>https://patents.google.com/patent/US20070060328A1/en</v>
      </c>
    </row>
    <row r="11799" spans="3:5" x14ac:dyDescent="0.25">
      <c r="C11799" t="s">
        <v>21893</v>
      </c>
      <c r="D11799" t="s">
        <v>21894</v>
      </c>
      <c r="E11799" t="str">
        <f>HYPERLINK("https://patents.google.com/patent/US20130194164A1/en")</f>
        <v>https://patents.google.com/patent/US20130194164A1/en</v>
      </c>
    </row>
    <row r="11800" spans="3:5" x14ac:dyDescent="0.25">
      <c r="C11800" t="s">
        <v>21895</v>
      </c>
      <c r="D11800" t="s">
        <v>21896</v>
      </c>
      <c r="E11800" t="str">
        <f>HYPERLINK("https://patents.google.com/patent/US10029370B2/en")</f>
        <v>https://patents.google.com/patent/US10029370B2/en</v>
      </c>
    </row>
    <row r="11801" spans="3:5" x14ac:dyDescent="0.25">
      <c r="C11801" t="s">
        <v>21897</v>
      </c>
      <c r="D11801" t="s">
        <v>21898</v>
      </c>
      <c r="E11801" t="str">
        <f>HYPERLINK("https://patents.google.com/patent/JP2003269988A/en")</f>
        <v>https://patents.google.com/patent/JP2003269988A/en</v>
      </c>
    </row>
    <row r="11802" spans="3:5" x14ac:dyDescent="0.25">
      <c r="C11802" t="s">
        <v>21899</v>
      </c>
      <c r="D11802" t="s">
        <v>21900</v>
      </c>
      <c r="E11802" t="str">
        <f>HYPERLINK("https://patents.google.com/patent/US20100106607A1/en")</f>
        <v>https://patents.google.com/patent/US20100106607A1/en</v>
      </c>
    </row>
    <row r="11803" spans="3:5" x14ac:dyDescent="0.25">
      <c r="C11803" t="s">
        <v>21901</v>
      </c>
      <c r="D11803" t="s">
        <v>21902</v>
      </c>
      <c r="E11803" t="str">
        <f>HYPERLINK("https://patents.google.com/patent/US20020011951A1/en")</f>
        <v>https://patents.google.com/patent/US20020011951A1/en</v>
      </c>
    </row>
    <row r="11804" spans="3:5" x14ac:dyDescent="0.25">
      <c r="C11804" t="s">
        <v>21903</v>
      </c>
      <c r="D11804" t="s">
        <v>21904</v>
      </c>
      <c r="E11804" t="str">
        <f>HYPERLINK("https://patents.google.com/patent/US20120174039A1/en")</f>
        <v>https://patents.google.com/patent/US20120174039A1/en</v>
      </c>
    </row>
    <row r="11805" spans="3:5" x14ac:dyDescent="0.25">
      <c r="C11805" t="s">
        <v>21905</v>
      </c>
      <c r="D11805" t="s">
        <v>21906</v>
      </c>
      <c r="E11805" t="str">
        <f>HYPERLINK("https://patents.google.com/patent/US20080312819A1/en")</f>
        <v>https://patents.google.com/patent/US20080312819A1/en</v>
      </c>
    </row>
    <row r="11806" spans="3:5" x14ac:dyDescent="0.25">
      <c r="C11806" t="s">
        <v>21907</v>
      </c>
      <c r="D11806" t="s">
        <v>21908</v>
      </c>
      <c r="E11806" t="str">
        <f>HYPERLINK("https://patents.google.com/patent/US20050066358A1/en")</f>
        <v>https://patents.google.com/patent/US20050066358A1/en</v>
      </c>
    </row>
    <row r="11807" spans="3:5" x14ac:dyDescent="0.25">
      <c r="C11807" t="s">
        <v>21909</v>
      </c>
      <c r="D11807" t="s">
        <v>21910</v>
      </c>
      <c r="E11807" t="str">
        <f>HYPERLINK("https://patents.google.com/patent/US20070039024A1/en")</f>
        <v>https://patents.google.com/patent/US20070039024A1/en</v>
      </c>
    </row>
    <row r="11808" spans="3:5" x14ac:dyDescent="0.25">
      <c r="C11808" t="s">
        <v>21911</v>
      </c>
      <c r="D11808" t="s">
        <v>21912</v>
      </c>
      <c r="E11808" t="str">
        <f>HYPERLINK("https://patents.google.com/patent/JP2001311626A/en")</f>
        <v>https://patents.google.com/patent/JP2001311626A/en</v>
      </c>
    </row>
    <row r="11809" spans="3:5" x14ac:dyDescent="0.25">
      <c r="C11809" t="s">
        <v>21913</v>
      </c>
      <c r="D11809" t="s">
        <v>21914</v>
      </c>
      <c r="E11809" t="str">
        <f>HYPERLINK("https://patents.google.com/patent/US20100219240A1/en")</f>
        <v>https://patents.google.com/patent/US20100219240A1/en</v>
      </c>
    </row>
    <row r="11810" spans="3:5" x14ac:dyDescent="0.25">
      <c r="C11810" t="s">
        <v>21915</v>
      </c>
      <c r="D11810" t="s">
        <v>21916</v>
      </c>
      <c r="E11810" t="str">
        <f>HYPERLINK("https://patents.google.com/patent/US20090318224A1/en")</f>
        <v>https://patents.google.com/patent/US20090318224A1/en</v>
      </c>
    </row>
    <row r="11811" spans="3:5" x14ac:dyDescent="0.25">
      <c r="C11811" t="s">
        <v>21917</v>
      </c>
      <c r="D11811" t="s">
        <v>21918</v>
      </c>
      <c r="E11811" t="str">
        <f>HYPERLINK("https://patents.google.com/patent/US20010037365A1/en")</f>
        <v>https://patents.google.com/patent/US20010037365A1/en</v>
      </c>
    </row>
    <row r="11812" spans="3:5" x14ac:dyDescent="0.25">
      <c r="C11812" t="s">
        <v>21919</v>
      </c>
      <c r="D11812" t="s">
        <v>21920</v>
      </c>
      <c r="E11812" t="str">
        <f>HYPERLINK("https://patents.google.com/patent/CN1845495A/en")</f>
        <v>https://patents.google.com/patent/CN1845495A/en</v>
      </c>
    </row>
    <row r="11813" spans="3:5" x14ac:dyDescent="0.25">
      <c r="C11813" t="s">
        <v>21921</v>
      </c>
      <c r="D11813" t="s">
        <v>21922</v>
      </c>
      <c r="E11813" t="str">
        <f>HYPERLINK("https://patents.google.com/patent/CN202582553U/en")</f>
        <v>https://patents.google.com/patent/CN202582553U/en</v>
      </c>
    </row>
    <row r="11814" spans="3:5" x14ac:dyDescent="0.25">
      <c r="C11814" t="s">
        <v>21923</v>
      </c>
      <c r="D11814" t="s">
        <v>21924</v>
      </c>
      <c r="E11814" t="str">
        <f>HYPERLINK("https://patents.google.com/patent/US20050125405A1/en")</f>
        <v>https://patents.google.com/patent/US20050125405A1/en</v>
      </c>
    </row>
    <row r="11815" spans="3:5" x14ac:dyDescent="0.25">
      <c r="C11815" t="s">
        <v>21925</v>
      </c>
      <c r="D11815" t="s">
        <v>21926</v>
      </c>
      <c r="E11815" t="str">
        <f>HYPERLINK("https://patents.google.com/patent/US20010054134A1/en")</f>
        <v>https://patents.google.com/patent/US20010054134A1/en</v>
      </c>
    </row>
    <row r="11816" spans="3:5" x14ac:dyDescent="0.25">
      <c r="C11816" t="s">
        <v>21927</v>
      </c>
      <c r="D11816" t="s">
        <v>21928</v>
      </c>
      <c r="E11816" t="str">
        <f>HYPERLINK("https://patents.google.com/patent/US20140340286A1/en")</f>
        <v>https://patents.google.com/patent/US20140340286A1/en</v>
      </c>
    </row>
    <row r="11817" spans="3:5" x14ac:dyDescent="0.25">
      <c r="C11817" t="s">
        <v>21929</v>
      </c>
      <c r="D11817" t="s">
        <v>21930</v>
      </c>
      <c r="E11817" t="str">
        <f>HYPERLINK("https://patents.google.com/patent/US20080065396A1/en")</f>
        <v>https://patents.google.com/patent/US20080065396A1/en</v>
      </c>
    </row>
    <row r="11818" spans="3:5" x14ac:dyDescent="0.25">
      <c r="C11818" t="s">
        <v>19842</v>
      </c>
      <c r="D11818" t="s">
        <v>21931</v>
      </c>
      <c r="E11818" t="str">
        <f>HYPERLINK("https://patents.google.com/patent/US20080222535A1/en")</f>
        <v>https://patents.google.com/patent/US20080222535A1/en</v>
      </c>
    </row>
    <row r="11819" spans="3:5" x14ac:dyDescent="0.25">
      <c r="C11819" t="s">
        <v>21932</v>
      </c>
      <c r="D11819" t="s">
        <v>21933</v>
      </c>
      <c r="E11819" t="str">
        <f>HYPERLINK("https://patents.google.com/patent/US20080009349A1/en")</f>
        <v>https://patents.google.com/patent/US20080009349A1/en</v>
      </c>
    </row>
    <row r="11820" spans="3:5" x14ac:dyDescent="0.25">
      <c r="C11820" t="s">
        <v>21934</v>
      </c>
      <c r="D11820" t="s">
        <v>21935</v>
      </c>
      <c r="E11820" t="str">
        <f>HYPERLINK("https://patents.google.com/patent/EP1478134A1/en")</f>
        <v>https://patents.google.com/patent/EP1478134A1/en</v>
      </c>
    </row>
    <row r="11821" spans="3:5" x14ac:dyDescent="0.25">
      <c r="C11821" t="s">
        <v>8292</v>
      </c>
      <c r="D11821" t="s">
        <v>21936</v>
      </c>
      <c r="E11821" t="str">
        <f>HYPERLINK("https://patents.google.com/patent/KR20130000401A/en")</f>
        <v>https://patents.google.com/patent/KR20130000401A/en</v>
      </c>
    </row>
    <row r="11822" spans="3:5" x14ac:dyDescent="0.25">
      <c r="C11822" t="s">
        <v>21937</v>
      </c>
      <c r="D11822" t="s">
        <v>21938</v>
      </c>
      <c r="E11822" t="str">
        <f>HYPERLINK("https://patents.google.com/patent/CN102117471A/en")</f>
        <v>https://patents.google.com/patent/CN102117471A/en</v>
      </c>
    </row>
    <row r="11823" spans="3:5" x14ac:dyDescent="0.25">
      <c r="C11823" t="s">
        <v>21939</v>
      </c>
      <c r="D11823" t="s">
        <v>21940</v>
      </c>
      <c r="E11823" t="str">
        <f>HYPERLINK("https://patents.google.com/patent/US20110052009A1/en")</f>
        <v>https://patents.google.com/patent/US20110052009A1/en</v>
      </c>
    </row>
    <row r="11824" spans="3:5" x14ac:dyDescent="0.25">
      <c r="C11824" t="s">
        <v>21941</v>
      </c>
      <c r="D11824" t="s">
        <v>21942</v>
      </c>
      <c r="E11824" t="str">
        <f>HYPERLINK("https://patents.google.com/patent/US20140068679A1/en")</f>
        <v>https://patents.google.com/patent/US20140068679A1/en</v>
      </c>
    </row>
    <row r="11825" spans="3:5" x14ac:dyDescent="0.25">
      <c r="C11825" t="s">
        <v>21943</v>
      </c>
      <c r="D11825" t="s">
        <v>21944</v>
      </c>
      <c r="E11825" t="str">
        <f>HYPERLINK("https://patents.google.com/patent/US20130311870A1/en")</f>
        <v>https://patents.google.com/patent/US20130311870A1/en</v>
      </c>
    </row>
    <row r="11826" spans="3:5" x14ac:dyDescent="0.25">
      <c r="C11826" t="s">
        <v>21834</v>
      </c>
      <c r="D11826" t="s">
        <v>21945</v>
      </c>
      <c r="E11826" t="str">
        <f>HYPERLINK("https://patents.google.com/patent/WO1999016036A1/en")</f>
        <v>https://patents.google.com/patent/WO1999016036A1/en</v>
      </c>
    </row>
    <row r="11827" spans="3:5" x14ac:dyDescent="0.25">
      <c r="C11827" t="s">
        <v>21946</v>
      </c>
      <c r="D11827" t="s">
        <v>21947</v>
      </c>
      <c r="E11827" t="str">
        <f>HYPERLINK("https://patents.google.com/patent/KR20120015036A/en")</f>
        <v>https://patents.google.com/patent/KR20120015036A/en</v>
      </c>
    </row>
    <row r="11828" spans="3:5" x14ac:dyDescent="0.25">
      <c r="C11828" t="s">
        <v>21948</v>
      </c>
      <c r="D11828" t="s">
        <v>21949</v>
      </c>
      <c r="E11828" t="str">
        <f>HYPERLINK("https://patents.google.com/patent/CN101587673A/en")</f>
        <v>https://patents.google.com/patent/CN101587673A/en</v>
      </c>
    </row>
    <row r="11829" spans="3:5" x14ac:dyDescent="0.25">
      <c r="C11829" t="s">
        <v>21950</v>
      </c>
      <c r="D11829" t="s">
        <v>21951</v>
      </c>
      <c r="E11829" t="str">
        <f>HYPERLINK("https://patents.google.com/patent/US20070038503A1/en")</f>
        <v>https://patents.google.com/patent/US20070038503A1/en</v>
      </c>
    </row>
    <row r="11830" spans="3:5" x14ac:dyDescent="0.25">
      <c r="C11830" t="s">
        <v>21952</v>
      </c>
      <c r="D11830" t="s">
        <v>21953</v>
      </c>
      <c r="E11830" t="str">
        <f>HYPERLINK("https://patents.google.com/patent/KR20080080688A/en")</f>
        <v>https://patents.google.com/patent/KR20080080688A/en</v>
      </c>
    </row>
    <row r="11831" spans="3:5" x14ac:dyDescent="0.25">
      <c r="C11831" t="s">
        <v>21954</v>
      </c>
      <c r="D11831" t="s">
        <v>21955</v>
      </c>
      <c r="E11831" t="str">
        <f>HYPERLINK("https://patents.google.com/patent/US20110149086A1/en")</f>
        <v>https://patents.google.com/patent/US20110149086A1/en</v>
      </c>
    </row>
    <row r="11832" spans="3:5" x14ac:dyDescent="0.25">
      <c r="C11832" t="s">
        <v>21956</v>
      </c>
      <c r="D11832" t="s">
        <v>21957</v>
      </c>
      <c r="E11832" t="str">
        <f>HYPERLINK("https://patents.google.com/patent/CN1846213A/en")</f>
        <v>https://patents.google.com/patent/CN1846213A/en</v>
      </c>
    </row>
    <row r="11833" spans="3:5" x14ac:dyDescent="0.25">
      <c r="C11833" t="s">
        <v>21958</v>
      </c>
      <c r="D11833" t="s">
        <v>21959</v>
      </c>
      <c r="E11833" t="str">
        <f>HYPERLINK("https://patents.google.com/patent/US20100063726A1/en")</f>
        <v>https://patents.google.com/patent/US20100063726A1/en</v>
      </c>
    </row>
    <row r="11834" spans="3:5" x14ac:dyDescent="0.25">
      <c r="C11834" t="s">
        <v>21960</v>
      </c>
      <c r="D11834" t="s">
        <v>21961</v>
      </c>
      <c r="E11834" t="str">
        <f>HYPERLINK("https://patents.google.com/patent/US20070282607A1/en")</f>
        <v>https://patents.google.com/patent/US20070282607A1/en</v>
      </c>
    </row>
    <row r="11835" spans="3:5" x14ac:dyDescent="0.25">
      <c r="C11835" t="s">
        <v>21962</v>
      </c>
      <c r="D11835" t="s">
        <v>21963</v>
      </c>
      <c r="E11835" t="str">
        <f>HYPERLINK("https://patents.google.com/patent/US20040030491A1/en")</f>
        <v>https://patents.google.com/patent/US20040030491A1/en</v>
      </c>
    </row>
    <row r="11836" spans="3:5" x14ac:dyDescent="0.25">
      <c r="C11836" t="s">
        <v>21964</v>
      </c>
      <c r="D11836" t="s">
        <v>21965</v>
      </c>
      <c r="E11836" t="str">
        <f>HYPERLINK("https://patents.google.com/patent/CN101771841A/en")</f>
        <v>https://patents.google.com/patent/CN101771841A/en</v>
      </c>
    </row>
    <row r="11837" spans="3:5" x14ac:dyDescent="0.25">
      <c r="C11837" t="s">
        <v>21966</v>
      </c>
      <c r="D11837" t="s">
        <v>21967</v>
      </c>
      <c r="E11837" t="str">
        <f>HYPERLINK("https://patents.google.com/patent/US20130086577A1/en")</f>
        <v>https://patents.google.com/patent/US20130086577A1/en</v>
      </c>
    </row>
    <row r="11838" spans="3:5" x14ac:dyDescent="0.25">
      <c r="C11838" t="s">
        <v>21968</v>
      </c>
      <c r="D11838" t="s">
        <v>21969</v>
      </c>
      <c r="E11838" t="str">
        <f>HYPERLINK("https://patents.google.com/patent/US20140139548A1/en")</f>
        <v>https://patents.google.com/patent/US20140139548A1/en</v>
      </c>
    </row>
    <row r="11839" spans="3:5" x14ac:dyDescent="0.25">
      <c r="C11839" t="s">
        <v>21970</v>
      </c>
      <c r="D11839" t="s">
        <v>21971</v>
      </c>
      <c r="E11839" t="str">
        <f>HYPERLINK("https://patents.google.com/patent/WO2001069829A2/en")</f>
        <v>https://patents.google.com/patent/WO2001069829A2/en</v>
      </c>
    </row>
    <row r="11840" spans="3:5" x14ac:dyDescent="0.25">
      <c r="C11840" t="s">
        <v>21972</v>
      </c>
      <c r="D11840" t="s">
        <v>21973</v>
      </c>
      <c r="E11840" t="str">
        <f>HYPERLINK("https://patents.google.com/patent/WO2000045511A1/en")</f>
        <v>https://patents.google.com/patent/WO2000045511A1/en</v>
      </c>
    </row>
    <row r="11841" spans="3:5" x14ac:dyDescent="0.25">
      <c r="C11841" t="s">
        <v>21974</v>
      </c>
      <c r="D11841" t="s">
        <v>21975</v>
      </c>
      <c r="E11841" t="str">
        <f>HYPERLINK("https://patents.google.com/patent/US20070229396A1/en")</f>
        <v>https://patents.google.com/patent/US20070229396A1/en</v>
      </c>
    </row>
    <row r="11842" spans="3:5" x14ac:dyDescent="0.25">
      <c r="C11842" t="s">
        <v>21976</v>
      </c>
      <c r="D11842" t="s">
        <v>21977</v>
      </c>
      <c r="E11842" t="str">
        <f>HYPERLINK("https://patents.google.com/patent/US20120072298A1/en")</f>
        <v>https://patents.google.com/patent/US20120072298A1/en</v>
      </c>
    </row>
    <row r="11843" spans="3:5" x14ac:dyDescent="0.25">
      <c r="C11843" t="s">
        <v>21978</v>
      </c>
      <c r="D11843" t="s">
        <v>21979</v>
      </c>
      <c r="E11843" t="str">
        <f>HYPERLINK("https://patents.google.com/patent/CN102740226A/en")</f>
        <v>https://patents.google.com/patent/CN102740226A/en</v>
      </c>
    </row>
    <row r="11844" spans="3:5" x14ac:dyDescent="0.25">
      <c r="C11844" t="s">
        <v>21980</v>
      </c>
      <c r="D11844" t="s">
        <v>21981</v>
      </c>
      <c r="E11844" t="str">
        <f>HYPERLINK("https://patents.google.com/patent/US20130165246A1/en")</f>
        <v>https://patents.google.com/patent/US20130165246A1/en</v>
      </c>
    </row>
    <row r="11845" spans="3:5" x14ac:dyDescent="0.25">
      <c r="C11845" t="s">
        <v>21982</v>
      </c>
      <c r="D11845" t="s">
        <v>21983</v>
      </c>
      <c r="E11845" t="str">
        <f>HYPERLINK("https://patents.google.com/patent/WO2007130688A2/en")</f>
        <v>https://patents.google.com/patent/WO2007130688A2/en</v>
      </c>
    </row>
    <row r="11846" spans="3:5" x14ac:dyDescent="0.25">
      <c r="C11846" t="s">
        <v>21984</v>
      </c>
      <c r="D11846" t="s">
        <v>21985</v>
      </c>
      <c r="E11846" t="str">
        <f>HYPERLINK("https://patents.google.com/patent/US20140364081A1/en")</f>
        <v>https://patents.google.com/patent/US20140364081A1/en</v>
      </c>
    </row>
    <row r="11847" spans="3:5" x14ac:dyDescent="0.25">
      <c r="C11847" t="s">
        <v>21962</v>
      </c>
      <c r="D11847" t="s">
        <v>21986</v>
      </c>
      <c r="E11847" t="str">
        <f>HYPERLINK("https://patents.google.com/patent/US6865482B2/en")</f>
        <v>https://patents.google.com/patent/US6865482B2/en</v>
      </c>
    </row>
    <row r="11848" spans="3:5" x14ac:dyDescent="0.25">
      <c r="C11848" t="s">
        <v>21987</v>
      </c>
      <c r="D11848" t="s">
        <v>21988</v>
      </c>
      <c r="E11848" t="str">
        <f>HYPERLINK("https://patents.google.com/patent/EP0057128A1/en")</f>
        <v>https://patents.google.com/patent/EP0057128A1/en</v>
      </c>
    </row>
    <row r="11849" spans="3:5" x14ac:dyDescent="0.25">
      <c r="C11849" t="s">
        <v>21989</v>
      </c>
      <c r="D11849" t="s">
        <v>21990</v>
      </c>
      <c r="E11849" t="str">
        <f>HYPERLINK("https://patents.google.com/patent/US20140292653A1/en")</f>
        <v>https://patents.google.com/patent/US20140292653A1/en</v>
      </c>
    </row>
    <row r="11850" spans="3:5" x14ac:dyDescent="0.25">
      <c r="C11850" t="s">
        <v>21991</v>
      </c>
      <c r="D11850" t="s">
        <v>21992</v>
      </c>
      <c r="E11850" t="str">
        <f>HYPERLINK("https://patents.google.com/patent/US20030136875A1/en")</f>
        <v>https://patents.google.com/patent/US20030136875A1/en</v>
      </c>
    </row>
    <row r="11851" spans="3:5" x14ac:dyDescent="0.25">
      <c r="C11851" t="s">
        <v>21993</v>
      </c>
      <c r="D11851" t="s">
        <v>21994</v>
      </c>
      <c r="E11851" t="str">
        <f>HYPERLINK("https://patents.google.com/patent/FR2578676A1/en")</f>
        <v>https://patents.google.com/patent/FR2578676A1/en</v>
      </c>
    </row>
    <row r="11852" spans="3:5" x14ac:dyDescent="0.25">
      <c r="C11852" t="s">
        <v>21995</v>
      </c>
      <c r="D11852" t="s">
        <v>21996</v>
      </c>
      <c r="E11852" t="str">
        <f>HYPERLINK("https://patents.google.com/patent/JP2002268593A/en")</f>
        <v>https://patents.google.com/patent/JP2002268593A/en</v>
      </c>
    </row>
    <row r="11853" spans="3:5" x14ac:dyDescent="0.25">
      <c r="C11853" t="s">
        <v>21997</v>
      </c>
      <c r="D11853" t="s">
        <v>21998</v>
      </c>
      <c r="E11853" t="str">
        <f>HYPERLINK("https://patents.google.com/patent/CN1549550A/en")</f>
        <v>https://patents.google.com/patent/CN1549550A/en</v>
      </c>
    </row>
    <row r="11854" spans="3:5" x14ac:dyDescent="0.25">
      <c r="C11854" t="s">
        <v>21999</v>
      </c>
      <c r="D11854" t="s">
        <v>22000</v>
      </c>
      <c r="E11854" t="str">
        <f>HYPERLINK("https://patents.google.com/patent/CN101017096A/en")</f>
        <v>https://patents.google.com/patent/CN101017096A/en</v>
      </c>
    </row>
    <row r="11855" spans="3:5" x14ac:dyDescent="0.25">
      <c r="C11855" t="s">
        <v>22001</v>
      </c>
      <c r="D11855" t="s">
        <v>22002</v>
      </c>
      <c r="E11855" t="str">
        <f>HYPERLINK("https://patents.google.com/patent/US20150081207A1/en")</f>
        <v>https://patents.google.com/patent/US20150081207A1/en</v>
      </c>
    </row>
    <row r="11856" spans="3:5" x14ac:dyDescent="0.25">
      <c r="C11856" t="s">
        <v>22003</v>
      </c>
      <c r="D11856" t="s">
        <v>22004</v>
      </c>
      <c r="E11856" t="str">
        <f>HYPERLINK("https://patents.google.com/patent/US20110287719A1/en")</f>
        <v>https://patents.google.com/patent/US20110287719A1/en</v>
      </c>
    </row>
    <row r="11857" spans="3:5" x14ac:dyDescent="0.25">
      <c r="C11857" t="s">
        <v>22005</v>
      </c>
      <c r="D11857" t="s">
        <v>22006</v>
      </c>
      <c r="E11857" t="str">
        <f>HYPERLINK("https://patents.google.com/patent/US20080126960A1/en")</f>
        <v>https://patents.google.com/patent/US20080126960A1/en</v>
      </c>
    </row>
    <row r="11858" spans="3:5" x14ac:dyDescent="0.25">
      <c r="C11858" t="s">
        <v>22007</v>
      </c>
      <c r="D11858" t="s">
        <v>22008</v>
      </c>
      <c r="E11858" t="str">
        <f>HYPERLINK("https://patents.google.com/patent/WO2002057896A2/en")</f>
        <v>https://patents.google.com/patent/WO2002057896A2/en</v>
      </c>
    </row>
    <row r="11859" spans="3:5" x14ac:dyDescent="0.25">
      <c r="C11859" t="s">
        <v>22009</v>
      </c>
      <c r="D11859" t="s">
        <v>22010</v>
      </c>
      <c r="E11859" t="str">
        <f>HYPERLINK("https://patents.google.com/patent/JP2000300711A/en")</f>
        <v>https://patents.google.com/patent/JP2000300711A/en</v>
      </c>
    </row>
    <row r="11860" spans="3:5" x14ac:dyDescent="0.25">
      <c r="C11860" t="s">
        <v>22011</v>
      </c>
      <c r="D11860" t="s">
        <v>22012</v>
      </c>
      <c r="E11860" t="str">
        <f>HYPERLINK("https://patents.google.com/patent/CN1699924A/en")</f>
        <v>https://patents.google.com/patent/CN1699924A/en</v>
      </c>
    </row>
    <row r="11861" spans="3:5" x14ac:dyDescent="0.25">
      <c r="C11861" t="s">
        <v>22013</v>
      </c>
      <c r="D11861" t="s">
        <v>22014</v>
      </c>
      <c r="E11861" t="str">
        <f>HYPERLINK("https://patents.google.com/patent/US20140129949A1/en")</f>
        <v>https://patents.google.com/patent/US20140129949A1/en</v>
      </c>
    </row>
    <row r="11862" spans="3:5" x14ac:dyDescent="0.25">
      <c r="C11862" t="s">
        <v>22015</v>
      </c>
      <c r="D11862" t="s">
        <v>22016</v>
      </c>
      <c r="E11862" t="str">
        <f>HYPERLINK("https://patents.google.com/patent/JP2003101455A/en")</f>
        <v>https://patents.google.com/patent/JP2003101455A/en</v>
      </c>
    </row>
    <row r="11863" spans="3:5" x14ac:dyDescent="0.25">
      <c r="C11863" t="s">
        <v>22017</v>
      </c>
      <c r="D11863" t="s">
        <v>22018</v>
      </c>
      <c r="E11863" t="str">
        <f>HYPERLINK("https://patents.google.com/patent/US20110093560A1/en")</f>
        <v>https://patents.google.com/patent/US20110093560A1/en</v>
      </c>
    </row>
    <row r="11864" spans="3:5" x14ac:dyDescent="0.25">
      <c r="C11864" t="s">
        <v>22019</v>
      </c>
      <c r="D11864" t="s">
        <v>22020</v>
      </c>
      <c r="E11864" t="str">
        <f>HYPERLINK("https://patents.google.com/patent/US9131339B1/en")</f>
        <v>https://patents.google.com/patent/US9131339B1/en</v>
      </c>
    </row>
    <row r="11865" spans="3:5" x14ac:dyDescent="0.25">
      <c r="C11865" t="s">
        <v>22021</v>
      </c>
      <c r="D11865" t="s">
        <v>22022</v>
      </c>
      <c r="E11865" t="str">
        <f>HYPERLINK("https://patents.google.com/patent/KR100923975B1/en")</f>
        <v>https://patents.google.com/patent/KR100923975B1/en</v>
      </c>
    </row>
    <row r="11866" spans="3:5" x14ac:dyDescent="0.25">
      <c r="C11866" t="s">
        <v>22023</v>
      </c>
      <c r="D11866" t="s">
        <v>22024</v>
      </c>
      <c r="E11866" t="str">
        <f>HYPERLINK("https://patents.google.com/patent/US20140107916A1/en")</f>
        <v>https://patents.google.com/patent/US20140107916A1/en</v>
      </c>
    </row>
    <row r="11867" spans="3:5" x14ac:dyDescent="0.25">
      <c r="C11867" t="s">
        <v>22025</v>
      </c>
      <c r="D11867" t="s">
        <v>22026</v>
      </c>
      <c r="E11867" t="str">
        <f>HYPERLINK("https://patents.google.com/patent/US20100332616A1/en")</f>
        <v>https://patents.google.com/patent/US20100332616A1/en</v>
      </c>
    </row>
    <row r="11868" spans="3:5" x14ac:dyDescent="0.25">
      <c r="C11868" t="s">
        <v>22027</v>
      </c>
      <c r="D11868" t="s">
        <v>22028</v>
      </c>
      <c r="E11868" t="str">
        <f>HYPERLINK("https://patents.google.com/patent/JP2005149010A/en")</f>
        <v>https://patents.google.com/patent/JP2005149010A/en</v>
      </c>
    </row>
    <row r="11869" spans="3:5" x14ac:dyDescent="0.25">
      <c r="C11869" t="s">
        <v>22029</v>
      </c>
      <c r="D11869" t="s">
        <v>22030</v>
      </c>
      <c r="E11869" t="str">
        <f>HYPERLINK("https://patents.google.com/patent/US20010042125A1/en")</f>
        <v>https://patents.google.com/patent/US20010042125A1/en</v>
      </c>
    </row>
    <row r="11870" spans="3:5" x14ac:dyDescent="0.25">
      <c r="C11870" t="s">
        <v>22031</v>
      </c>
      <c r="D11870" t="s">
        <v>22032</v>
      </c>
      <c r="E11870" t="str">
        <f>HYPERLINK("https://patents.google.com/patent/EP0118366A1/en")</f>
        <v>https://patents.google.com/patent/EP0118366A1/en</v>
      </c>
    </row>
    <row r="11871" spans="3:5" x14ac:dyDescent="0.25">
      <c r="C11871" t="s">
        <v>22033</v>
      </c>
      <c r="D11871" t="s">
        <v>22034</v>
      </c>
      <c r="E11871" t="str">
        <f>HYPERLINK("https://patents.google.com/patent/JP2011227550A/en")</f>
        <v>https://patents.google.com/patent/JP2011227550A/en</v>
      </c>
    </row>
    <row r="11872" spans="3:5" x14ac:dyDescent="0.25">
      <c r="C11872" t="s">
        <v>22035</v>
      </c>
      <c r="D11872" t="s">
        <v>22036</v>
      </c>
      <c r="E11872" t="str">
        <f>HYPERLINK("https://patents.google.com/patent/EP1128163B1/en")</f>
        <v>https://patents.google.com/patent/EP1128163B1/en</v>
      </c>
    </row>
    <row r="11873" spans="3:5" x14ac:dyDescent="0.25">
      <c r="C11873" t="s">
        <v>22037</v>
      </c>
      <c r="D11873" t="s">
        <v>22038</v>
      </c>
      <c r="E11873" t="str">
        <f>HYPERLINK("https://patents.google.com/patent/EP0148701A2/en")</f>
        <v>https://patents.google.com/patent/EP0148701A2/en</v>
      </c>
    </row>
    <row r="11874" spans="3:5" x14ac:dyDescent="0.25">
      <c r="C11874" t="s">
        <v>22039</v>
      </c>
      <c r="D11874" t="s">
        <v>22040</v>
      </c>
      <c r="E11874" t="str">
        <f>HYPERLINK("https://patents.google.com/patent/JP2008124857A/en")</f>
        <v>https://patents.google.com/patent/JP2008124857A/en</v>
      </c>
    </row>
    <row r="11875" spans="3:5" x14ac:dyDescent="0.25">
      <c r="C11875" t="s">
        <v>22041</v>
      </c>
      <c r="D11875" t="s">
        <v>22042</v>
      </c>
      <c r="E11875" t="str">
        <f>HYPERLINK("https://patents.google.com/patent/CN101677327A/en")</f>
        <v>https://patents.google.com/patent/CN101677327A/en</v>
      </c>
    </row>
    <row r="11876" spans="3:5" x14ac:dyDescent="0.25">
      <c r="C11876" t="s">
        <v>22043</v>
      </c>
      <c r="D11876" t="s">
        <v>22044</v>
      </c>
      <c r="E11876" t="str">
        <f>HYPERLINK("https://patents.google.com/patent/US20140281967A1/en")</f>
        <v>https://patents.google.com/patent/US20140281967A1/en</v>
      </c>
    </row>
    <row r="11877" spans="3:5" x14ac:dyDescent="0.25">
      <c r="C11877" t="s">
        <v>22045</v>
      </c>
      <c r="D11877" t="s">
        <v>22046</v>
      </c>
      <c r="E11877" t="str">
        <f>HYPERLINK("https://patents.google.com/patent/US20130271457A1/en")</f>
        <v>https://patents.google.com/patent/US20130271457A1/en</v>
      </c>
    </row>
    <row r="11878" spans="3:5" x14ac:dyDescent="0.25">
      <c r="C11878" t="s">
        <v>22047</v>
      </c>
      <c r="D11878" t="s">
        <v>22048</v>
      </c>
      <c r="E11878" t="str">
        <f>HYPERLINK("https://patents.google.com/patent/US20120141046A1/en")</f>
        <v>https://patents.google.com/patent/US20120141046A1/en</v>
      </c>
    </row>
    <row r="11879" spans="3:5" x14ac:dyDescent="0.25">
      <c r="C11879" t="s">
        <v>22049</v>
      </c>
      <c r="D11879" t="s">
        <v>22050</v>
      </c>
      <c r="E11879" t="str">
        <f>HYPERLINK("https://patents.google.com/patent/US20130332070A1/en")</f>
        <v>https://patents.google.com/patent/US20130332070A1/en</v>
      </c>
    </row>
    <row r="11880" spans="3:5" x14ac:dyDescent="0.25">
      <c r="C11880" t="s">
        <v>22051</v>
      </c>
      <c r="D11880" t="s">
        <v>22052</v>
      </c>
      <c r="E11880" t="str">
        <f>HYPERLINK("https://patents.google.com/patent/FR2555925A1/fr")</f>
        <v>https://patents.google.com/patent/FR2555925A1/fr</v>
      </c>
    </row>
    <row r="11881" spans="3:5" x14ac:dyDescent="0.25">
      <c r="C11881" t="s">
        <v>22053</v>
      </c>
      <c r="D11881" t="s">
        <v>22054</v>
      </c>
      <c r="E11881" t="str">
        <f>HYPERLINK("https://patents.google.com/patent/DE102006015292A1/de")</f>
        <v>https://patents.google.com/patent/DE102006015292A1/de</v>
      </c>
    </row>
    <row r="11882" spans="3:5" x14ac:dyDescent="0.25">
      <c r="C11882" t="s">
        <v>22055</v>
      </c>
      <c r="D11882" t="s">
        <v>22056</v>
      </c>
      <c r="E11882" t="str">
        <f>HYPERLINK("https://patents.google.com/patent/EP0559586A1/fr")</f>
        <v>https://patents.google.com/patent/EP0559586A1/fr</v>
      </c>
    </row>
    <row r="11883" spans="3:5" x14ac:dyDescent="0.25">
      <c r="C11883" t="s">
        <v>22057</v>
      </c>
      <c r="D11883" t="s">
        <v>22058</v>
      </c>
      <c r="E11883" t="str">
        <f>HYPERLINK("https://patents.google.com/patent/FR2781195A1/fr")</f>
        <v>https://patents.google.com/patent/FR2781195A1/fr</v>
      </c>
    </row>
    <row r="11884" spans="3:5" x14ac:dyDescent="0.25">
      <c r="C11884" t="s">
        <v>22059</v>
      </c>
      <c r="D11884" t="s">
        <v>22060</v>
      </c>
      <c r="E11884" t="str">
        <f>HYPERLINK("https://patents.google.com/patent/WO1992000822A1/fr")</f>
        <v>https://patents.google.com/patent/WO1992000822A1/fr</v>
      </c>
    </row>
    <row r="11885" spans="3:5" x14ac:dyDescent="0.25">
      <c r="C11885" t="s">
        <v>22061</v>
      </c>
      <c r="D11885" t="s">
        <v>22062</v>
      </c>
      <c r="E11885" t="str">
        <f>HYPERLINK("https://patents.google.com/patent/EP0274310A2/fr")</f>
        <v>https://patents.google.com/patent/EP0274310A2/fr</v>
      </c>
    </row>
    <row r="11886" spans="3:5" x14ac:dyDescent="0.25">
      <c r="C11886" t="s">
        <v>22063</v>
      </c>
      <c r="D11886" t="s">
        <v>22064</v>
      </c>
      <c r="E11886" t="str">
        <f>HYPERLINK("https://patents.google.com/patent/FR2587079A1/fr")</f>
        <v>https://patents.google.com/patent/FR2587079A1/fr</v>
      </c>
    </row>
    <row r="11887" spans="3:5" x14ac:dyDescent="0.25">
      <c r="C11887" t="s">
        <v>22065</v>
      </c>
      <c r="D11887" t="s">
        <v>22066</v>
      </c>
      <c r="E11887" t="str">
        <f>HYPERLINK("https://patents.google.com/patent/WO2000049267A1/fr")</f>
        <v>https://patents.google.com/patent/WO2000049267A1/fr</v>
      </c>
    </row>
    <row r="11888" spans="3:5" x14ac:dyDescent="0.25">
      <c r="C11888" t="s">
        <v>22067</v>
      </c>
      <c r="D11888" t="s">
        <v>22068</v>
      </c>
      <c r="E11888" t="str">
        <f>HYPERLINK("https://patents.google.com/patent/WO2009098375A1/fr")</f>
        <v>https://patents.google.com/patent/WO2009098375A1/fr</v>
      </c>
    </row>
    <row r="11889" spans="1:5" x14ac:dyDescent="0.25">
      <c r="C11889" t="s">
        <v>22069</v>
      </c>
      <c r="D11889" t="s">
        <v>22070</v>
      </c>
      <c r="E11889" t="str">
        <f>HYPERLINK("https://patents.google.com/patent/FR2657062A1/fr")</f>
        <v>https://patents.google.com/patent/FR2657062A1/fr</v>
      </c>
    </row>
    <row r="11890" spans="1:5" x14ac:dyDescent="0.25">
      <c r="C11890" t="s">
        <v>22071</v>
      </c>
      <c r="D11890" t="s">
        <v>22072</v>
      </c>
      <c r="E11890" t="str">
        <f>HYPERLINK("https://patents.google.com/patent/EP2654126A1/fr")</f>
        <v>https://patents.google.com/patent/EP2654126A1/fr</v>
      </c>
    </row>
    <row r="11891" spans="1:5" x14ac:dyDescent="0.25">
      <c r="C11891" t="s">
        <v>22073</v>
      </c>
      <c r="D11891" t="s">
        <v>22074</v>
      </c>
      <c r="E11891" t="str">
        <f>HYPERLINK("https://patents.google.com/patent/EP0109902A1/fr")</f>
        <v>https://patents.google.com/patent/EP0109902A1/fr</v>
      </c>
    </row>
    <row r="11892" spans="1:5" x14ac:dyDescent="0.25">
      <c r="C11892" t="s">
        <v>22075</v>
      </c>
      <c r="D11892" t="s">
        <v>22076</v>
      </c>
      <c r="E11892" t="str">
        <f>HYPERLINK("https://patents.google.com/patent/WO1997013614A1/fr")</f>
        <v>https://patents.google.com/patent/WO1997013614A1/fr</v>
      </c>
    </row>
    <row r="11893" spans="1:5" x14ac:dyDescent="0.25">
      <c r="C11893" t="s">
        <v>22077</v>
      </c>
      <c r="D11893" t="s">
        <v>22078</v>
      </c>
      <c r="E11893" t="str">
        <f>HYPERLINK("https://patents.google.com/patent/EP0087395A1/fr")</f>
        <v>https://patents.google.com/patent/EP0087395A1/fr</v>
      </c>
    </row>
    <row r="11894" spans="1:5" x14ac:dyDescent="0.25">
      <c r="C11894" t="s">
        <v>22079</v>
      </c>
      <c r="D11894" t="s">
        <v>22080</v>
      </c>
      <c r="E11894" t="str">
        <f>HYPERLINK("https://patents.google.com/patent/EP0415831A1/fr")</f>
        <v>https://patents.google.com/patent/EP0415831A1/fr</v>
      </c>
    </row>
    <row r="11895" spans="1:5" x14ac:dyDescent="0.25">
      <c r="C11895" t="s">
        <v>22081</v>
      </c>
      <c r="D11895" t="s">
        <v>22082</v>
      </c>
      <c r="E11895" t="str">
        <f>HYPERLINK("https://patents.google.com/patent/EP1133010A1/fr")</f>
        <v>https://patents.google.com/patent/EP1133010A1/fr</v>
      </c>
    </row>
    <row r="11896" spans="1:5" x14ac:dyDescent="0.25">
      <c r="C11896" t="s">
        <v>22083</v>
      </c>
      <c r="D11896" t="s">
        <v>22084</v>
      </c>
      <c r="E11896" t="str">
        <f>HYPERLINK("https://patents.google.com/patent/EP0763323A1/fr")</f>
        <v>https://patents.google.com/patent/EP0763323A1/fr</v>
      </c>
    </row>
    <row r="11897" spans="1:5" x14ac:dyDescent="0.25">
      <c r="C11897" t="s">
        <v>22085</v>
      </c>
      <c r="D11897" t="s">
        <v>22086</v>
      </c>
      <c r="E11897" t="str">
        <f>HYPERLINK("https://patents.google.com/patent/EP0462853A1/fr")</f>
        <v>https://patents.google.com/patent/EP0462853A1/fr</v>
      </c>
    </row>
    <row r="11898" spans="1:5" x14ac:dyDescent="0.25">
      <c r="C11898" t="s">
        <v>22087</v>
      </c>
      <c r="D11898" t="s">
        <v>22088</v>
      </c>
      <c r="E11898" t="str">
        <f>HYPERLINK("https://patents.google.com/patent/FR2607129A1/fr")</f>
        <v>https://patents.google.com/patent/FR2607129A1/fr</v>
      </c>
    </row>
    <row r="11899" spans="1:5" x14ac:dyDescent="0.25">
      <c r="C11899" t="s">
        <v>22089</v>
      </c>
      <c r="D11899" t="s">
        <v>22090</v>
      </c>
      <c r="E11899" t="str">
        <f>HYPERLINK("https://patents.google.com/patent/EP0008560A1/fr")</f>
        <v>https://patents.google.com/patent/EP0008560A1/fr</v>
      </c>
    </row>
    <row r="11900" spans="1:5" x14ac:dyDescent="0.25">
      <c r="C11900" t="s">
        <v>22091</v>
      </c>
      <c r="D11900" t="s">
        <v>22092</v>
      </c>
      <c r="E11900" t="str">
        <f>HYPERLINK("https://patents.google.com/patent/EP0268510A1/fr")</f>
        <v>https://patents.google.com/patent/EP0268510A1/fr</v>
      </c>
    </row>
    <row r="11901" spans="1:5" x14ac:dyDescent="0.25">
      <c r="A11901" t="s">
        <v>2391</v>
      </c>
      <c r="B11901">
        <v>743</v>
      </c>
    </row>
    <row r="11902" spans="1:5" x14ac:dyDescent="0.25">
      <c r="C11902" t="s">
        <v>22093</v>
      </c>
      <c r="D11902" t="s">
        <v>22094</v>
      </c>
      <c r="E11902" t="str">
        <f>HYPERLINK("https://patents.google.com/patent/US6459388B1/en")</f>
        <v>https://patents.google.com/patent/US6459388B1/en</v>
      </c>
    </row>
    <row r="11903" spans="1:5" x14ac:dyDescent="0.25">
      <c r="C11903" t="s">
        <v>22095</v>
      </c>
      <c r="D11903" t="s">
        <v>22096</v>
      </c>
      <c r="E11903" t="str">
        <f>HYPERLINK("https://patents.google.com/patent/US7130742B2/en")</f>
        <v>https://patents.google.com/patent/US7130742B2/en</v>
      </c>
    </row>
    <row r="11904" spans="1:5" x14ac:dyDescent="0.25">
      <c r="C11904" t="s">
        <v>22095</v>
      </c>
      <c r="D11904" t="s">
        <v>22097</v>
      </c>
      <c r="E11904" t="str">
        <f>HYPERLINK("https://patents.google.com/patent/US20040070602A1/en")</f>
        <v>https://patents.google.com/patent/US20040070602A1/en</v>
      </c>
    </row>
    <row r="11905" spans="3:5" x14ac:dyDescent="0.25">
      <c r="C11905" t="s">
        <v>22098</v>
      </c>
      <c r="D11905" t="s">
        <v>22099</v>
      </c>
      <c r="E11905" t="str">
        <f>HYPERLINK("https://patents.google.com/patent/CN101178867A/en")</f>
        <v>https://patents.google.com/patent/CN101178867A/en</v>
      </c>
    </row>
    <row r="11906" spans="3:5" x14ac:dyDescent="0.25">
      <c r="C11906" t="s">
        <v>22100</v>
      </c>
      <c r="D11906" t="s">
        <v>22101</v>
      </c>
      <c r="E11906" t="str">
        <f>HYPERLINK("https://patents.google.com/patent/CN102496340A/en")</f>
        <v>https://patents.google.com/patent/CN102496340A/en</v>
      </c>
    </row>
    <row r="11907" spans="3:5" x14ac:dyDescent="0.25">
      <c r="C11907" t="s">
        <v>22102</v>
      </c>
      <c r="D11907" t="s">
        <v>22103</v>
      </c>
      <c r="E11907" t="str">
        <f>HYPERLINK("https://patents.google.com/patent/CN201238313Y/en")</f>
        <v>https://patents.google.com/patent/CN201238313Y/en</v>
      </c>
    </row>
    <row r="11908" spans="3:5" x14ac:dyDescent="0.25">
      <c r="C11908" t="s">
        <v>22104</v>
      </c>
      <c r="D11908" t="s">
        <v>22105</v>
      </c>
      <c r="E11908" t="str">
        <f>HYPERLINK("https://patents.google.com/patent/US20080129528A1/en")</f>
        <v>https://patents.google.com/patent/US20080129528A1/en</v>
      </c>
    </row>
    <row r="11909" spans="3:5" x14ac:dyDescent="0.25">
      <c r="C11909" t="s">
        <v>22106</v>
      </c>
      <c r="D11909" t="s">
        <v>22107</v>
      </c>
      <c r="E11909" t="str">
        <f>HYPERLINK("https://patents.google.com/patent/CN101145997A/en")</f>
        <v>https://patents.google.com/patent/CN101145997A/en</v>
      </c>
    </row>
    <row r="11910" spans="3:5" x14ac:dyDescent="0.25">
      <c r="C11910" t="s">
        <v>22108</v>
      </c>
      <c r="D11910" t="s">
        <v>22109</v>
      </c>
      <c r="E11910" t="str">
        <f>HYPERLINK("https://patents.google.com/patent/CN201601683U/en")</f>
        <v>https://patents.google.com/patent/CN201601683U/en</v>
      </c>
    </row>
    <row r="11911" spans="3:5" x14ac:dyDescent="0.25">
      <c r="C11911" t="s">
        <v>22110</v>
      </c>
      <c r="D11911" t="s">
        <v>22111</v>
      </c>
      <c r="E11911" t="str">
        <f>HYPERLINK("https://patents.google.com/patent/CN2650289Y/en")</f>
        <v>https://patents.google.com/patent/CN2650289Y/en</v>
      </c>
    </row>
    <row r="11912" spans="3:5" x14ac:dyDescent="0.25">
      <c r="C11912" t="s">
        <v>22112</v>
      </c>
      <c r="D11912" t="s">
        <v>22113</v>
      </c>
      <c r="E11912" t="str">
        <f>HYPERLINK("https://patents.google.com/patent/CN2840524Y/en")</f>
        <v>https://patents.google.com/patent/CN2840524Y/en</v>
      </c>
    </row>
    <row r="11913" spans="3:5" x14ac:dyDescent="0.25">
      <c r="C11913" t="s">
        <v>22114</v>
      </c>
      <c r="D11913" t="s">
        <v>22115</v>
      </c>
      <c r="E11913" t="str">
        <f>HYPERLINK("https://patents.google.com/patent/CN203039921U/en")</f>
        <v>https://patents.google.com/patent/CN203039921U/en</v>
      </c>
    </row>
    <row r="11914" spans="3:5" x14ac:dyDescent="0.25">
      <c r="C11914" t="s">
        <v>22116</v>
      </c>
      <c r="D11914" t="s">
        <v>22117</v>
      </c>
      <c r="E11914" t="str">
        <f>HYPERLINK("https://patents.google.com/patent/CN201716959U/en")</f>
        <v>https://patents.google.com/patent/CN201716959U/en</v>
      </c>
    </row>
    <row r="11915" spans="3:5" x14ac:dyDescent="0.25">
      <c r="C11915" t="s">
        <v>22118</v>
      </c>
      <c r="D11915" t="s">
        <v>22119</v>
      </c>
      <c r="E11915" t="str">
        <f>HYPERLINK("https://patents.google.com/patent/CN201465326U/en")</f>
        <v>https://patents.google.com/patent/CN201465326U/en</v>
      </c>
    </row>
    <row r="11916" spans="3:5" x14ac:dyDescent="0.25">
      <c r="C11916" t="s">
        <v>22120</v>
      </c>
      <c r="D11916" t="s">
        <v>22121</v>
      </c>
      <c r="E11916" t="str">
        <f>HYPERLINK("https://patents.google.com/patent/CN1359078A/en")</f>
        <v>https://patents.google.com/patent/CN1359078A/en</v>
      </c>
    </row>
    <row r="11917" spans="3:5" x14ac:dyDescent="0.25">
      <c r="C11917" t="s">
        <v>22122</v>
      </c>
      <c r="D11917" t="s">
        <v>22123</v>
      </c>
      <c r="E11917" t="str">
        <f>HYPERLINK("https://patents.google.com/patent/CN201845532U/en")</f>
        <v>https://patents.google.com/patent/CN201845532U/en</v>
      </c>
    </row>
    <row r="11918" spans="3:5" x14ac:dyDescent="0.25">
      <c r="C11918" t="s">
        <v>22124</v>
      </c>
      <c r="D11918" t="s">
        <v>22125</v>
      </c>
      <c r="E11918" t="str">
        <f>HYPERLINK("https://patents.google.com/patent/CN2662403Y/en")</f>
        <v>https://patents.google.com/patent/CN2662403Y/en</v>
      </c>
    </row>
    <row r="11919" spans="3:5" x14ac:dyDescent="0.25">
      <c r="C11919" t="s">
        <v>22126</v>
      </c>
      <c r="D11919" t="s">
        <v>22127</v>
      </c>
      <c r="E11919" t="str">
        <f>HYPERLINK("https://patents.google.com/patent/CN106792546A/en")</f>
        <v>https://patents.google.com/patent/CN106792546A/en</v>
      </c>
    </row>
    <row r="11920" spans="3:5" x14ac:dyDescent="0.25">
      <c r="C11920" t="s">
        <v>22128</v>
      </c>
      <c r="D11920" t="s">
        <v>22129</v>
      </c>
      <c r="E11920" t="str">
        <f>HYPERLINK("https://patents.google.com/patent/CN101018062A/en")</f>
        <v>https://patents.google.com/patent/CN101018062A/en</v>
      </c>
    </row>
    <row r="11921" spans="3:5" x14ac:dyDescent="0.25">
      <c r="C11921" t="s">
        <v>22130</v>
      </c>
      <c r="D11921" t="s">
        <v>22131</v>
      </c>
      <c r="E11921" t="str">
        <f>HYPERLINK("https://patents.google.com/patent/US20050086158A1/en")</f>
        <v>https://patents.google.com/patent/US20050086158A1/en</v>
      </c>
    </row>
    <row r="11922" spans="3:5" x14ac:dyDescent="0.25">
      <c r="C11922" t="s">
        <v>22132</v>
      </c>
      <c r="D11922" t="s">
        <v>22133</v>
      </c>
      <c r="E11922" t="str">
        <f>HYPERLINK("https://patents.google.com/patent/CN2739756Y/en")</f>
        <v>https://patents.google.com/patent/CN2739756Y/en</v>
      </c>
    </row>
    <row r="11923" spans="3:5" x14ac:dyDescent="0.25">
      <c r="C11923" t="s">
        <v>22134</v>
      </c>
      <c r="D11923" t="s">
        <v>22135</v>
      </c>
      <c r="E11923" t="str">
        <f>HYPERLINK("https://patents.google.com/patent/CN1913403A/en")</f>
        <v>https://patents.google.com/patent/CN1913403A/en</v>
      </c>
    </row>
    <row r="11924" spans="3:5" x14ac:dyDescent="0.25">
      <c r="C11924" t="s">
        <v>22136</v>
      </c>
      <c r="D11924" t="s">
        <v>22137</v>
      </c>
      <c r="E11924" t="str">
        <f>HYPERLINK("https://patents.google.com/patent/CN202307057U/en")</f>
        <v>https://patents.google.com/patent/CN202307057U/en</v>
      </c>
    </row>
    <row r="11925" spans="3:5" x14ac:dyDescent="0.25">
      <c r="C11925" t="s">
        <v>22138</v>
      </c>
      <c r="D11925" t="s">
        <v>22139</v>
      </c>
      <c r="E11925" t="str">
        <f>HYPERLINK("https://patents.google.com/patent/CN201270135Y/en")</f>
        <v>https://patents.google.com/patent/CN201270135Y/en</v>
      </c>
    </row>
    <row r="11926" spans="3:5" x14ac:dyDescent="0.25">
      <c r="C11926" t="s">
        <v>22140</v>
      </c>
      <c r="D11926" t="s">
        <v>22141</v>
      </c>
      <c r="E11926" t="str">
        <f>HYPERLINK("https://patents.google.com/patent/CN2881784Y/en")</f>
        <v>https://patents.google.com/patent/CN2881784Y/en</v>
      </c>
    </row>
    <row r="11927" spans="3:5" x14ac:dyDescent="0.25">
      <c r="C11927" t="s">
        <v>22142</v>
      </c>
      <c r="D11927" t="s">
        <v>22143</v>
      </c>
      <c r="E11927" t="str">
        <f>HYPERLINK("https://patents.google.com/patent/CN2165579Y/en")</f>
        <v>https://patents.google.com/patent/CN2165579Y/en</v>
      </c>
    </row>
    <row r="11928" spans="3:5" x14ac:dyDescent="0.25">
      <c r="C11928" t="s">
        <v>22144</v>
      </c>
      <c r="D11928" t="s">
        <v>22145</v>
      </c>
      <c r="E11928" t="str">
        <f>HYPERLINK("https://patents.google.com/patent/CN201477850U/en")</f>
        <v>https://patents.google.com/patent/CN201477850U/en</v>
      </c>
    </row>
    <row r="11929" spans="3:5" x14ac:dyDescent="0.25">
      <c r="C11929" t="s">
        <v>22146</v>
      </c>
      <c r="D11929" t="s">
        <v>22147</v>
      </c>
      <c r="E11929" t="str">
        <f>HYPERLINK("https://patents.google.com/patent/CN205334705U/en")</f>
        <v>https://patents.google.com/patent/CN205334705U/en</v>
      </c>
    </row>
    <row r="11930" spans="3:5" x14ac:dyDescent="0.25">
      <c r="C11930" t="s">
        <v>22148</v>
      </c>
      <c r="D11930" t="s">
        <v>22149</v>
      </c>
      <c r="E11930" t="str">
        <f>HYPERLINK("https://patents.google.com/patent/CN101026380A/en")</f>
        <v>https://patents.google.com/patent/CN101026380A/en</v>
      </c>
    </row>
    <row r="11931" spans="3:5" x14ac:dyDescent="0.25">
      <c r="C11931" t="s">
        <v>22150</v>
      </c>
      <c r="D11931" t="s">
        <v>22151</v>
      </c>
      <c r="E11931" t="str">
        <f>HYPERLINK("https://patents.google.com/patent/KR200215743Y1/en")</f>
        <v>https://patents.google.com/patent/KR200215743Y1/en</v>
      </c>
    </row>
    <row r="11932" spans="3:5" x14ac:dyDescent="0.25">
      <c r="C11932" t="s">
        <v>22152</v>
      </c>
      <c r="D11932" t="s">
        <v>22153</v>
      </c>
      <c r="E11932" t="str">
        <f>HYPERLINK("https://patents.google.com/patent/CN201044161Y/en")</f>
        <v>https://patents.google.com/patent/CN201044161Y/en</v>
      </c>
    </row>
    <row r="11933" spans="3:5" x14ac:dyDescent="0.25">
      <c r="C11933" t="s">
        <v>22154</v>
      </c>
      <c r="D11933" t="s">
        <v>22155</v>
      </c>
      <c r="E11933" t="str">
        <f>HYPERLINK("https://patents.google.com/patent/EP0990963A1/en")</f>
        <v>https://patents.google.com/patent/EP0990963A1/en</v>
      </c>
    </row>
    <row r="11934" spans="3:5" x14ac:dyDescent="0.25">
      <c r="C11934" t="s">
        <v>22156</v>
      </c>
      <c r="D11934" t="s">
        <v>22157</v>
      </c>
      <c r="E11934" t="str">
        <f>HYPERLINK("https://patents.google.com/patent/CN201251914Y/en")</f>
        <v>https://patents.google.com/patent/CN201251914Y/en</v>
      </c>
    </row>
    <row r="11935" spans="3:5" x14ac:dyDescent="0.25">
      <c r="C11935" t="s">
        <v>22158</v>
      </c>
      <c r="D11935" t="s">
        <v>22159</v>
      </c>
      <c r="E11935" t="str">
        <f>HYPERLINK("https://patents.google.com/patent/CN203102807U/en")</f>
        <v>https://patents.google.com/patent/CN203102807U/en</v>
      </c>
    </row>
    <row r="11936" spans="3:5" x14ac:dyDescent="0.25">
      <c r="C11936" t="s">
        <v>22160</v>
      </c>
      <c r="D11936" t="s">
        <v>22161</v>
      </c>
      <c r="E11936" t="str">
        <f>HYPERLINK("https://patents.google.com/patent/CN202615751U/en")</f>
        <v>https://patents.google.com/patent/CN202615751U/en</v>
      </c>
    </row>
    <row r="11937" spans="3:5" x14ac:dyDescent="0.25">
      <c r="C11937" t="s">
        <v>22162</v>
      </c>
      <c r="D11937" t="s">
        <v>22163</v>
      </c>
      <c r="E11937" t="str">
        <f>HYPERLINK("https://patents.google.com/patent/CN102664641B/en")</f>
        <v>https://patents.google.com/patent/CN102664641B/en</v>
      </c>
    </row>
    <row r="11938" spans="3:5" x14ac:dyDescent="0.25">
      <c r="C11938" t="s">
        <v>22164</v>
      </c>
      <c r="D11938" t="s">
        <v>22165</v>
      </c>
      <c r="E11938" t="str">
        <f>HYPERLINK("https://patents.google.com/patent/CN203318315U/en")</f>
        <v>https://patents.google.com/patent/CN203318315U/en</v>
      </c>
    </row>
    <row r="11939" spans="3:5" x14ac:dyDescent="0.25">
      <c r="C11939" t="s">
        <v>22166</v>
      </c>
      <c r="D11939" t="s">
        <v>22167</v>
      </c>
      <c r="E11939" t="str">
        <f>HYPERLINK("https://patents.google.com/patent/CN203134315U/en")</f>
        <v>https://patents.google.com/patent/CN203134315U/en</v>
      </c>
    </row>
    <row r="11940" spans="3:5" x14ac:dyDescent="0.25">
      <c r="C11940" t="s">
        <v>22168</v>
      </c>
      <c r="D11940" t="s">
        <v>22169</v>
      </c>
      <c r="E11940" t="str">
        <f>HYPERLINK("https://patents.google.com/patent/CN202887666U/en")</f>
        <v>https://patents.google.com/patent/CN202887666U/en</v>
      </c>
    </row>
    <row r="11941" spans="3:5" x14ac:dyDescent="0.25">
      <c r="C11941" t="s">
        <v>22170</v>
      </c>
      <c r="D11941" t="s">
        <v>22171</v>
      </c>
      <c r="E11941" t="str">
        <f>HYPERLINK("https://patents.google.com/patent/CN206471099U/en")</f>
        <v>https://patents.google.com/patent/CN206471099U/en</v>
      </c>
    </row>
    <row r="11942" spans="3:5" x14ac:dyDescent="0.25">
      <c r="C11942" t="s">
        <v>22172</v>
      </c>
      <c r="D11942" t="s">
        <v>22173</v>
      </c>
      <c r="E11942" t="str">
        <f>HYPERLINK("https://patents.google.com/patent/KR101029433B1/en")</f>
        <v>https://patents.google.com/patent/KR101029433B1/en</v>
      </c>
    </row>
    <row r="11943" spans="3:5" x14ac:dyDescent="0.25">
      <c r="C11943" t="s">
        <v>22174</v>
      </c>
      <c r="D11943" t="s">
        <v>22175</v>
      </c>
      <c r="E11943" t="str">
        <f>HYPERLINK("https://patents.google.com/patent/CN103886404A/en")</f>
        <v>https://patents.google.com/patent/CN103886404A/en</v>
      </c>
    </row>
    <row r="11944" spans="3:5" x14ac:dyDescent="0.25">
      <c r="C11944" t="s">
        <v>22176</v>
      </c>
      <c r="D11944" t="s">
        <v>22177</v>
      </c>
      <c r="E11944" t="str">
        <f>HYPERLINK("https://patents.google.com/patent/CN102930806A/en")</f>
        <v>https://patents.google.com/patent/CN102930806A/en</v>
      </c>
    </row>
    <row r="11945" spans="3:5" x14ac:dyDescent="0.25">
      <c r="C11945" t="s">
        <v>22178</v>
      </c>
      <c r="D11945" t="s">
        <v>22179</v>
      </c>
      <c r="E11945" t="str">
        <f>HYPERLINK("https://patents.google.com/patent/CN104442408A/en")</f>
        <v>https://patents.google.com/patent/CN104442408A/en</v>
      </c>
    </row>
    <row r="11946" spans="3:5" x14ac:dyDescent="0.25">
      <c r="C11946" t="s">
        <v>22180</v>
      </c>
      <c r="D11946" t="s">
        <v>22181</v>
      </c>
      <c r="E11946" t="str">
        <f>HYPERLINK("https://patents.google.com/patent/CN204257172U/en")</f>
        <v>https://patents.google.com/patent/CN204257172U/en</v>
      </c>
    </row>
    <row r="11947" spans="3:5" x14ac:dyDescent="0.25">
      <c r="C11947" t="s">
        <v>22182</v>
      </c>
      <c r="D11947" t="s">
        <v>22183</v>
      </c>
      <c r="E11947" t="str">
        <f>HYPERLINK("https://patents.google.com/patent/CN2697953Y/en")</f>
        <v>https://patents.google.com/patent/CN2697953Y/en</v>
      </c>
    </row>
    <row r="11948" spans="3:5" x14ac:dyDescent="0.25">
      <c r="C11948" t="s">
        <v>22184</v>
      </c>
      <c r="D11948" t="s">
        <v>22185</v>
      </c>
      <c r="E11948" t="str">
        <f>HYPERLINK("https://patents.google.com/patent/CN203895092U/en")</f>
        <v>https://patents.google.com/patent/CN203895092U/en</v>
      </c>
    </row>
    <row r="11949" spans="3:5" x14ac:dyDescent="0.25">
      <c r="C11949" t="s">
        <v>22186</v>
      </c>
      <c r="D11949" t="s">
        <v>22187</v>
      </c>
      <c r="E11949" t="str">
        <f>HYPERLINK("https://patents.google.com/patent/CN102354475B/en")</f>
        <v>https://patents.google.com/patent/CN102354475B/en</v>
      </c>
    </row>
    <row r="11950" spans="3:5" x14ac:dyDescent="0.25">
      <c r="C11950" t="s">
        <v>22188</v>
      </c>
      <c r="D11950" t="s">
        <v>22189</v>
      </c>
      <c r="E11950" t="str">
        <f>HYPERLINK("https://patents.google.com/patent/CN205282041U/en")</f>
        <v>https://patents.google.com/patent/CN205282041U/en</v>
      </c>
    </row>
    <row r="11951" spans="3:5" x14ac:dyDescent="0.25">
      <c r="C11951" t="s">
        <v>22190</v>
      </c>
      <c r="D11951" t="s">
        <v>22191</v>
      </c>
      <c r="E11951" t="str">
        <f>HYPERLINK("https://patents.google.com/patent/CN201383150Y/en")</f>
        <v>https://patents.google.com/patent/CN201383150Y/en</v>
      </c>
    </row>
    <row r="11952" spans="3:5" x14ac:dyDescent="0.25">
      <c r="C11952" t="s">
        <v>22192</v>
      </c>
      <c r="D11952" t="s">
        <v>22193</v>
      </c>
      <c r="E11952" t="str">
        <f>HYPERLINK("https://patents.google.com/patent/CN103413509A/en")</f>
        <v>https://patents.google.com/patent/CN103413509A/en</v>
      </c>
    </row>
    <row r="11953" spans="3:5" x14ac:dyDescent="0.25">
      <c r="C11953" t="s">
        <v>22194</v>
      </c>
      <c r="D11953" t="s">
        <v>22195</v>
      </c>
      <c r="E11953" t="str">
        <f>HYPERLINK("https://patents.google.com/patent/CN102779470A/en")</f>
        <v>https://patents.google.com/patent/CN102779470A/en</v>
      </c>
    </row>
    <row r="11954" spans="3:5" x14ac:dyDescent="0.25">
      <c r="C11954" t="s">
        <v>22196</v>
      </c>
      <c r="D11954" t="s">
        <v>22197</v>
      </c>
      <c r="E11954" t="str">
        <f>HYPERLINK("https://patents.google.com/patent/CN201927316U/en")</f>
        <v>https://patents.google.com/patent/CN201927316U/en</v>
      </c>
    </row>
    <row r="11955" spans="3:5" x14ac:dyDescent="0.25">
      <c r="C11955" t="s">
        <v>22198</v>
      </c>
      <c r="D11955" t="s">
        <v>22199</v>
      </c>
      <c r="E11955" t="str">
        <f>HYPERLINK("https://patents.google.com/patent/CN2503558Y/en")</f>
        <v>https://patents.google.com/patent/CN2503558Y/en</v>
      </c>
    </row>
    <row r="11956" spans="3:5" x14ac:dyDescent="0.25">
      <c r="C11956" t="s">
        <v>22200</v>
      </c>
      <c r="D11956" t="s">
        <v>22201</v>
      </c>
      <c r="E11956" t="str">
        <f>HYPERLINK("https://patents.google.com/patent/CN103413510A/en")</f>
        <v>https://patents.google.com/patent/CN103413510A/en</v>
      </c>
    </row>
    <row r="11957" spans="3:5" x14ac:dyDescent="0.25">
      <c r="C11957" t="s">
        <v>22202</v>
      </c>
      <c r="D11957" t="s">
        <v>22203</v>
      </c>
      <c r="E11957" t="str">
        <f>HYPERLINK("https://patents.google.com/patent/CN2650248Y/en")</f>
        <v>https://patents.google.com/patent/CN2650248Y/en</v>
      </c>
    </row>
    <row r="11958" spans="3:5" x14ac:dyDescent="0.25">
      <c r="C11958" t="s">
        <v>22204</v>
      </c>
      <c r="D11958" t="s">
        <v>22205</v>
      </c>
      <c r="E11958" t="str">
        <f>HYPERLINK("https://patents.google.com/patent/JP4731930B2/en")</f>
        <v>https://patents.google.com/patent/JP4731930B2/en</v>
      </c>
    </row>
    <row r="11959" spans="3:5" x14ac:dyDescent="0.25">
      <c r="C11959" t="s">
        <v>22206</v>
      </c>
      <c r="D11959" t="s">
        <v>22207</v>
      </c>
      <c r="E11959" t="str">
        <f>HYPERLINK("https://patents.google.com/patent/CN104616222A/en")</f>
        <v>https://patents.google.com/patent/CN104616222A/en</v>
      </c>
    </row>
    <row r="11960" spans="3:5" x14ac:dyDescent="0.25">
      <c r="C11960" t="s">
        <v>22208</v>
      </c>
      <c r="D11960" t="s">
        <v>22209</v>
      </c>
      <c r="E11960" t="str">
        <f>HYPERLINK("https://patents.google.com/patent/CN2496193Y/en")</f>
        <v>https://patents.google.com/patent/CN2496193Y/en</v>
      </c>
    </row>
    <row r="11961" spans="3:5" x14ac:dyDescent="0.25">
      <c r="C11961" t="s">
        <v>22210</v>
      </c>
      <c r="D11961" t="s">
        <v>22211</v>
      </c>
      <c r="E11961" t="str">
        <f>HYPERLINK("https://patents.google.com/patent/CN101619981A/en")</f>
        <v>https://patents.google.com/patent/CN101619981A/en</v>
      </c>
    </row>
    <row r="11962" spans="3:5" x14ac:dyDescent="0.25">
      <c r="C11962" t="s">
        <v>22212</v>
      </c>
      <c r="D11962" t="s">
        <v>22213</v>
      </c>
      <c r="E11962" t="str">
        <f>HYPERLINK("https://patents.google.com/patent/CN204791893U/en")</f>
        <v>https://patents.google.com/patent/CN204791893U/en</v>
      </c>
    </row>
    <row r="11963" spans="3:5" x14ac:dyDescent="0.25">
      <c r="C11963" t="s">
        <v>22214</v>
      </c>
      <c r="D11963" t="s">
        <v>22215</v>
      </c>
      <c r="E11963" t="str">
        <f>HYPERLINK("https://patents.google.com/patent/CN104167151A/en")</f>
        <v>https://patents.google.com/patent/CN104167151A/en</v>
      </c>
    </row>
    <row r="11964" spans="3:5" x14ac:dyDescent="0.25">
      <c r="C11964" t="s">
        <v>22216</v>
      </c>
      <c r="D11964" t="s">
        <v>22217</v>
      </c>
      <c r="E11964" t="str">
        <f>HYPERLINK("https://patents.google.com/patent/US20010023387A1/en")</f>
        <v>https://patents.google.com/patent/US20010023387A1/en</v>
      </c>
    </row>
    <row r="11965" spans="3:5" x14ac:dyDescent="0.25">
      <c r="C11965" t="s">
        <v>22218</v>
      </c>
      <c r="D11965" t="s">
        <v>22219</v>
      </c>
      <c r="E11965" t="str">
        <f>HYPERLINK("https://patents.google.com/patent/CN1831911A/en")</f>
        <v>https://patents.google.com/patent/CN1831911A/en</v>
      </c>
    </row>
    <row r="11966" spans="3:5" x14ac:dyDescent="0.25">
      <c r="C11966" t="s">
        <v>22220</v>
      </c>
      <c r="D11966" t="s">
        <v>22221</v>
      </c>
      <c r="E11966" t="str">
        <f>HYPERLINK("https://patents.google.com/patent/US20030036980A1/en")</f>
        <v>https://patents.google.com/patent/US20030036980A1/en</v>
      </c>
    </row>
    <row r="11967" spans="3:5" x14ac:dyDescent="0.25">
      <c r="C11967" t="s">
        <v>22222</v>
      </c>
      <c r="D11967" t="s">
        <v>22223</v>
      </c>
      <c r="E11967" t="str">
        <f>HYPERLINK("https://patents.google.com/patent/CN2446626Y/en")</f>
        <v>https://patents.google.com/patent/CN2446626Y/en</v>
      </c>
    </row>
    <row r="11968" spans="3:5" x14ac:dyDescent="0.25">
      <c r="C11968" t="s">
        <v>22224</v>
      </c>
      <c r="D11968" t="s">
        <v>22225</v>
      </c>
      <c r="E11968" t="str">
        <f>HYPERLINK("https://patents.google.com/patent/CN207676377U/en")</f>
        <v>https://patents.google.com/patent/CN207676377U/en</v>
      </c>
    </row>
    <row r="11969" spans="3:5" x14ac:dyDescent="0.25">
      <c r="C11969" t="s">
        <v>22226</v>
      </c>
      <c r="D11969" t="s">
        <v>22227</v>
      </c>
      <c r="E11969" t="str">
        <f>HYPERLINK("https://patents.google.com/patent/CN101388165A/en")</f>
        <v>https://patents.google.com/patent/CN101388165A/en</v>
      </c>
    </row>
    <row r="11970" spans="3:5" x14ac:dyDescent="0.25">
      <c r="C11970" t="s">
        <v>22228</v>
      </c>
      <c r="D11970" t="s">
        <v>22229</v>
      </c>
      <c r="E11970" t="str">
        <f>HYPERLINK("https://patents.google.com/patent/CN207381064U/en")</f>
        <v>https://patents.google.com/patent/CN207381064U/en</v>
      </c>
    </row>
    <row r="11971" spans="3:5" x14ac:dyDescent="0.25">
      <c r="C11971" t="s">
        <v>22230</v>
      </c>
      <c r="D11971" t="s">
        <v>22231</v>
      </c>
      <c r="E11971" t="str">
        <f>HYPERLINK("https://patents.google.com/patent/CN102708768A/en")</f>
        <v>https://patents.google.com/patent/CN102708768A/en</v>
      </c>
    </row>
    <row r="11972" spans="3:5" x14ac:dyDescent="0.25">
      <c r="C11972" t="s">
        <v>22232</v>
      </c>
      <c r="D11972" t="s">
        <v>22233</v>
      </c>
      <c r="E11972" t="str">
        <f>HYPERLINK("https://patents.google.com/patent/CN202133405U/en")</f>
        <v>https://patents.google.com/patent/CN202133405U/en</v>
      </c>
    </row>
    <row r="11973" spans="3:5" x14ac:dyDescent="0.25">
      <c r="C11973" t="s">
        <v>22234</v>
      </c>
      <c r="D11973" t="s">
        <v>22235</v>
      </c>
      <c r="E11973" t="str">
        <f>HYPERLINK("https://patents.google.com/patent/US20090036166A1/en")</f>
        <v>https://patents.google.com/patent/US20090036166A1/en</v>
      </c>
    </row>
    <row r="11974" spans="3:5" x14ac:dyDescent="0.25">
      <c r="C11974" t="s">
        <v>22236</v>
      </c>
      <c r="D11974" t="s">
        <v>22237</v>
      </c>
      <c r="E11974" t="str">
        <f>HYPERLINK("https://patents.google.com/patent/CN101212779B/en")</f>
        <v>https://patents.google.com/patent/CN101212779B/en</v>
      </c>
    </row>
    <row r="11975" spans="3:5" x14ac:dyDescent="0.25">
      <c r="C11975" t="s">
        <v>22238</v>
      </c>
      <c r="D11975" t="s">
        <v>22239</v>
      </c>
      <c r="E11975" t="str">
        <f>HYPERLINK("https://patents.google.com/patent/CN201011569Y/en")</f>
        <v>https://patents.google.com/patent/CN201011569Y/en</v>
      </c>
    </row>
    <row r="11976" spans="3:5" x14ac:dyDescent="0.25">
      <c r="C11976" t="s">
        <v>22240</v>
      </c>
      <c r="D11976" t="s">
        <v>22241</v>
      </c>
      <c r="E11976" t="str">
        <f>HYPERLINK("https://patents.google.com/patent/US6445398B1/en")</f>
        <v>https://patents.google.com/patent/US6445398B1/en</v>
      </c>
    </row>
    <row r="11977" spans="3:5" x14ac:dyDescent="0.25">
      <c r="C11977" t="s">
        <v>22242</v>
      </c>
      <c r="D11977" t="s">
        <v>22243</v>
      </c>
      <c r="E11977" t="str">
        <f>HYPERLINK("https://patents.google.com/patent/CN104183186B/en")</f>
        <v>https://patents.google.com/patent/CN104183186B/en</v>
      </c>
    </row>
    <row r="11978" spans="3:5" x14ac:dyDescent="0.25">
      <c r="C11978" t="s">
        <v>22228</v>
      </c>
      <c r="D11978" t="s">
        <v>22244</v>
      </c>
      <c r="E11978" t="str">
        <f>HYPERLINK("https://patents.google.com/patent/CN207381062U/en")</f>
        <v>https://patents.google.com/patent/CN207381062U/en</v>
      </c>
    </row>
    <row r="11979" spans="3:5" x14ac:dyDescent="0.25">
      <c r="C11979" t="s">
        <v>22245</v>
      </c>
      <c r="D11979" t="s">
        <v>22246</v>
      </c>
      <c r="E11979" t="str">
        <f>HYPERLINK("https://patents.google.com/patent/CN202871247U/en")</f>
        <v>https://patents.google.com/patent/CN202871247U/en</v>
      </c>
    </row>
    <row r="11980" spans="3:5" x14ac:dyDescent="0.25">
      <c r="C11980" t="s">
        <v>22247</v>
      </c>
      <c r="D11980" t="s">
        <v>22248</v>
      </c>
      <c r="E11980" t="str">
        <f>HYPERLINK("https://patents.google.com/patent/CN202067509U/en")</f>
        <v>https://patents.google.com/patent/CN202067509U/en</v>
      </c>
    </row>
    <row r="11981" spans="3:5" x14ac:dyDescent="0.25">
      <c r="C11981" t="s">
        <v>22249</v>
      </c>
      <c r="D11981" t="s">
        <v>22250</v>
      </c>
      <c r="E11981" t="str">
        <f>HYPERLINK("https://patents.google.com/patent/CN203026040U/en")</f>
        <v>https://patents.google.com/patent/CN203026040U/en</v>
      </c>
    </row>
    <row r="11982" spans="3:5" x14ac:dyDescent="0.25">
      <c r="C11982" t="s">
        <v>22251</v>
      </c>
      <c r="D11982" t="s">
        <v>22252</v>
      </c>
      <c r="E11982" t="str">
        <f>HYPERLINK("https://patents.google.com/patent/CN1359227A/en")</f>
        <v>https://patents.google.com/patent/CN1359227A/en</v>
      </c>
    </row>
    <row r="11983" spans="3:5" x14ac:dyDescent="0.25">
      <c r="C11983" t="s">
        <v>22253</v>
      </c>
      <c r="D11983" t="s">
        <v>22254</v>
      </c>
      <c r="E11983" t="str">
        <f>HYPERLINK("https://patents.google.com/patent/US20140046808A1/en")</f>
        <v>https://patents.google.com/patent/US20140046808A1/en</v>
      </c>
    </row>
    <row r="11984" spans="3:5" x14ac:dyDescent="0.25">
      <c r="C11984" t="s">
        <v>22255</v>
      </c>
      <c r="D11984" t="s">
        <v>22256</v>
      </c>
      <c r="E11984" t="str">
        <f>HYPERLINK("https://patents.google.com/patent/CN201523379U/en")</f>
        <v>https://patents.google.com/patent/CN201523379U/en</v>
      </c>
    </row>
    <row r="11985" spans="3:5" x14ac:dyDescent="0.25">
      <c r="C11985" t="s">
        <v>22257</v>
      </c>
      <c r="D11985" t="s">
        <v>22258</v>
      </c>
      <c r="E11985" t="str">
        <f>HYPERLINK("https://patents.google.com/patent/CN200969117Y/en")</f>
        <v>https://patents.google.com/patent/CN200969117Y/en</v>
      </c>
    </row>
    <row r="11986" spans="3:5" x14ac:dyDescent="0.25">
      <c r="C11986" t="s">
        <v>22204</v>
      </c>
      <c r="D11986" t="s">
        <v>22259</v>
      </c>
      <c r="E11986" t="str">
        <f>HYPERLINK("https://patents.google.com/patent/JP4683943B2/en")</f>
        <v>https://patents.google.com/patent/JP4683943B2/en</v>
      </c>
    </row>
    <row r="11987" spans="3:5" x14ac:dyDescent="0.25">
      <c r="C11987" t="s">
        <v>22260</v>
      </c>
      <c r="D11987" t="s">
        <v>22261</v>
      </c>
      <c r="E11987" t="str">
        <f>HYPERLINK("https://patents.google.com/patent/CN101110613B/en")</f>
        <v>https://patents.google.com/patent/CN101110613B/en</v>
      </c>
    </row>
    <row r="11988" spans="3:5" x14ac:dyDescent="0.25">
      <c r="C11988" t="s">
        <v>22262</v>
      </c>
      <c r="D11988" t="s">
        <v>22263</v>
      </c>
      <c r="E11988" t="str">
        <f>HYPERLINK("https://patents.google.com/patent/CN202978971U/en")</f>
        <v>https://patents.google.com/patent/CN202978971U/en</v>
      </c>
    </row>
    <row r="11989" spans="3:5" x14ac:dyDescent="0.25">
      <c r="C11989" t="s">
        <v>22264</v>
      </c>
      <c r="D11989" t="s">
        <v>22265</v>
      </c>
      <c r="E11989" t="str">
        <f>HYPERLINK("https://patents.google.com/patent/CN203276786U/en")</f>
        <v>https://patents.google.com/patent/CN203276786U/en</v>
      </c>
    </row>
    <row r="11990" spans="3:5" x14ac:dyDescent="0.25">
      <c r="C11990" t="s">
        <v>22266</v>
      </c>
      <c r="D11990" t="s">
        <v>22267</v>
      </c>
      <c r="E11990" t="str">
        <f>HYPERLINK("https://patents.google.com/patent/CN2156565Y/en")</f>
        <v>https://patents.google.com/patent/CN2156565Y/en</v>
      </c>
    </row>
    <row r="11991" spans="3:5" x14ac:dyDescent="0.25">
      <c r="C11991" t="s">
        <v>22268</v>
      </c>
      <c r="D11991" t="s">
        <v>22269</v>
      </c>
      <c r="E11991" t="str">
        <f>HYPERLINK("https://patents.google.com/patent/CN201936577U/en")</f>
        <v>https://patents.google.com/patent/CN201936577U/en</v>
      </c>
    </row>
    <row r="11992" spans="3:5" x14ac:dyDescent="0.25">
      <c r="C11992" t="s">
        <v>22270</v>
      </c>
      <c r="D11992" t="s">
        <v>22271</v>
      </c>
      <c r="E11992" t="str">
        <f>HYPERLINK("https://patents.google.com/patent/CN1819524A/en")</f>
        <v>https://patents.google.com/patent/CN1819524A/en</v>
      </c>
    </row>
    <row r="11993" spans="3:5" x14ac:dyDescent="0.25">
      <c r="C11993" t="s">
        <v>22272</v>
      </c>
      <c r="D11993" t="s">
        <v>22273</v>
      </c>
      <c r="E11993" t="str">
        <f>HYPERLINK("https://patents.google.com/patent/CN204117557U/en")</f>
        <v>https://patents.google.com/patent/CN204117557U/en</v>
      </c>
    </row>
    <row r="11994" spans="3:5" x14ac:dyDescent="0.25">
      <c r="C11994" t="s">
        <v>22274</v>
      </c>
      <c r="D11994" t="s">
        <v>22275</v>
      </c>
      <c r="E11994" t="str">
        <f>HYPERLINK("https://patents.google.com/patent/US7930212B2/en")</f>
        <v>https://patents.google.com/patent/US7930212B2/en</v>
      </c>
    </row>
    <row r="11995" spans="3:5" x14ac:dyDescent="0.25">
      <c r="C11995" t="s">
        <v>22276</v>
      </c>
      <c r="D11995" t="s">
        <v>22277</v>
      </c>
      <c r="E11995" t="str">
        <f>HYPERLINK("https://patents.google.com/patent/JPH10307741A/en")</f>
        <v>https://patents.google.com/patent/JPH10307741A/en</v>
      </c>
    </row>
    <row r="11996" spans="3:5" x14ac:dyDescent="0.25">
      <c r="C11996" t="s">
        <v>22278</v>
      </c>
      <c r="D11996" t="s">
        <v>22279</v>
      </c>
      <c r="E11996" t="str">
        <f>HYPERLINK("https://patents.google.com/patent/CN202276465U/en")</f>
        <v>https://patents.google.com/patent/CN202276465U/en</v>
      </c>
    </row>
    <row r="11997" spans="3:5" x14ac:dyDescent="0.25">
      <c r="C11997" t="s">
        <v>22280</v>
      </c>
      <c r="D11997" t="s">
        <v>22281</v>
      </c>
      <c r="E11997" t="str">
        <f>HYPERLINK("https://patents.google.com/patent/US20060170670A1/en")</f>
        <v>https://patents.google.com/patent/US20060170670A1/en</v>
      </c>
    </row>
    <row r="11998" spans="3:5" x14ac:dyDescent="0.25">
      <c r="C11998" t="s">
        <v>22282</v>
      </c>
      <c r="D11998" t="s">
        <v>22283</v>
      </c>
      <c r="E11998" t="str">
        <f>HYPERLINK("https://patents.google.com/patent/US20170323575A1/en")</f>
        <v>https://patents.google.com/patent/US20170323575A1/en</v>
      </c>
    </row>
    <row r="11999" spans="3:5" x14ac:dyDescent="0.25">
      <c r="C11999" t="s">
        <v>22284</v>
      </c>
      <c r="D11999" t="s">
        <v>22285</v>
      </c>
      <c r="E11999" t="str">
        <f>HYPERLINK("https://patents.google.com/patent/CN2836164Y/en")</f>
        <v>https://patents.google.com/patent/CN2836164Y/en</v>
      </c>
    </row>
    <row r="12000" spans="3:5" x14ac:dyDescent="0.25">
      <c r="C12000" t="s">
        <v>22286</v>
      </c>
      <c r="D12000" t="s">
        <v>22287</v>
      </c>
      <c r="E12000" t="str">
        <f>HYPERLINK("https://patents.google.com/patent/CN204791892U/en")</f>
        <v>https://patents.google.com/patent/CN204791892U/en</v>
      </c>
    </row>
    <row r="12001" spans="3:5" x14ac:dyDescent="0.25">
      <c r="C12001" t="s">
        <v>22288</v>
      </c>
      <c r="D12001" t="s">
        <v>22289</v>
      </c>
      <c r="E12001" t="str">
        <f>HYPERLINK("https://patents.google.com/patent/CN2298582Y/en")</f>
        <v>https://patents.google.com/patent/CN2298582Y/en</v>
      </c>
    </row>
    <row r="12002" spans="3:5" x14ac:dyDescent="0.25">
      <c r="C12002" t="s">
        <v>22290</v>
      </c>
      <c r="D12002" t="s">
        <v>22291</v>
      </c>
      <c r="E12002" t="str">
        <f>HYPERLINK("https://patents.google.com/patent/CN204857139U/en")</f>
        <v>https://patents.google.com/patent/CN204857139U/en</v>
      </c>
    </row>
    <row r="12003" spans="3:5" x14ac:dyDescent="0.25">
      <c r="C12003" t="s">
        <v>22292</v>
      </c>
      <c r="D12003" t="s">
        <v>22293</v>
      </c>
      <c r="E12003" t="str">
        <f>HYPERLINK("https://patents.google.com/patent/CN204946509U/en")</f>
        <v>https://patents.google.com/patent/CN204946509U/en</v>
      </c>
    </row>
    <row r="12004" spans="3:5" x14ac:dyDescent="0.25">
      <c r="C12004" t="s">
        <v>22294</v>
      </c>
      <c r="D12004" t="s">
        <v>22295</v>
      </c>
      <c r="E12004" t="str">
        <f>HYPERLINK("https://patents.google.com/patent/WO2010144900A1/en")</f>
        <v>https://patents.google.com/patent/WO2010144900A1/en</v>
      </c>
    </row>
    <row r="12005" spans="3:5" x14ac:dyDescent="0.25">
      <c r="C12005" t="s">
        <v>22296</v>
      </c>
      <c r="D12005" t="s">
        <v>22297</v>
      </c>
      <c r="E12005" t="str">
        <f>HYPERLINK("https://patents.google.com/patent/CN1111308C/en")</f>
        <v>https://patents.google.com/patent/CN1111308C/en</v>
      </c>
    </row>
    <row r="12006" spans="3:5" x14ac:dyDescent="0.25">
      <c r="C12006" t="s">
        <v>22298</v>
      </c>
      <c r="D12006" t="s">
        <v>22299</v>
      </c>
      <c r="E12006" t="str">
        <f>HYPERLINK("https://patents.google.com/patent/CN103332153A/en")</f>
        <v>https://patents.google.com/patent/CN103332153A/en</v>
      </c>
    </row>
    <row r="12007" spans="3:5" x14ac:dyDescent="0.25">
      <c r="C12007" t="s">
        <v>22300</v>
      </c>
      <c r="D12007" t="s">
        <v>22301</v>
      </c>
      <c r="E12007" t="str">
        <f>HYPERLINK("https://patents.google.com/patent/CN202305820U/en")</f>
        <v>https://patents.google.com/patent/CN202305820U/en</v>
      </c>
    </row>
    <row r="12008" spans="3:5" x14ac:dyDescent="0.25">
      <c r="C12008" t="s">
        <v>22302</v>
      </c>
      <c r="D12008" t="s">
        <v>22303</v>
      </c>
      <c r="E12008" t="str">
        <f>HYPERLINK("https://patents.google.com/patent/CN201259770Y/en")</f>
        <v>https://patents.google.com/patent/CN201259770Y/en</v>
      </c>
    </row>
    <row r="12009" spans="3:5" x14ac:dyDescent="0.25">
      <c r="C12009" t="s">
        <v>22304</v>
      </c>
      <c r="D12009" t="s">
        <v>22305</v>
      </c>
      <c r="E12009" t="str">
        <f>HYPERLINK("https://patents.google.com/patent/CN102980588A/en")</f>
        <v>https://patents.google.com/patent/CN102980588A/en</v>
      </c>
    </row>
    <row r="12010" spans="3:5" x14ac:dyDescent="0.25">
      <c r="C12010" t="s">
        <v>22306</v>
      </c>
      <c r="D12010" t="s">
        <v>22307</v>
      </c>
      <c r="E12010" t="str">
        <f>HYPERLINK("https://patents.google.com/patent/CN201042003Y/en")</f>
        <v>https://patents.google.com/patent/CN201042003Y/en</v>
      </c>
    </row>
    <row r="12011" spans="3:5" x14ac:dyDescent="0.25">
      <c r="C12011" t="s">
        <v>22308</v>
      </c>
      <c r="D12011" t="s">
        <v>22309</v>
      </c>
      <c r="E12011" t="str">
        <f>HYPERLINK("https://patents.google.com/patent/CN2532626Y/en")</f>
        <v>https://patents.google.com/patent/CN2532626Y/en</v>
      </c>
    </row>
    <row r="12012" spans="3:5" x14ac:dyDescent="0.25">
      <c r="C12012" t="s">
        <v>22310</v>
      </c>
      <c r="D12012" t="s">
        <v>22311</v>
      </c>
      <c r="E12012" t="str">
        <f>HYPERLINK("https://patents.google.com/patent/CN102231870A/en")</f>
        <v>https://patents.google.com/patent/CN102231870A/en</v>
      </c>
    </row>
    <row r="12013" spans="3:5" x14ac:dyDescent="0.25">
      <c r="C12013" t="s">
        <v>22312</v>
      </c>
      <c r="D12013" t="s">
        <v>22313</v>
      </c>
      <c r="E12013" t="str">
        <f>HYPERLINK("https://patents.google.com/patent/CN2520366Y/en")</f>
        <v>https://patents.google.com/patent/CN2520366Y/en</v>
      </c>
    </row>
    <row r="12014" spans="3:5" x14ac:dyDescent="0.25">
      <c r="C12014" t="s">
        <v>22314</v>
      </c>
      <c r="D12014" t="s">
        <v>22315</v>
      </c>
      <c r="E12014" t="str">
        <f>HYPERLINK("https://patents.google.com/patent/CN101715191B/en")</f>
        <v>https://patents.google.com/patent/CN101715191B/en</v>
      </c>
    </row>
    <row r="12015" spans="3:5" x14ac:dyDescent="0.25">
      <c r="C12015" t="s">
        <v>22316</v>
      </c>
      <c r="D12015" t="s">
        <v>22317</v>
      </c>
      <c r="E12015" t="str">
        <f>HYPERLINK("https://patents.google.com/patent/CN102129584A/en")</f>
        <v>https://patents.google.com/patent/CN102129584A/en</v>
      </c>
    </row>
    <row r="12016" spans="3:5" x14ac:dyDescent="0.25">
      <c r="C12016" t="s">
        <v>22318</v>
      </c>
      <c r="D12016" t="s">
        <v>22319</v>
      </c>
      <c r="E12016" t="str">
        <f>HYPERLINK("https://patents.google.com/patent/CN200976252Y/en")</f>
        <v>https://patents.google.com/patent/CN200976252Y/en</v>
      </c>
    </row>
    <row r="12017" spans="3:5" x14ac:dyDescent="0.25">
      <c r="C12017" t="s">
        <v>22320</v>
      </c>
      <c r="D12017" t="s">
        <v>22321</v>
      </c>
      <c r="E12017" t="str">
        <f>HYPERLINK("https://patents.google.com/patent/CN205069075U/en")</f>
        <v>https://patents.google.com/patent/CN205069075U/en</v>
      </c>
    </row>
    <row r="12018" spans="3:5" x14ac:dyDescent="0.25">
      <c r="C12018" t="s">
        <v>22322</v>
      </c>
      <c r="D12018" t="s">
        <v>22323</v>
      </c>
      <c r="E12018" t="str">
        <f>HYPERLINK("https://patents.google.com/patent/CN202855252U/en")</f>
        <v>https://patents.google.com/patent/CN202855252U/en</v>
      </c>
    </row>
    <row r="12019" spans="3:5" x14ac:dyDescent="0.25">
      <c r="C12019" t="s">
        <v>22324</v>
      </c>
      <c r="D12019" t="s">
        <v>22325</v>
      </c>
      <c r="E12019" t="str">
        <f>HYPERLINK("https://patents.google.com/patent/CN201780590U/en")</f>
        <v>https://patents.google.com/patent/CN201780590U/en</v>
      </c>
    </row>
    <row r="12020" spans="3:5" x14ac:dyDescent="0.25">
      <c r="C12020" t="s">
        <v>22326</v>
      </c>
      <c r="D12020" t="s">
        <v>22327</v>
      </c>
      <c r="E12020" t="str">
        <f>HYPERLINK("https://patents.google.com/patent/CN203659393U/en")</f>
        <v>https://patents.google.com/patent/CN203659393U/en</v>
      </c>
    </row>
    <row r="12021" spans="3:5" x14ac:dyDescent="0.25">
      <c r="C12021" t="s">
        <v>22328</v>
      </c>
      <c r="D12021" t="s">
        <v>22329</v>
      </c>
      <c r="E12021" t="str">
        <f>HYPERLINK("https://patents.google.com/patent/CN202871248U/en")</f>
        <v>https://patents.google.com/patent/CN202871248U/en</v>
      </c>
    </row>
    <row r="12022" spans="3:5" x14ac:dyDescent="0.25">
      <c r="C12022" t="s">
        <v>22330</v>
      </c>
      <c r="D12022" t="s">
        <v>22331</v>
      </c>
      <c r="E12022" t="str">
        <f>HYPERLINK("https://patents.google.com/patent/CN202871253U/en")</f>
        <v>https://patents.google.com/patent/CN202871253U/en</v>
      </c>
    </row>
    <row r="12023" spans="3:5" x14ac:dyDescent="0.25">
      <c r="C12023" t="s">
        <v>22332</v>
      </c>
      <c r="D12023" t="s">
        <v>22333</v>
      </c>
      <c r="E12023" t="str">
        <f>HYPERLINK("https://patents.google.com/patent/CN202871252U/en")</f>
        <v>https://patents.google.com/patent/CN202871252U/en</v>
      </c>
    </row>
    <row r="12024" spans="3:5" x14ac:dyDescent="0.25">
      <c r="C12024" t="s">
        <v>22334</v>
      </c>
      <c r="D12024" t="s">
        <v>22335</v>
      </c>
      <c r="E12024" t="str">
        <f>HYPERLINK("https://patents.google.com/patent/CN202855250U/en")</f>
        <v>https://patents.google.com/patent/CN202855250U/en</v>
      </c>
    </row>
    <row r="12025" spans="3:5" x14ac:dyDescent="0.25">
      <c r="C12025" t="s">
        <v>22336</v>
      </c>
      <c r="D12025" t="s">
        <v>22337</v>
      </c>
      <c r="E12025" t="str">
        <f>HYPERLINK("https://patents.google.com/patent/CN102320248A/en")</f>
        <v>https://patents.google.com/patent/CN102320248A/en</v>
      </c>
    </row>
    <row r="12026" spans="3:5" x14ac:dyDescent="0.25">
      <c r="C12026" t="s">
        <v>22338</v>
      </c>
      <c r="D12026" t="s">
        <v>22339</v>
      </c>
      <c r="E12026" t="str">
        <f>HYPERLINK("https://patents.google.com/patent/CN2393752Y/en")</f>
        <v>https://patents.google.com/patent/CN2393752Y/en</v>
      </c>
    </row>
    <row r="12027" spans="3:5" x14ac:dyDescent="0.25">
      <c r="C12027" t="s">
        <v>22340</v>
      </c>
      <c r="D12027" t="s">
        <v>22341</v>
      </c>
      <c r="E12027" t="str">
        <f>HYPERLINK("https://patents.google.com/patent/CN202353811U/en")</f>
        <v>https://patents.google.com/patent/CN202353811U/en</v>
      </c>
    </row>
    <row r="12028" spans="3:5" x14ac:dyDescent="0.25">
      <c r="C12028" t="s">
        <v>22342</v>
      </c>
      <c r="D12028" t="s">
        <v>22343</v>
      </c>
      <c r="E12028" t="str">
        <f>HYPERLINK("https://patents.google.com/patent/CN101640576A/en")</f>
        <v>https://patents.google.com/patent/CN101640576A/en</v>
      </c>
    </row>
    <row r="12029" spans="3:5" x14ac:dyDescent="0.25">
      <c r="C12029" t="s">
        <v>22344</v>
      </c>
      <c r="D12029" t="s">
        <v>22345</v>
      </c>
      <c r="E12029" t="str">
        <f>HYPERLINK("https://patents.google.com/patent/CN203118401U/en")</f>
        <v>https://patents.google.com/patent/CN203118401U/en</v>
      </c>
    </row>
    <row r="12030" spans="3:5" x14ac:dyDescent="0.25">
      <c r="C12030" t="s">
        <v>22346</v>
      </c>
      <c r="D12030" t="s">
        <v>22347</v>
      </c>
      <c r="E12030" t="str">
        <f>HYPERLINK("https://patents.google.com/patent/CN204315208U/en")</f>
        <v>https://patents.google.com/patent/CN204315208U/en</v>
      </c>
    </row>
    <row r="12031" spans="3:5" x14ac:dyDescent="0.25">
      <c r="C12031" t="s">
        <v>22348</v>
      </c>
      <c r="D12031" t="s">
        <v>22349</v>
      </c>
      <c r="E12031" t="str">
        <f>HYPERLINK("https://patents.google.com/patent/CN2775941Y/en")</f>
        <v>https://patents.google.com/patent/CN2775941Y/en</v>
      </c>
    </row>
    <row r="12032" spans="3:5" x14ac:dyDescent="0.25">
      <c r="C12032" t="s">
        <v>22350</v>
      </c>
      <c r="D12032" t="s">
        <v>22351</v>
      </c>
      <c r="E12032" t="str">
        <f>HYPERLINK("https://patents.google.com/patent/US6055514A/en")</f>
        <v>https://patents.google.com/patent/US6055514A/en</v>
      </c>
    </row>
    <row r="12033" spans="3:5" x14ac:dyDescent="0.25">
      <c r="C12033" t="s">
        <v>22352</v>
      </c>
      <c r="D12033" t="s">
        <v>22353</v>
      </c>
      <c r="E12033" t="str">
        <f>HYPERLINK("https://patents.google.com/patent/KR101593133B1/en")</f>
        <v>https://patents.google.com/patent/KR101593133B1/en</v>
      </c>
    </row>
    <row r="12034" spans="3:5" x14ac:dyDescent="0.25">
      <c r="C12034" t="s">
        <v>22354</v>
      </c>
      <c r="D12034" t="s">
        <v>22355</v>
      </c>
      <c r="E12034" t="str">
        <f>HYPERLINK("https://patents.google.com/patent/CN200983584Y/en")</f>
        <v>https://patents.google.com/patent/CN200983584Y/en</v>
      </c>
    </row>
    <row r="12035" spans="3:5" x14ac:dyDescent="0.25">
      <c r="C12035" t="s">
        <v>22356</v>
      </c>
      <c r="D12035" t="s">
        <v>22357</v>
      </c>
      <c r="E12035" t="str">
        <f>HYPERLINK("https://patents.google.com/patent/CN204613995U/en")</f>
        <v>https://patents.google.com/patent/CN204613995U/en</v>
      </c>
    </row>
    <row r="12036" spans="3:5" x14ac:dyDescent="0.25">
      <c r="C12036" t="s">
        <v>22358</v>
      </c>
      <c r="D12036" t="s">
        <v>22359</v>
      </c>
      <c r="E12036" t="str">
        <f>HYPERLINK("https://patents.google.com/patent/CN201251446Y/en")</f>
        <v>https://patents.google.com/patent/CN201251446Y/en</v>
      </c>
    </row>
    <row r="12037" spans="3:5" x14ac:dyDescent="0.25">
      <c r="C12037" t="s">
        <v>22360</v>
      </c>
      <c r="D12037" t="s">
        <v>22361</v>
      </c>
      <c r="E12037" t="str">
        <f>HYPERLINK("https://patents.google.com/patent/CN201251885Y/en")</f>
        <v>https://patents.google.com/patent/CN201251885Y/en</v>
      </c>
    </row>
    <row r="12038" spans="3:5" x14ac:dyDescent="0.25">
      <c r="C12038" t="s">
        <v>22362</v>
      </c>
      <c r="D12038" t="s">
        <v>22363</v>
      </c>
      <c r="E12038" t="str">
        <f>HYPERLINK("https://patents.google.com/patent/JP3228754B2/en")</f>
        <v>https://patents.google.com/patent/JP3228754B2/en</v>
      </c>
    </row>
    <row r="12039" spans="3:5" x14ac:dyDescent="0.25">
      <c r="C12039" t="s">
        <v>22364</v>
      </c>
      <c r="D12039" t="s">
        <v>22365</v>
      </c>
      <c r="E12039" t="str">
        <f>HYPERLINK("https://patents.google.com/patent/CN2849659Y/en")</f>
        <v>https://patents.google.com/patent/CN2849659Y/en</v>
      </c>
    </row>
    <row r="12040" spans="3:5" x14ac:dyDescent="0.25">
      <c r="C12040" t="s">
        <v>22366</v>
      </c>
      <c r="D12040" t="s">
        <v>22367</v>
      </c>
      <c r="E12040" t="str">
        <f>HYPERLINK("https://patents.google.com/patent/US20140067255A1/en")</f>
        <v>https://patents.google.com/patent/US20140067255A1/en</v>
      </c>
    </row>
    <row r="12041" spans="3:5" x14ac:dyDescent="0.25">
      <c r="C12041" t="s">
        <v>22368</v>
      </c>
      <c r="D12041" t="s">
        <v>22369</v>
      </c>
      <c r="E12041" t="str">
        <f>HYPERLINK("https://patents.google.com/patent/JP3512195B2/en")</f>
        <v>https://patents.google.com/patent/JP3512195B2/en</v>
      </c>
    </row>
    <row r="12042" spans="3:5" x14ac:dyDescent="0.25">
      <c r="C12042" t="s">
        <v>22370</v>
      </c>
      <c r="D12042" t="s">
        <v>22371</v>
      </c>
      <c r="E12042" t="str">
        <f>HYPERLINK("https://patents.google.com/patent/CN200972655Y/en")</f>
        <v>https://patents.google.com/patent/CN200972655Y/en</v>
      </c>
    </row>
    <row r="12043" spans="3:5" x14ac:dyDescent="0.25">
      <c r="C12043" t="s">
        <v>22220</v>
      </c>
      <c r="D12043" t="s">
        <v>22372</v>
      </c>
      <c r="E12043" t="str">
        <f>HYPERLINK("https://patents.google.com/patent/US7379900B1/en")</f>
        <v>https://patents.google.com/patent/US7379900B1/en</v>
      </c>
    </row>
    <row r="12044" spans="3:5" x14ac:dyDescent="0.25">
      <c r="C12044" t="s">
        <v>22373</v>
      </c>
      <c r="D12044" t="s">
        <v>22374</v>
      </c>
      <c r="E12044" t="str">
        <f>HYPERLINK("https://patents.google.com/patent/US6731239B2/en")</f>
        <v>https://patents.google.com/patent/US6731239B2/en</v>
      </c>
    </row>
    <row r="12045" spans="3:5" x14ac:dyDescent="0.25">
      <c r="C12045" t="s">
        <v>22375</v>
      </c>
      <c r="D12045" t="s">
        <v>22376</v>
      </c>
      <c r="E12045" t="str">
        <f>HYPERLINK("https://patents.google.com/patent/US20080005224A1/en")</f>
        <v>https://patents.google.com/patent/US20080005224A1/en</v>
      </c>
    </row>
    <row r="12046" spans="3:5" x14ac:dyDescent="0.25">
      <c r="C12046" t="s">
        <v>22377</v>
      </c>
      <c r="D12046" t="s">
        <v>22378</v>
      </c>
      <c r="E12046" t="str">
        <f>HYPERLINK("https://patents.google.com/patent/US5760771A/en")</f>
        <v>https://patents.google.com/patent/US5760771A/en</v>
      </c>
    </row>
    <row r="12047" spans="3:5" x14ac:dyDescent="0.25">
      <c r="C12047" t="s">
        <v>22379</v>
      </c>
      <c r="D12047" t="s">
        <v>22380</v>
      </c>
      <c r="E12047" t="str">
        <f>HYPERLINK("https://patents.google.com/patent/US4625100A/en")</f>
        <v>https://patents.google.com/patent/US4625100A/en</v>
      </c>
    </row>
    <row r="12048" spans="3:5" x14ac:dyDescent="0.25">
      <c r="C12048" t="s">
        <v>22381</v>
      </c>
      <c r="D12048" t="s">
        <v>22382</v>
      </c>
      <c r="E12048" t="str">
        <f>HYPERLINK("https://patents.google.com/patent/EP0672890B1/en")</f>
        <v>https://patents.google.com/patent/EP0672890B1/en</v>
      </c>
    </row>
    <row r="12049" spans="3:5" x14ac:dyDescent="0.25">
      <c r="C12049" t="s">
        <v>22383</v>
      </c>
      <c r="D12049" t="s">
        <v>22384</v>
      </c>
      <c r="E12049" t="str">
        <f>HYPERLINK("https://patents.google.com/patent/CN2621362Y/en")</f>
        <v>https://patents.google.com/patent/CN2621362Y/en</v>
      </c>
    </row>
    <row r="12050" spans="3:5" x14ac:dyDescent="0.25">
      <c r="C12050" t="s">
        <v>22385</v>
      </c>
      <c r="D12050" t="s">
        <v>22386</v>
      </c>
      <c r="E12050" t="str">
        <f>HYPERLINK("https://patents.google.com/patent/KR20010087962A/en")</f>
        <v>https://patents.google.com/patent/KR20010087962A/en</v>
      </c>
    </row>
    <row r="12051" spans="3:5" x14ac:dyDescent="0.25">
      <c r="C12051" t="s">
        <v>22387</v>
      </c>
      <c r="D12051" t="s">
        <v>22388</v>
      </c>
      <c r="E12051" t="str">
        <f>HYPERLINK("https://patents.google.com/patent/US20020069415A1/en")</f>
        <v>https://patents.google.com/patent/US20020069415A1/en</v>
      </c>
    </row>
    <row r="12052" spans="3:5" x14ac:dyDescent="0.25">
      <c r="C12052" t="s">
        <v>22389</v>
      </c>
      <c r="D12052" t="s">
        <v>22390</v>
      </c>
      <c r="E12052" t="str">
        <f>HYPERLINK("https://patents.google.com/patent/WO2007137067A2/en")</f>
        <v>https://patents.google.com/patent/WO2007137067A2/en</v>
      </c>
    </row>
    <row r="12053" spans="3:5" x14ac:dyDescent="0.25">
      <c r="C12053" t="s">
        <v>22391</v>
      </c>
      <c r="D12053" t="s">
        <v>22392</v>
      </c>
      <c r="E12053" t="str">
        <f>HYPERLINK("https://patents.google.com/patent/US20070208749A1/en")</f>
        <v>https://patents.google.com/patent/US20070208749A1/en</v>
      </c>
    </row>
    <row r="12054" spans="3:5" x14ac:dyDescent="0.25">
      <c r="C12054" t="s">
        <v>22393</v>
      </c>
      <c r="D12054" t="s">
        <v>22394</v>
      </c>
      <c r="E12054" t="str">
        <f>HYPERLINK("https://patents.google.com/patent/JP2003101900A/en")</f>
        <v>https://patents.google.com/patent/JP2003101900A/en</v>
      </c>
    </row>
    <row r="12055" spans="3:5" x14ac:dyDescent="0.25">
      <c r="C12055" t="s">
        <v>22395</v>
      </c>
      <c r="D12055" t="s">
        <v>22396</v>
      </c>
      <c r="E12055" t="str">
        <f>HYPERLINK("https://patents.google.com/patent/JPH09214905A/en")</f>
        <v>https://patents.google.com/patent/JPH09214905A/en</v>
      </c>
    </row>
    <row r="12056" spans="3:5" x14ac:dyDescent="0.25">
      <c r="C12056" t="s">
        <v>22397</v>
      </c>
      <c r="D12056" t="s">
        <v>22398</v>
      </c>
      <c r="E12056" t="str">
        <f>HYPERLINK("https://patents.google.com/patent/US6144991A/en")</f>
        <v>https://patents.google.com/patent/US6144991A/en</v>
      </c>
    </row>
    <row r="12057" spans="3:5" x14ac:dyDescent="0.25">
      <c r="C12057" t="s">
        <v>22399</v>
      </c>
      <c r="D12057" t="s">
        <v>22400</v>
      </c>
      <c r="E12057" t="str">
        <f>HYPERLINK("https://patents.google.com/patent/EP0917359A1/en")</f>
        <v>https://patents.google.com/patent/EP0917359A1/en</v>
      </c>
    </row>
    <row r="12058" spans="3:5" x14ac:dyDescent="0.25">
      <c r="C12058" t="s">
        <v>22401</v>
      </c>
      <c r="D12058" t="s">
        <v>22402</v>
      </c>
      <c r="E12058" t="str">
        <f>HYPERLINK("https://patents.google.com/patent/US5929848A/en")</f>
        <v>https://patents.google.com/patent/US5929848A/en</v>
      </c>
    </row>
    <row r="12059" spans="3:5" x14ac:dyDescent="0.25">
      <c r="C12059" t="s">
        <v>22403</v>
      </c>
      <c r="D12059" t="s">
        <v>22404</v>
      </c>
      <c r="E12059" t="str">
        <f>HYPERLINK("https://patents.google.com/patent/US4991126A/en")</f>
        <v>https://patents.google.com/patent/US4991126A/en</v>
      </c>
    </row>
    <row r="12060" spans="3:5" x14ac:dyDescent="0.25">
      <c r="C12060" t="s">
        <v>22405</v>
      </c>
      <c r="D12060" t="s">
        <v>22406</v>
      </c>
      <c r="E12060" t="str">
        <f>HYPERLINK("https://patents.google.com/patent/US7107533B2/en")</f>
        <v>https://patents.google.com/patent/US7107533B2/en</v>
      </c>
    </row>
    <row r="12061" spans="3:5" x14ac:dyDescent="0.25">
      <c r="C12061" t="s">
        <v>22407</v>
      </c>
      <c r="D12061" t="s">
        <v>22408</v>
      </c>
      <c r="E12061" t="str">
        <f>HYPERLINK("https://patents.google.com/patent/US6359699B1/en")</f>
        <v>https://patents.google.com/patent/US6359699B1/en</v>
      </c>
    </row>
    <row r="12062" spans="3:5" x14ac:dyDescent="0.25">
      <c r="C12062" t="s">
        <v>22409</v>
      </c>
      <c r="D12062" t="s">
        <v>22410</v>
      </c>
      <c r="E12062" t="str">
        <f>HYPERLINK("https://patents.google.com/patent/US6572662B2/en")</f>
        <v>https://patents.google.com/patent/US6572662B2/en</v>
      </c>
    </row>
    <row r="12063" spans="3:5" x14ac:dyDescent="0.25">
      <c r="C12063" t="s">
        <v>22411</v>
      </c>
      <c r="D12063" t="s">
        <v>22412</v>
      </c>
      <c r="E12063" t="str">
        <f>HYPERLINK("https://patents.google.com/patent/CN101430203A/en")</f>
        <v>https://patents.google.com/patent/CN101430203A/en</v>
      </c>
    </row>
    <row r="12064" spans="3:5" x14ac:dyDescent="0.25">
      <c r="C12064" t="s">
        <v>22413</v>
      </c>
      <c r="D12064" t="s">
        <v>22414</v>
      </c>
      <c r="E12064" t="str">
        <f>HYPERLINK("https://patents.google.com/patent/US5819227A/en")</f>
        <v>https://patents.google.com/patent/US5819227A/en</v>
      </c>
    </row>
    <row r="12065" spans="3:5" x14ac:dyDescent="0.25">
      <c r="C12065" t="s">
        <v>22415</v>
      </c>
      <c r="D12065" t="s">
        <v>22416</v>
      </c>
      <c r="E12065" t="str">
        <f>HYPERLINK("https://patents.google.com/patent/CN101436317A/en")</f>
        <v>https://patents.google.com/patent/CN101436317A/en</v>
      </c>
    </row>
    <row r="12066" spans="3:5" x14ac:dyDescent="0.25">
      <c r="C12066" t="s">
        <v>22417</v>
      </c>
      <c r="D12066" t="s">
        <v>22418</v>
      </c>
      <c r="E12066" t="str">
        <f>HYPERLINK("https://patents.google.com/patent/US7570261B1/en")</f>
        <v>https://patents.google.com/patent/US7570261B1/en</v>
      </c>
    </row>
    <row r="12067" spans="3:5" x14ac:dyDescent="0.25">
      <c r="C12067" t="s">
        <v>22419</v>
      </c>
      <c r="D12067" t="s">
        <v>22420</v>
      </c>
      <c r="E12067" t="str">
        <f>HYPERLINK("https://patents.google.com/patent/CN1897559A/en")</f>
        <v>https://patents.google.com/patent/CN1897559A/en</v>
      </c>
    </row>
    <row r="12068" spans="3:5" x14ac:dyDescent="0.25">
      <c r="C12068" t="s">
        <v>22421</v>
      </c>
      <c r="D12068" t="s">
        <v>22422</v>
      </c>
      <c r="E12068" t="str">
        <f>HYPERLINK("https://patents.google.com/patent/US6381534B2/en")</f>
        <v>https://patents.google.com/patent/US6381534B2/en</v>
      </c>
    </row>
    <row r="12069" spans="3:5" x14ac:dyDescent="0.25">
      <c r="C12069" t="s">
        <v>22423</v>
      </c>
      <c r="D12069" t="s">
        <v>22424</v>
      </c>
      <c r="E12069" t="str">
        <f>HYPERLINK("https://patents.google.com/patent/US5800178A/en")</f>
        <v>https://patents.google.com/patent/US5800178A/en</v>
      </c>
    </row>
    <row r="12070" spans="3:5" x14ac:dyDescent="0.25">
      <c r="C12070" t="s">
        <v>22425</v>
      </c>
      <c r="D12070" t="s">
        <v>22426</v>
      </c>
      <c r="E12070" t="str">
        <f>HYPERLINK("https://patents.google.com/patent/US6009429A/en")</f>
        <v>https://patents.google.com/patent/US6009429A/en</v>
      </c>
    </row>
    <row r="12071" spans="3:5" x14ac:dyDescent="0.25">
      <c r="C12071" t="s">
        <v>22427</v>
      </c>
      <c r="D12071" t="s">
        <v>22428</v>
      </c>
      <c r="E12071" t="str">
        <f>HYPERLINK("https://patents.google.com/patent/US7363645B1/en")</f>
        <v>https://patents.google.com/patent/US7363645B1/en</v>
      </c>
    </row>
    <row r="12072" spans="3:5" x14ac:dyDescent="0.25">
      <c r="C12072" t="s">
        <v>22429</v>
      </c>
      <c r="D12072" t="s">
        <v>22430</v>
      </c>
      <c r="E12072" t="str">
        <f>HYPERLINK("https://patents.google.com/patent/US6487180B1/en")</f>
        <v>https://patents.google.com/patent/US6487180B1/en</v>
      </c>
    </row>
    <row r="12073" spans="3:5" x14ac:dyDescent="0.25">
      <c r="C12073" t="s">
        <v>22431</v>
      </c>
      <c r="D12073" t="s">
        <v>22432</v>
      </c>
      <c r="E12073" t="str">
        <f>HYPERLINK("https://patents.google.com/patent/US6055478A/en")</f>
        <v>https://patents.google.com/patent/US6055478A/en</v>
      </c>
    </row>
    <row r="12074" spans="3:5" x14ac:dyDescent="0.25">
      <c r="C12074" t="s">
        <v>22433</v>
      </c>
      <c r="D12074" t="s">
        <v>22434</v>
      </c>
      <c r="E12074" t="str">
        <f>HYPERLINK("https://patents.google.com/patent/US6672991B2/en")</f>
        <v>https://patents.google.com/patent/US6672991B2/en</v>
      </c>
    </row>
    <row r="12075" spans="3:5" x14ac:dyDescent="0.25">
      <c r="C12075" t="s">
        <v>21854</v>
      </c>
      <c r="D12075" t="s">
        <v>22435</v>
      </c>
      <c r="E12075" t="str">
        <f>HYPERLINK("https://patents.google.com/patent/US20130083011A1/en")</f>
        <v>https://patents.google.com/patent/US20130083011A1/en</v>
      </c>
    </row>
    <row r="12076" spans="3:5" x14ac:dyDescent="0.25">
      <c r="C12076" t="s">
        <v>22436</v>
      </c>
      <c r="D12076" t="s">
        <v>22437</v>
      </c>
      <c r="E12076" t="str">
        <f>HYPERLINK("https://patents.google.com/patent/US5963948A/en")</f>
        <v>https://patents.google.com/patent/US5963948A/en</v>
      </c>
    </row>
    <row r="12077" spans="3:5" x14ac:dyDescent="0.25">
      <c r="C12077" t="s">
        <v>22438</v>
      </c>
      <c r="D12077" t="s">
        <v>22439</v>
      </c>
      <c r="E12077" t="str">
        <f>HYPERLINK("https://patents.google.com/patent/US6492997B1/en")</f>
        <v>https://patents.google.com/patent/US6492997B1/en</v>
      </c>
    </row>
    <row r="12078" spans="3:5" x14ac:dyDescent="0.25">
      <c r="C12078" t="s">
        <v>22440</v>
      </c>
      <c r="D12078" t="s">
        <v>22441</v>
      </c>
      <c r="E12078" t="str">
        <f>HYPERLINK("https://patents.google.com/patent/US6311214B1/en")</f>
        <v>https://patents.google.com/patent/US6311214B1/en</v>
      </c>
    </row>
    <row r="12079" spans="3:5" x14ac:dyDescent="0.25">
      <c r="C12079" t="s">
        <v>22442</v>
      </c>
      <c r="D12079" t="s">
        <v>22443</v>
      </c>
      <c r="E12079" t="str">
        <f>HYPERLINK("https://patents.google.com/patent/US6307556B1/en")</f>
        <v>https://patents.google.com/patent/US6307556B1/en</v>
      </c>
    </row>
    <row r="12080" spans="3:5" x14ac:dyDescent="0.25">
      <c r="C12080" t="s">
        <v>22444</v>
      </c>
      <c r="D12080" t="s">
        <v>22445</v>
      </c>
      <c r="E12080" t="str">
        <f>HYPERLINK("https://patents.google.com/patent/US6278461B1/en")</f>
        <v>https://patents.google.com/patent/US6278461B1/en</v>
      </c>
    </row>
    <row r="12081" spans="3:5" x14ac:dyDescent="0.25">
      <c r="C12081" t="s">
        <v>22446</v>
      </c>
      <c r="D12081" t="s">
        <v>22447</v>
      </c>
      <c r="E12081" t="str">
        <f>HYPERLINK("https://patents.google.com/patent/US6360167B1/en")</f>
        <v>https://patents.google.com/patent/US6360167B1/en</v>
      </c>
    </row>
    <row r="12082" spans="3:5" x14ac:dyDescent="0.25">
      <c r="C12082" t="s">
        <v>22448</v>
      </c>
      <c r="D12082" t="s">
        <v>22449</v>
      </c>
      <c r="E12082" t="str">
        <f>HYPERLINK("https://patents.google.com/patent/US6574672B1/en")</f>
        <v>https://patents.google.com/patent/US6574672B1/en</v>
      </c>
    </row>
    <row r="12083" spans="3:5" x14ac:dyDescent="0.25">
      <c r="C12083" t="s">
        <v>22450</v>
      </c>
      <c r="D12083" t="s">
        <v>22451</v>
      </c>
      <c r="E12083" t="str">
        <f>HYPERLINK("https://patents.google.com/patent/US7837094B2/en")</f>
        <v>https://patents.google.com/patent/US7837094B2/en</v>
      </c>
    </row>
    <row r="12084" spans="3:5" x14ac:dyDescent="0.25">
      <c r="C12084" t="s">
        <v>22452</v>
      </c>
      <c r="D12084" t="s">
        <v>22453</v>
      </c>
      <c r="E12084" t="str">
        <f>HYPERLINK("https://patents.google.com/patent/US6055536A/en")</f>
        <v>https://patents.google.com/patent/US6055536A/en</v>
      </c>
    </row>
    <row r="12085" spans="3:5" x14ac:dyDescent="0.25">
      <c r="C12085" t="s">
        <v>22454</v>
      </c>
      <c r="D12085" t="s">
        <v>22455</v>
      </c>
      <c r="E12085" t="str">
        <f>HYPERLINK("https://patents.google.com/patent/US6697894B1/en")</f>
        <v>https://patents.google.com/patent/US6697894B1/en</v>
      </c>
    </row>
    <row r="12086" spans="3:5" x14ac:dyDescent="0.25">
      <c r="C12086" t="s">
        <v>22456</v>
      </c>
      <c r="D12086" t="s">
        <v>22457</v>
      </c>
      <c r="E12086" t="str">
        <f>HYPERLINK("https://patents.google.com/patent/US5311425A/en")</f>
        <v>https://patents.google.com/patent/US5311425A/en</v>
      </c>
    </row>
    <row r="12087" spans="3:5" x14ac:dyDescent="0.25">
      <c r="C12087" t="s">
        <v>22458</v>
      </c>
      <c r="D12087" t="s">
        <v>22459</v>
      </c>
      <c r="E12087" t="str">
        <f>HYPERLINK("https://patents.google.com/patent/US5473990A/en")</f>
        <v>https://patents.google.com/patent/US5473990A/en</v>
      </c>
    </row>
    <row r="12088" spans="3:5" x14ac:dyDescent="0.25">
      <c r="C12088" t="s">
        <v>22460</v>
      </c>
      <c r="D12088" t="s">
        <v>22461</v>
      </c>
      <c r="E12088" t="str">
        <f>HYPERLINK("https://patents.google.com/patent/US5923627A/en")</f>
        <v>https://patents.google.com/patent/US5923627A/en</v>
      </c>
    </row>
    <row r="12089" spans="3:5" x14ac:dyDescent="0.25">
      <c r="C12089" t="s">
        <v>22462</v>
      </c>
      <c r="D12089" t="s">
        <v>22463</v>
      </c>
      <c r="E12089" t="str">
        <f>HYPERLINK("https://patents.google.com/patent/US6356437B1/en")</f>
        <v>https://patents.google.com/patent/US6356437B1/en</v>
      </c>
    </row>
    <row r="12090" spans="3:5" x14ac:dyDescent="0.25">
      <c r="C12090" t="s">
        <v>22464</v>
      </c>
      <c r="D12090" t="s">
        <v>22465</v>
      </c>
      <c r="E12090" t="str">
        <f>HYPERLINK("https://patents.google.com/patent/US7249315B2/en")</f>
        <v>https://patents.google.com/patent/US7249315B2/en</v>
      </c>
    </row>
    <row r="12091" spans="3:5" x14ac:dyDescent="0.25">
      <c r="C12091" t="s">
        <v>22466</v>
      </c>
      <c r="D12091" t="s">
        <v>22467</v>
      </c>
      <c r="E12091" t="str">
        <f>HYPERLINK("https://patents.google.com/patent/US6452611B1/en")</f>
        <v>https://patents.google.com/patent/US6452611B1/en</v>
      </c>
    </row>
    <row r="12092" spans="3:5" x14ac:dyDescent="0.25">
      <c r="C12092" t="s">
        <v>22468</v>
      </c>
      <c r="D12092" t="s">
        <v>22469</v>
      </c>
      <c r="E12092" t="str">
        <f>HYPERLINK("https://patents.google.com/patent/US6088428A/en")</f>
        <v>https://patents.google.com/patent/US6088428A/en</v>
      </c>
    </row>
    <row r="12093" spans="3:5" x14ac:dyDescent="0.25">
      <c r="C12093" t="s">
        <v>22470</v>
      </c>
      <c r="D12093" t="s">
        <v>22471</v>
      </c>
      <c r="E12093" t="str">
        <f>HYPERLINK("https://patents.google.com/patent/US7396281B2/en")</f>
        <v>https://patents.google.com/patent/US7396281B2/en</v>
      </c>
    </row>
    <row r="12094" spans="3:5" x14ac:dyDescent="0.25">
      <c r="C12094" t="s">
        <v>17362</v>
      </c>
      <c r="D12094" t="s">
        <v>22472</v>
      </c>
      <c r="E12094" t="str">
        <f>HYPERLINK("https://patents.google.com/patent/US8597570B2/en")</f>
        <v>https://patents.google.com/patent/US8597570B2/en</v>
      </c>
    </row>
    <row r="12095" spans="3:5" x14ac:dyDescent="0.25">
      <c r="C12095" t="s">
        <v>21801</v>
      </c>
      <c r="D12095" t="s">
        <v>22473</v>
      </c>
      <c r="E12095" t="str">
        <f>HYPERLINK("https://patents.google.com/patent/CN204833996U/en")</f>
        <v>https://patents.google.com/patent/CN204833996U/en</v>
      </c>
    </row>
    <row r="12096" spans="3:5" x14ac:dyDescent="0.25">
      <c r="C12096" t="s">
        <v>22474</v>
      </c>
      <c r="D12096" t="s">
        <v>22475</v>
      </c>
      <c r="E12096" t="str">
        <f>HYPERLINK("https://patents.google.com/patent/US6396512B1/en")</f>
        <v>https://patents.google.com/patent/US6396512B1/en</v>
      </c>
    </row>
    <row r="12097" spans="3:5" x14ac:dyDescent="0.25">
      <c r="C12097" t="s">
        <v>22476</v>
      </c>
      <c r="D12097" t="s">
        <v>22477</v>
      </c>
      <c r="E12097" t="str">
        <f>HYPERLINK("https://patents.google.com/patent/CN207284036U/en")</f>
        <v>https://patents.google.com/patent/CN207284036U/en</v>
      </c>
    </row>
    <row r="12098" spans="3:5" x14ac:dyDescent="0.25">
      <c r="C12098" t="s">
        <v>22474</v>
      </c>
      <c r="D12098" t="s">
        <v>22478</v>
      </c>
      <c r="E12098" t="str">
        <f>HYPERLINK("https://patents.google.com/patent/US6571281B1/en")</f>
        <v>https://patents.google.com/patent/US6571281B1/en</v>
      </c>
    </row>
    <row r="12099" spans="3:5" x14ac:dyDescent="0.25">
      <c r="C12099" t="s">
        <v>22479</v>
      </c>
      <c r="D12099" t="s">
        <v>22480</v>
      </c>
      <c r="E12099" t="str">
        <f>HYPERLINK("https://patents.google.com/patent/CN201828269U/en")</f>
        <v>https://patents.google.com/patent/CN201828269U/en</v>
      </c>
    </row>
    <row r="12100" spans="3:5" x14ac:dyDescent="0.25">
      <c r="C12100" t="s">
        <v>22481</v>
      </c>
      <c r="D12100" t="s">
        <v>22482</v>
      </c>
      <c r="E12100" t="str">
        <f>HYPERLINK("https://patents.google.com/patent/CN207279187U/en")</f>
        <v>https://patents.google.com/patent/CN207279187U/en</v>
      </c>
    </row>
    <row r="12101" spans="3:5" x14ac:dyDescent="0.25">
      <c r="C12101" t="s">
        <v>22483</v>
      </c>
      <c r="D12101" t="s">
        <v>22484</v>
      </c>
      <c r="E12101" t="str">
        <f>HYPERLINK("https://patents.google.com/patent/US5583844A/en")</f>
        <v>https://patents.google.com/patent/US5583844A/en</v>
      </c>
    </row>
    <row r="12102" spans="3:5" x14ac:dyDescent="0.25">
      <c r="C12102" t="s">
        <v>22485</v>
      </c>
      <c r="D12102" t="s">
        <v>22486</v>
      </c>
      <c r="E12102" t="str">
        <f>HYPERLINK("https://patents.google.com/patent/US2995729A/en")</f>
        <v>https://patents.google.com/patent/US2995729A/en</v>
      </c>
    </row>
    <row r="12103" spans="3:5" x14ac:dyDescent="0.25">
      <c r="C12103" t="s">
        <v>22487</v>
      </c>
      <c r="D12103" t="s">
        <v>22488</v>
      </c>
      <c r="E12103" t="str">
        <f>HYPERLINK("https://patents.google.com/patent/US5909661A/en")</f>
        <v>https://patents.google.com/patent/US5909661A/en</v>
      </c>
    </row>
    <row r="12104" spans="3:5" x14ac:dyDescent="0.25">
      <c r="C12104" t="s">
        <v>22489</v>
      </c>
      <c r="D12104" t="s">
        <v>22490</v>
      </c>
      <c r="E12104" t="str">
        <f>HYPERLINK("https://patents.google.com/patent/US7363126B1/en")</f>
        <v>https://patents.google.com/patent/US7363126B1/en</v>
      </c>
    </row>
    <row r="12105" spans="3:5" x14ac:dyDescent="0.25">
      <c r="C12105" t="s">
        <v>22491</v>
      </c>
      <c r="D12105" t="s">
        <v>22492</v>
      </c>
      <c r="E12105" t="str">
        <f>HYPERLINK("https://patents.google.com/patent/US20050128212A1/en")</f>
        <v>https://patents.google.com/patent/US20050128212A1/en</v>
      </c>
    </row>
    <row r="12106" spans="3:5" x14ac:dyDescent="0.25">
      <c r="C12106" t="s">
        <v>22493</v>
      </c>
      <c r="D12106" t="s">
        <v>22494</v>
      </c>
      <c r="E12106" t="str">
        <f>HYPERLINK("https://patents.google.com/patent/US20020099586A1/en")</f>
        <v>https://patents.google.com/patent/US20020099586A1/en</v>
      </c>
    </row>
    <row r="12107" spans="3:5" x14ac:dyDescent="0.25">
      <c r="C12107" t="s">
        <v>22495</v>
      </c>
      <c r="D12107" t="s">
        <v>22496</v>
      </c>
      <c r="E12107" t="str">
        <f>HYPERLINK("https://patents.google.com/patent/DE19506890A1/en")</f>
        <v>https://patents.google.com/patent/DE19506890A1/en</v>
      </c>
    </row>
    <row r="12108" spans="3:5" x14ac:dyDescent="0.25">
      <c r="C12108" t="s">
        <v>22497</v>
      </c>
      <c r="D12108" t="s">
        <v>22498</v>
      </c>
      <c r="E12108" t="str">
        <f>HYPERLINK("https://patents.google.com/patent/US20080086696A1/en")</f>
        <v>https://patents.google.com/patent/US20080086696A1/en</v>
      </c>
    </row>
    <row r="12109" spans="3:5" x14ac:dyDescent="0.25">
      <c r="C12109" t="s">
        <v>22499</v>
      </c>
      <c r="D12109" t="s">
        <v>22500</v>
      </c>
      <c r="E12109" t="str">
        <f>HYPERLINK("https://patents.google.com/patent/CN1405997A/en")</f>
        <v>https://patents.google.com/patent/CN1405997A/en</v>
      </c>
    </row>
    <row r="12110" spans="3:5" x14ac:dyDescent="0.25">
      <c r="C12110" t="s">
        <v>22501</v>
      </c>
      <c r="D12110" t="s">
        <v>22502</v>
      </c>
      <c r="E12110" t="str">
        <f>HYPERLINK("https://patents.google.com/patent/US20070000849A1/en")</f>
        <v>https://patents.google.com/patent/US20070000849A1/en</v>
      </c>
    </row>
    <row r="12111" spans="3:5" x14ac:dyDescent="0.25">
      <c r="C12111" t="s">
        <v>22503</v>
      </c>
      <c r="D12111" t="s">
        <v>22504</v>
      </c>
      <c r="E12111" t="str">
        <f>HYPERLINK("https://patents.google.com/patent/CN202334517U/en")</f>
        <v>https://patents.google.com/patent/CN202334517U/en</v>
      </c>
    </row>
    <row r="12112" spans="3:5" x14ac:dyDescent="0.25">
      <c r="C12112" t="s">
        <v>22505</v>
      </c>
      <c r="D12112" t="s">
        <v>22506</v>
      </c>
      <c r="E12112" t="str">
        <f>HYPERLINK("https://patents.google.com/patent/US20090216633A1/en")</f>
        <v>https://patents.google.com/patent/US20090216633A1/en</v>
      </c>
    </row>
    <row r="12113" spans="3:5" x14ac:dyDescent="0.25">
      <c r="C12113" t="s">
        <v>22507</v>
      </c>
      <c r="D12113" t="s">
        <v>22508</v>
      </c>
      <c r="E12113" t="str">
        <f>HYPERLINK("https://patents.google.com/patent/US7305398B2/en")</f>
        <v>https://patents.google.com/patent/US7305398B2/en</v>
      </c>
    </row>
    <row r="12114" spans="3:5" x14ac:dyDescent="0.25">
      <c r="C12114" t="s">
        <v>22509</v>
      </c>
      <c r="D12114" t="s">
        <v>22510</v>
      </c>
      <c r="E12114" t="str">
        <f>HYPERLINK("https://patents.google.com/patent/US20100190510A1/en")</f>
        <v>https://patents.google.com/patent/US20100190510A1/en</v>
      </c>
    </row>
    <row r="12115" spans="3:5" x14ac:dyDescent="0.25">
      <c r="C12115" t="s">
        <v>22511</v>
      </c>
      <c r="D12115" t="s">
        <v>22512</v>
      </c>
      <c r="E12115" t="str">
        <f>HYPERLINK("https://patents.google.com/patent/US20070143155A1/en")</f>
        <v>https://patents.google.com/patent/US20070143155A1/en</v>
      </c>
    </row>
    <row r="12116" spans="3:5" x14ac:dyDescent="0.25">
      <c r="C12116" t="s">
        <v>22511</v>
      </c>
      <c r="D12116" t="s">
        <v>22513</v>
      </c>
      <c r="E12116" t="str">
        <f>HYPERLINK("https://patents.google.com/patent/US20080091482A1/en")</f>
        <v>https://patents.google.com/patent/US20080091482A1/en</v>
      </c>
    </row>
    <row r="12117" spans="3:5" x14ac:dyDescent="0.25">
      <c r="C12117" t="s">
        <v>22514</v>
      </c>
      <c r="D12117" t="s">
        <v>22515</v>
      </c>
      <c r="E12117" t="str">
        <f>HYPERLINK("https://patents.google.com/patent/US20050187786A1/en")</f>
        <v>https://patents.google.com/patent/US20050187786A1/en</v>
      </c>
    </row>
    <row r="12118" spans="3:5" x14ac:dyDescent="0.25">
      <c r="C12118" t="s">
        <v>22516</v>
      </c>
      <c r="D12118" t="s">
        <v>22517</v>
      </c>
      <c r="E12118" t="str">
        <f>HYPERLINK("https://patents.google.com/patent/US6917167B2/en")</f>
        <v>https://patents.google.com/patent/US6917167B2/en</v>
      </c>
    </row>
    <row r="12119" spans="3:5" x14ac:dyDescent="0.25">
      <c r="C12119" t="s">
        <v>22518</v>
      </c>
      <c r="D12119" t="s">
        <v>22519</v>
      </c>
      <c r="E12119" t="str">
        <f>HYPERLINK("https://patents.google.com/patent/US20030023975A1/en")</f>
        <v>https://patents.google.com/patent/US20030023975A1/en</v>
      </c>
    </row>
    <row r="12120" spans="3:5" x14ac:dyDescent="0.25">
      <c r="C12120" t="s">
        <v>22520</v>
      </c>
      <c r="D12120" t="s">
        <v>22521</v>
      </c>
      <c r="E12120" t="str">
        <f>HYPERLINK("https://patents.google.com/patent/US20010034661A1/en")</f>
        <v>https://patents.google.com/patent/US20010034661A1/en</v>
      </c>
    </row>
    <row r="12121" spans="3:5" x14ac:dyDescent="0.25">
      <c r="C12121" t="s">
        <v>22522</v>
      </c>
      <c r="D12121" t="s">
        <v>22523</v>
      </c>
      <c r="E12121" t="str">
        <f>HYPERLINK("https://patents.google.com/patent/US20020082901A1/en")</f>
        <v>https://patents.google.com/patent/US20020082901A1/en</v>
      </c>
    </row>
    <row r="12122" spans="3:5" x14ac:dyDescent="0.25">
      <c r="C12122" t="s">
        <v>22524</v>
      </c>
      <c r="D12122" t="s">
        <v>22525</v>
      </c>
      <c r="E12122" t="str">
        <f>HYPERLINK("https://patents.google.com/patent/US20050013462A1/en")</f>
        <v>https://patents.google.com/patent/US20050013462A1/en</v>
      </c>
    </row>
    <row r="12123" spans="3:5" x14ac:dyDescent="0.25">
      <c r="C12123" t="s">
        <v>22526</v>
      </c>
      <c r="D12123" t="s">
        <v>22527</v>
      </c>
      <c r="E12123" t="str">
        <f>HYPERLINK("https://patents.google.com/patent/US20010029455A1/en")</f>
        <v>https://patents.google.com/patent/US20010029455A1/en</v>
      </c>
    </row>
    <row r="12124" spans="3:5" x14ac:dyDescent="0.25">
      <c r="C12124" t="s">
        <v>22528</v>
      </c>
      <c r="D12124" t="s">
        <v>22529</v>
      </c>
      <c r="E12124" t="str">
        <f>HYPERLINK("https://patents.google.com/patent/US20100005061A1/en")</f>
        <v>https://patents.google.com/patent/US20100005061A1/en</v>
      </c>
    </row>
    <row r="12125" spans="3:5" x14ac:dyDescent="0.25">
      <c r="C12125" t="s">
        <v>22530</v>
      </c>
      <c r="D12125" t="s">
        <v>22531</v>
      </c>
      <c r="E12125" t="str">
        <f>HYPERLINK("https://patents.google.com/patent/US20100005087A1/en")</f>
        <v>https://patents.google.com/patent/US20100005087A1/en</v>
      </c>
    </row>
    <row r="12126" spans="3:5" x14ac:dyDescent="0.25">
      <c r="C12126" t="s">
        <v>22532</v>
      </c>
      <c r="D12126" t="s">
        <v>22533</v>
      </c>
      <c r="E12126" t="str">
        <f>HYPERLINK("https://patents.google.com/patent/US20030004760A1/en")</f>
        <v>https://patents.google.com/patent/US20030004760A1/en</v>
      </c>
    </row>
    <row r="12127" spans="3:5" x14ac:dyDescent="0.25">
      <c r="C12127" t="s">
        <v>19477</v>
      </c>
      <c r="D12127" t="s">
        <v>22534</v>
      </c>
      <c r="E12127" t="str">
        <f>HYPERLINK("https://patents.google.com/patent/US20020004755A1/en")</f>
        <v>https://patents.google.com/patent/US20020004755A1/en</v>
      </c>
    </row>
    <row r="12128" spans="3:5" x14ac:dyDescent="0.25">
      <c r="C12128" t="s">
        <v>22535</v>
      </c>
      <c r="D12128" t="s">
        <v>22536</v>
      </c>
      <c r="E12128" t="str">
        <f>HYPERLINK("https://patents.google.com/patent/US20090228424A1/en")</f>
        <v>https://patents.google.com/patent/US20090228424A1/en</v>
      </c>
    </row>
    <row r="12129" spans="3:5" x14ac:dyDescent="0.25">
      <c r="C12129" t="s">
        <v>22537</v>
      </c>
      <c r="D12129" t="s">
        <v>22538</v>
      </c>
      <c r="E12129" t="str">
        <f>HYPERLINK("https://patents.google.com/patent/EP0130150A1/en")</f>
        <v>https://patents.google.com/patent/EP0130150A1/en</v>
      </c>
    </row>
    <row r="12130" spans="3:5" x14ac:dyDescent="0.25">
      <c r="C12130" t="s">
        <v>22539</v>
      </c>
      <c r="D12130" t="s">
        <v>22540</v>
      </c>
      <c r="E12130" t="str">
        <f>HYPERLINK("https://patents.google.com/patent/US20030050815A1/en")</f>
        <v>https://patents.google.com/patent/US20030050815A1/en</v>
      </c>
    </row>
    <row r="12131" spans="3:5" x14ac:dyDescent="0.25">
      <c r="C12131" t="s">
        <v>22541</v>
      </c>
      <c r="D12131" t="s">
        <v>22542</v>
      </c>
      <c r="E12131" t="str">
        <f>HYPERLINK("https://patents.google.com/patent/US20060088276A1/en")</f>
        <v>https://patents.google.com/patent/US20060088276A1/en</v>
      </c>
    </row>
    <row r="12132" spans="3:5" x14ac:dyDescent="0.25">
      <c r="C12132" t="s">
        <v>22543</v>
      </c>
      <c r="D12132" t="s">
        <v>22544</v>
      </c>
      <c r="E12132" t="str">
        <f>HYPERLINK("https://patents.google.com/patent/US20060221173A1/en")</f>
        <v>https://patents.google.com/patent/US20060221173A1/en</v>
      </c>
    </row>
    <row r="12133" spans="3:5" x14ac:dyDescent="0.25">
      <c r="C12133" t="s">
        <v>22545</v>
      </c>
      <c r="D12133" t="s">
        <v>22546</v>
      </c>
      <c r="E12133" t="str">
        <f>HYPERLINK("https://patents.google.com/patent/US20090112848A1/en")</f>
        <v>https://patents.google.com/patent/US20090112848A1/en</v>
      </c>
    </row>
    <row r="12134" spans="3:5" x14ac:dyDescent="0.25">
      <c r="C12134" t="s">
        <v>22547</v>
      </c>
      <c r="D12134" t="s">
        <v>22548</v>
      </c>
      <c r="E12134" t="str">
        <f>HYPERLINK("https://patents.google.com/patent/US20110073660A1/en")</f>
        <v>https://patents.google.com/patent/US20110073660A1/en</v>
      </c>
    </row>
    <row r="12135" spans="3:5" x14ac:dyDescent="0.25">
      <c r="C12135" t="s">
        <v>22549</v>
      </c>
      <c r="D12135" t="s">
        <v>22550</v>
      </c>
      <c r="E12135" t="str">
        <f>HYPERLINK("https://patents.google.com/patent/US20010049087A1/en")</f>
        <v>https://patents.google.com/patent/US20010049087A1/en</v>
      </c>
    </row>
    <row r="12136" spans="3:5" x14ac:dyDescent="0.25">
      <c r="C12136" t="s">
        <v>22551</v>
      </c>
      <c r="D12136" t="s">
        <v>22552</v>
      </c>
      <c r="E12136" t="str">
        <f>HYPERLINK("https://patents.google.com/patent/US20020005865A1/en")</f>
        <v>https://patents.google.com/patent/US20020005865A1/en</v>
      </c>
    </row>
    <row r="12137" spans="3:5" x14ac:dyDescent="0.25">
      <c r="C12137" t="s">
        <v>22553</v>
      </c>
      <c r="D12137" t="s">
        <v>22554</v>
      </c>
      <c r="E12137" t="str">
        <f>HYPERLINK("https://patents.google.com/patent/US20080148193A1/en")</f>
        <v>https://patents.google.com/patent/US20080148193A1/en</v>
      </c>
    </row>
    <row r="12138" spans="3:5" x14ac:dyDescent="0.25">
      <c r="C12138" t="s">
        <v>22555</v>
      </c>
      <c r="D12138" t="s">
        <v>22556</v>
      </c>
      <c r="E12138" t="str">
        <f>HYPERLINK("https://patents.google.com/patent/US5323727A/en")</f>
        <v>https://patents.google.com/patent/US5323727A/en</v>
      </c>
    </row>
    <row r="12139" spans="3:5" x14ac:dyDescent="0.25">
      <c r="C12139" t="s">
        <v>18571</v>
      </c>
      <c r="D12139" t="s">
        <v>22557</v>
      </c>
      <c r="E12139" t="str">
        <f>HYPERLINK("https://patents.google.com/patent/US20050246314A1/en")</f>
        <v>https://patents.google.com/patent/US20050246314A1/en</v>
      </c>
    </row>
    <row r="12140" spans="3:5" x14ac:dyDescent="0.25">
      <c r="C12140" t="s">
        <v>22558</v>
      </c>
      <c r="D12140" t="s">
        <v>22559</v>
      </c>
      <c r="E12140" t="str">
        <f>HYPERLINK("https://patents.google.com/patent/US20050078088A1/en")</f>
        <v>https://patents.google.com/patent/US20050078088A1/en</v>
      </c>
    </row>
    <row r="12141" spans="3:5" x14ac:dyDescent="0.25">
      <c r="C12141" t="s">
        <v>22560</v>
      </c>
      <c r="D12141" t="s">
        <v>22561</v>
      </c>
      <c r="E12141" t="str">
        <f>HYPERLINK("https://patents.google.com/patent/US20090027301A1/en")</f>
        <v>https://patents.google.com/patent/US20090027301A1/en</v>
      </c>
    </row>
    <row r="12142" spans="3:5" x14ac:dyDescent="0.25">
      <c r="C12142" t="s">
        <v>22562</v>
      </c>
      <c r="D12142" t="s">
        <v>22563</v>
      </c>
      <c r="E12142" t="str">
        <f>HYPERLINK("https://patents.google.com/patent/US20090234577A1/en")</f>
        <v>https://patents.google.com/patent/US20090234577A1/en</v>
      </c>
    </row>
    <row r="12143" spans="3:5" x14ac:dyDescent="0.25">
      <c r="C12143" t="s">
        <v>22564</v>
      </c>
      <c r="D12143" t="s">
        <v>22565</v>
      </c>
      <c r="E12143" t="str">
        <f>HYPERLINK("https://patents.google.com/patent/EP1708505A1/en")</f>
        <v>https://patents.google.com/patent/EP1708505A1/en</v>
      </c>
    </row>
    <row r="12144" spans="3:5" x14ac:dyDescent="0.25">
      <c r="C12144" t="s">
        <v>22566</v>
      </c>
      <c r="D12144" t="s">
        <v>22567</v>
      </c>
      <c r="E12144" t="str">
        <f>HYPERLINK("https://patents.google.com/patent/US20090284578A1/en")</f>
        <v>https://patents.google.com/patent/US20090284578A1/en</v>
      </c>
    </row>
    <row r="12145" spans="3:5" x14ac:dyDescent="0.25">
      <c r="C12145" t="s">
        <v>22568</v>
      </c>
      <c r="D12145" t="s">
        <v>22569</v>
      </c>
      <c r="E12145" t="str">
        <f>HYPERLINK("https://patents.google.com/patent/US3922649A/en")</f>
        <v>https://patents.google.com/patent/US3922649A/en</v>
      </c>
    </row>
    <row r="12146" spans="3:5" x14ac:dyDescent="0.25">
      <c r="C12146" t="s">
        <v>22570</v>
      </c>
      <c r="D12146" t="s">
        <v>22571</v>
      </c>
      <c r="E12146" t="str">
        <f>HYPERLINK("https://patents.google.com/patent/US20020099679A1/en")</f>
        <v>https://patents.google.com/patent/US20020099679A1/en</v>
      </c>
    </row>
    <row r="12147" spans="3:5" x14ac:dyDescent="0.25">
      <c r="C12147" t="s">
        <v>22572</v>
      </c>
      <c r="D12147" t="s">
        <v>22573</v>
      </c>
      <c r="E12147" t="str">
        <f>HYPERLINK("https://patents.google.com/patent/US20070214052A1/en")</f>
        <v>https://patents.google.com/patent/US20070214052A1/en</v>
      </c>
    </row>
    <row r="12148" spans="3:5" x14ac:dyDescent="0.25">
      <c r="C12148" t="s">
        <v>22574</v>
      </c>
      <c r="D12148" t="s">
        <v>22575</v>
      </c>
      <c r="E12148" t="str">
        <f>HYPERLINK("https://patents.google.com/patent/US20030097309A1/en")</f>
        <v>https://patents.google.com/patent/US20030097309A1/en</v>
      </c>
    </row>
    <row r="12149" spans="3:5" x14ac:dyDescent="0.25">
      <c r="C12149" t="s">
        <v>22576</v>
      </c>
      <c r="D12149" t="s">
        <v>22577</v>
      </c>
      <c r="E12149" t="str">
        <f>HYPERLINK("https://patents.google.com/patent/US20050234749A1/en")</f>
        <v>https://patents.google.com/patent/US20050234749A1/en</v>
      </c>
    </row>
    <row r="12150" spans="3:5" x14ac:dyDescent="0.25">
      <c r="C12150" t="s">
        <v>22578</v>
      </c>
      <c r="D12150" t="s">
        <v>22579</v>
      </c>
      <c r="E12150" t="str">
        <f>HYPERLINK("https://patents.google.com/patent/DE19747745A1/en")</f>
        <v>https://patents.google.com/patent/DE19747745A1/en</v>
      </c>
    </row>
    <row r="12151" spans="3:5" x14ac:dyDescent="0.25">
      <c r="C12151" t="s">
        <v>22580</v>
      </c>
      <c r="D12151" t="s">
        <v>22581</v>
      </c>
      <c r="E12151" t="str">
        <f>HYPERLINK("https://patents.google.com/patent/WO1999044538A1/en")</f>
        <v>https://patents.google.com/patent/WO1999044538A1/en</v>
      </c>
    </row>
    <row r="12152" spans="3:5" x14ac:dyDescent="0.25">
      <c r="C12152" t="s">
        <v>22582</v>
      </c>
      <c r="D12152" t="s">
        <v>22583</v>
      </c>
      <c r="E12152" t="str">
        <f>HYPERLINK("https://patents.google.com/patent/US20140116776A1/en")</f>
        <v>https://patents.google.com/patent/US20140116776A1/en</v>
      </c>
    </row>
    <row r="12153" spans="3:5" x14ac:dyDescent="0.25">
      <c r="C12153" t="s">
        <v>22584</v>
      </c>
      <c r="D12153" t="s">
        <v>22585</v>
      </c>
      <c r="E12153" t="str">
        <f>HYPERLINK("https://patents.google.com/patent/JP2007058653A/en")</f>
        <v>https://patents.google.com/patent/JP2007058653A/en</v>
      </c>
    </row>
    <row r="12154" spans="3:5" x14ac:dyDescent="0.25">
      <c r="C12154" t="s">
        <v>22586</v>
      </c>
      <c r="D12154" t="s">
        <v>22587</v>
      </c>
      <c r="E12154" t="str">
        <f>HYPERLINK("https://patents.google.com/patent/US20100083139A1/en")</f>
        <v>https://patents.google.com/patent/US20100083139A1/en</v>
      </c>
    </row>
    <row r="12155" spans="3:5" x14ac:dyDescent="0.25">
      <c r="C12155" t="s">
        <v>22588</v>
      </c>
      <c r="D12155" t="s">
        <v>22589</v>
      </c>
      <c r="E12155" t="str">
        <f>HYPERLINK("https://patents.google.com/patent/US20020059092A1/en")</f>
        <v>https://patents.google.com/patent/US20020059092A1/en</v>
      </c>
    </row>
    <row r="12156" spans="3:5" x14ac:dyDescent="0.25">
      <c r="C12156" t="s">
        <v>22590</v>
      </c>
      <c r="D12156" t="s">
        <v>22591</v>
      </c>
      <c r="E12156" t="str">
        <f>HYPERLINK("https://patents.google.com/patent/US20070220435A1/en")</f>
        <v>https://patents.google.com/patent/US20070220435A1/en</v>
      </c>
    </row>
    <row r="12157" spans="3:5" x14ac:dyDescent="0.25">
      <c r="C12157" t="s">
        <v>22592</v>
      </c>
      <c r="D12157" t="s">
        <v>22593</v>
      </c>
      <c r="E12157" t="str">
        <f>HYPERLINK("https://patents.google.com/patent/WO2000002143A1/en")</f>
        <v>https://patents.google.com/patent/WO2000002143A1/en</v>
      </c>
    </row>
    <row r="12158" spans="3:5" x14ac:dyDescent="0.25">
      <c r="C12158" t="s">
        <v>22594</v>
      </c>
      <c r="D12158" t="s">
        <v>22595</v>
      </c>
      <c r="E12158" t="str">
        <f>HYPERLINK("https://patents.google.com/patent/US20050234726A1/en")</f>
        <v>https://patents.google.com/patent/US20050234726A1/en</v>
      </c>
    </row>
    <row r="12159" spans="3:5" x14ac:dyDescent="0.25">
      <c r="C12159" t="s">
        <v>22576</v>
      </c>
      <c r="D12159" t="s">
        <v>22596</v>
      </c>
      <c r="E12159" t="str">
        <f>HYPERLINK("https://patents.google.com/patent/US20050234750A1/en")</f>
        <v>https://patents.google.com/patent/US20050234750A1/en</v>
      </c>
    </row>
    <row r="12160" spans="3:5" x14ac:dyDescent="0.25">
      <c r="C12160" t="s">
        <v>22597</v>
      </c>
      <c r="D12160" t="s">
        <v>22598</v>
      </c>
      <c r="E12160" t="str">
        <f>HYPERLINK("https://patents.google.com/patent/US6691026B2/en")</f>
        <v>https://patents.google.com/patent/US6691026B2/en</v>
      </c>
    </row>
    <row r="12161" spans="3:5" x14ac:dyDescent="0.25">
      <c r="C12161" t="s">
        <v>22599</v>
      </c>
      <c r="D12161" t="s">
        <v>22600</v>
      </c>
      <c r="E12161" t="str">
        <f>HYPERLINK("https://patents.google.com/patent/EP0075806A1/en")</f>
        <v>https://patents.google.com/patent/EP0075806A1/en</v>
      </c>
    </row>
    <row r="12162" spans="3:5" x14ac:dyDescent="0.25">
      <c r="C12162" t="s">
        <v>22601</v>
      </c>
      <c r="D12162" t="s">
        <v>22602</v>
      </c>
      <c r="E12162" t="str">
        <f>HYPERLINK("https://patents.google.com/patent/US20080021748A1/en")</f>
        <v>https://patents.google.com/patent/US20080021748A1/en</v>
      </c>
    </row>
    <row r="12163" spans="3:5" x14ac:dyDescent="0.25">
      <c r="C12163" t="s">
        <v>22603</v>
      </c>
      <c r="D12163" t="s">
        <v>22604</v>
      </c>
      <c r="E12163" t="str">
        <f>HYPERLINK("https://patents.google.com/patent/US20090320072A1/en")</f>
        <v>https://patents.google.com/patent/US20090320072A1/en</v>
      </c>
    </row>
    <row r="12164" spans="3:5" x14ac:dyDescent="0.25">
      <c r="C12164" t="s">
        <v>22605</v>
      </c>
      <c r="D12164" t="s">
        <v>22606</v>
      </c>
      <c r="E12164" t="str">
        <f>HYPERLINK("https://patents.google.com/patent/US7358959B2/en")</f>
        <v>https://patents.google.com/patent/US7358959B2/en</v>
      </c>
    </row>
    <row r="12165" spans="3:5" x14ac:dyDescent="0.25">
      <c r="C12165" t="s">
        <v>22607</v>
      </c>
      <c r="D12165" t="s">
        <v>22608</v>
      </c>
      <c r="E12165" t="str">
        <f>HYPERLINK("https://patents.google.com/patent/US20030046696A1/en")</f>
        <v>https://patents.google.com/patent/US20030046696A1/en</v>
      </c>
    </row>
    <row r="12166" spans="3:5" x14ac:dyDescent="0.25">
      <c r="C12166" t="s">
        <v>22609</v>
      </c>
      <c r="D12166" t="s">
        <v>22610</v>
      </c>
      <c r="E12166" t="str">
        <f>HYPERLINK("https://patents.google.com/patent/WO1996000960A1/en")</f>
        <v>https://patents.google.com/patent/WO1996000960A1/en</v>
      </c>
    </row>
    <row r="12167" spans="3:5" x14ac:dyDescent="0.25">
      <c r="C12167" t="s">
        <v>22597</v>
      </c>
      <c r="D12167" t="s">
        <v>22611</v>
      </c>
      <c r="E12167" t="str">
        <f>HYPERLINK("https://patents.google.com/patent/US7330786B2/en")</f>
        <v>https://patents.google.com/patent/US7330786B2/en</v>
      </c>
    </row>
    <row r="12168" spans="3:5" x14ac:dyDescent="0.25">
      <c r="C12168" t="s">
        <v>22612</v>
      </c>
      <c r="D12168" t="s">
        <v>22613</v>
      </c>
      <c r="E12168" t="str">
        <f>HYPERLINK("https://patents.google.com/patent/US20110126378A1/en")</f>
        <v>https://patents.google.com/patent/US20110126378A1/en</v>
      </c>
    </row>
    <row r="12169" spans="3:5" x14ac:dyDescent="0.25">
      <c r="C12169" t="s">
        <v>22614</v>
      </c>
      <c r="D12169" t="s">
        <v>22615</v>
      </c>
      <c r="E12169" t="str">
        <f>HYPERLINK("https://patents.google.com/patent/JPH0798640A/en")</f>
        <v>https://patents.google.com/patent/JPH0798640A/en</v>
      </c>
    </row>
    <row r="12170" spans="3:5" x14ac:dyDescent="0.25">
      <c r="C12170" t="s">
        <v>22616</v>
      </c>
      <c r="D12170" t="s">
        <v>22617</v>
      </c>
      <c r="E12170" t="str">
        <f>HYPERLINK("https://patents.google.com/patent/US20080235111A1/en")</f>
        <v>https://patents.google.com/patent/US20080235111A1/en</v>
      </c>
    </row>
    <row r="12171" spans="3:5" x14ac:dyDescent="0.25">
      <c r="C12171" t="s">
        <v>22597</v>
      </c>
      <c r="D12171" t="s">
        <v>22618</v>
      </c>
      <c r="E12171" t="str">
        <f>HYPERLINK("https://patents.google.com/patent/US8027787B2/en")</f>
        <v>https://patents.google.com/patent/US8027787B2/en</v>
      </c>
    </row>
    <row r="12172" spans="3:5" x14ac:dyDescent="0.25">
      <c r="C12172" t="s">
        <v>22619</v>
      </c>
      <c r="D12172" t="s">
        <v>22620</v>
      </c>
      <c r="E12172" t="str">
        <f>HYPERLINK("https://patents.google.com/patent/US20100088735A1/en")</f>
        <v>https://patents.google.com/patent/US20100088735A1/en</v>
      </c>
    </row>
    <row r="12173" spans="3:5" x14ac:dyDescent="0.25">
      <c r="C12173" t="s">
        <v>22621</v>
      </c>
      <c r="D12173" t="s">
        <v>22622</v>
      </c>
      <c r="E12173" t="str">
        <f>HYPERLINK("https://patents.google.com/patent/EP1146739A2/en")</f>
        <v>https://patents.google.com/patent/EP1146739A2/en</v>
      </c>
    </row>
    <row r="12174" spans="3:5" x14ac:dyDescent="0.25">
      <c r="C12174" t="s">
        <v>22623</v>
      </c>
      <c r="D12174" t="s">
        <v>22624</v>
      </c>
      <c r="E12174" t="str">
        <f>HYPERLINK("https://patents.google.com/patent/WO1999040506A1/en")</f>
        <v>https://patents.google.com/patent/WO1999040506A1/en</v>
      </c>
    </row>
    <row r="12175" spans="3:5" x14ac:dyDescent="0.25">
      <c r="C12175" t="s">
        <v>22625</v>
      </c>
      <c r="D12175" t="s">
        <v>22626</v>
      </c>
      <c r="E12175" t="str">
        <f>HYPERLINK("https://patents.google.com/patent/JP2003101893A/en")</f>
        <v>https://patents.google.com/patent/JP2003101893A/en</v>
      </c>
    </row>
    <row r="12176" spans="3:5" x14ac:dyDescent="0.25">
      <c r="C12176" t="s">
        <v>22627</v>
      </c>
      <c r="D12176" t="s">
        <v>22628</v>
      </c>
      <c r="E12176" t="str">
        <f>HYPERLINK("https://patents.google.com/patent/US5523737A/en")</f>
        <v>https://patents.google.com/patent/US5523737A/en</v>
      </c>
    </row>
    <row r="12177" spans="1:5" x14ac:dyDescent="0.25">
      <c r="C12177" t="s">
        <v>22629</v>
      </c>
      <c r="D12177" t="s">
        <v>22630</v>
      </c>
      <c r="E12177" t="str">
        <f>HYPERLINK("https://patents.google.com/patent/CN1808463A/en")</f>
        <v>https://patents.google.com/patent/CN1808463A/en</v>
      </c>
    </row>
    <row r="12178" spans="1:5" x14ac:dyDescent="0.25">
      <c r="C12178" t="s">
        <v>21927</v>
      </c>
      <c r="D12178" t="s">
        <v>22631</v>
      </c>
      <c r="E12178" t="str">
        <f>HYPERLINK("https://patents.google.com/patent/US20110043496A1/en")</f>
        <v>https://patents.google.com/patent/US20110043496A1/en</v>
      </c>
    </row>
    <row r="12179" spans="1:5" x14ac:dyDescent="0.25">
      <c r="C12179" t="s">
        <v>22632</v>
      </c>
      <c r="D12179" t="s">
        <v>22633</v>
      </c>
      <c r="E12179" t="str">
        <f>HYPERLINK("https://patents.google.com/patent/US3959633A/en")</f>
        <v>https://patents.google.com/patent/US3959633A/en</v>
      </c>
    </row>
    <row r="12180" spans="1:5" x14ac:dyDescent="0.25">
      <c r="C12180" t="s">
        <v>22634</v>
      </c>
      <c r="D12180" t="s">
        <v>22635</v>
      </c>
      <c r="E12180" t="str">
        <f>HYPERLINK("https://patents.google.com/patent/CN101621738A/en")</f>
        <v>https://patents.google.com/patent/CN101621738A/en</v>
      </c>
    </row>
    <row r="12181" spans="1:5" x14ac:dyDescent="0.25">
      <c r="C12181" t="s">
        <v>22636</v>
      </c>
      <c r="D12181" t="s">
        <v>22637</v>
      </c>
      <c r="E12181" t="str">
        <f>HYPERLINK("https://patents.google.com/patent/US20040037434A1/en")</f>
        <v>https://patents.google.com/patent/US20040037434A1/en</v>
      </c>
    </row>
    <row r="12182" spans="1:5" x14ac:dyDescent="0.25">
      <c r="C12182" t="s">
        <v>22638</v>
      </c>
      <c r="D12182" t="s">
        <v>22639</v>
      </c>
      <c r="E12182" t="str">
        <f>HYPERLINK("https://patents.google.com/patent/FR2539942A1/en")</f>
        <v>https://patents.google.com/patent/FR2539942A1/en</v>
      </c>
    </row>
    <row r="12183" spans="1:5" x14ac:dyDescent="0.25">
      <c r="C12183" t="s">
        <v>22640</v>
      </c>
      <c r="D12183" t="s">
        <v>22641</v>
      </c>
      <c r="E12183" t="str">
        <f>HYPERLINK("https://patents.google.com/patent/JP2002544637A/en")</f>
        <v>https://patents.google.com/patent/JP2002544637A/en</v>
      </c>
    </row>
    <row r="12184" spans="1:5" x14ac:dyDescent="0.25">
      <c r="C12184" t="s">
        <v>22642</v>
      </c>
      <c r="D12184" t="s">
        <v>22643</v>
      </c>
      <c r="E12184" t="str">
        <f>HYPERLINK("https://patents.google.com/patent/CN101030341A/en")</f>
        <v>https://patents.google.com/patent/CN101030341A/en</v>
      </c>
    </row>
    <row r="12185" spans="1:5" x14ac:dyDescent="0.25">
      <c r="C12185" t="s">
        <v>22644</v>
      </c>
      <c r="D12185" t="s">
        <v>22645</v>
      </c>
      <c r="E12185" t="str">
        <f>HYPERLINK("https://patents.google.com/patent/CN102804182A/en")</f>
        <v>https://patents.google.com/patent/CN102804182A/en</v>
      </c>
    </row>
    <row r="12186" spans="1:5" x14ac:dyDescent="0.25">
      <c r="C12186" t="s">
        <v>22646</v>
      </c>
      <c r="D12186" t="s">
        <v>22647</v>
      </c>
      <c r="E12186" t="str">
        <f>HYPERLINK("https://patents.google.com/patent/FR2726146A1/en")</f>
        <v>https://patents.google.com/patent/FR2726146A1/en</v>
      </c>
    </row>
    <row r="12187" spans="1:5" x14ac:dyDescent="0.25">
      <c r="C12187" t="s">
        <v>22648</v>
      </c>
      <c r="D12187" t="s">
        <v>22649</v>
      </c>
      <c r="E12187" t="str">
        <f>HYPERLINK("https://patents.google.com/patent/JPH11143977A/en")</f>
        <v>https://patents.google.com/patent/JPH11143977A/en</v>
      </c>
    </row>
    <row r="12188" spans="1:5" x14ac:dyDescent="0.25">
      <c r="A12188" t="s">
        <v>2583</v>
      </c>
      <c r="B12188">
        <v>747</v>
      </c>
    </row>
    <row r="12189" spans="1:5" x14ac:dyDescent="0.25">
      <c r="C12189" t="s">
        <v>22650</v>
      </c>
      <c r="D12189" t="s">
        <v>22651</v>
      </c>
      <c r="E12189" t="str">
        <f>HYPERLINK("https://patents.google.com/patent/US3990067A/en")</f>
        <v>https://patents.google.com/patent/US3990067A/en</v>
      </c>
    </row>
    <row r="12190" spans="1:5" x14ac:dyDescent="0.25">
      <c r="C12190" t="s">
        <v>22652</v>
      </c>
      <c r="D12190" t="s">
        <v>22653</v>
      </c>
      <c r="E12190" t="str">
        <f>HYPERLINK("https://patents.google.com/patent/US6839880B1/en")</f>
        <v>https://patents.google.com/patent/US6839880B1/en</v>
      </c>
    </row>
    <row r="12191" spans="1:5" x14ac:dyDescent="0.25">
      <c r="C12191" t="s">
        <v>22654</v>
      </c>
      <c r="D12191" t="s">
        <v>22655</v>
      </c>
      <c r="E12191" t="str">
        <f>HYPERLINK("https://patents.google.com/patent/US20070276707A1/en")</f>
        <v>https://patents.google.com/patent/US20070276707A1/en</v>
      </c>
    </row>
    <row r="12192" spans="1:5" x14ac:dyDescent="0.25">
      <c r="C12192" t="s">
        <v>22656</v>
      </c>
      <c r="D12192" t="s">
        <v>22657</v>
      </c>
      <c r="E12192" t="str">
        <f>HYPERLINK("https://patents.google.com/patent/US7289023B2/en")</f>
        <v>https://patents.google.com/patent/US7289023B2/en</v>
      </c>
    </row>
    <row r="12193" spans="3:5" x14ac:dyDescent="0.25">
      <c r="C12193" t="s">
        <v>22658</v>
      </c>
      <c r="D12193" t="s">
        <v>22659</v>
      </c>
      <c r="E12193" t="str">
        <f>HYPERLINK("https://patents.google.com/patent/US20040046654A1/en")</f>
        <v>https://patents.google.com/patent/US20040046654A1/en</v>
      </c>
    </row>
    <row r="12194" spans="3:5" x14ac:dyDescent="0.25">
      <c r="C12194" t="s">
        <v>22660</v>
      </c>
      <c r="D12194" t="s">
        <v>22661</v>
      </c>
      <c r="E12194" t="str">
        <f>HYPERLINK("https://patents.google.com/patent/US20080215381A1/en")</f>
        <v>https://patents.google.com/patent/US20080215381A1/en</v>
      </c>
    </row>
    <row r="12195" spans="3:5" x14ac:dyDescent="0.25">
      <c r="C12195" t="s">
        <v>22662</v>
      </c>
      <c r="D12195" t="s">
        <v>22663</v>
      </c>
      <c r="E12195" t="str">
        <f>HYPERLINK("https://patents.google.com/patent/US6935951B2/en")</f>
        <v>https://patents.google.com/patent/US6935951B2/en</v>
      </c>
    </row>
    <row r="12196" spans="3:5" x14ac:dyDescent="0.25">
      <c r="C12196" t="s">
        <v>22664</v>
      </c>
      <c r="D12196" t="s">
        <v>22665</v>
      </c>
      <c r="E12196" t="str">
        <f>HYPERLINK("https://patents.google.com/patent/US4660166A/en")</f>
        <v>https://patents.google.com/patent/US4660166A/en</v>
      </c>
    </row>
    <row r="12197" spans="3:5" x14ac:dyDescent="0.25">
      <c r="C12197" t="s">
        <v>22666</v>
      </c>
      <c r="D12197" t="s">
        <v>22667</v>
      </c>
      <c r="E12197" t="str">
        <f>HYPERLINK("https://patents.google.com/patent/US5475341A/en")</f>
        <v>https://patents.google.com/patent/US5475341A/en</v>
      </c>
    </row>
    <row r="12198" spans="3:5" x14ac:dyDescent="0.25">
      <c r="C12198" t="s">
        <v>22668</v>
      </c>
      <c r="D12198" t="s">
        <v>22669</v>
      </c>
      <c r="E12198" t="str">
        <f>HYPERLINK("https://patents.google.com/patent/US6320200B1/en")</f>
        <v>https://patents.google.com/patent/US6320200B1/en</v>
      </c>
    </row>
    <row r="12199" spans="3:5" x14ac:dyDescent="0.25">
      <c r="C12199" t="s">
        <v>22670</v>
      </c>
      <c r="D12199" t="s">
        <v>22671</v>
      </c>
      <c r="E12199" t="str">
        <f>HYPERLINK("https://patents.google.com/patent/US6624742B1/en")</f>
        <v>https://patents.google.com/patent/US6624742B1/en</v>
      </c>
    </row>
    <row r="12200" spans="3:5" x14ac:dyDescent="0.25">
      <c r="C12200" t="s">
        <v>22672</v>
      </c>
      <c r="D12200" t="s">
        <v>22673</v>
      </c>
      <c r="E12200" t="str">
        <f>HYPERLINK("https://patents.google.com/patent/US6910968B2/en")</f>
        <v>https://patents.google.com/patent/US6910968B2/en</v>
      </c>
    </row>
    <row r="12201" spans="3:5" x14ac:dyDescent="0.25">
      <c r="C12201" t="s">
        <v>22674</v>
      </c>
      <c r="D12201" t="s">
        <v>22675</v>
      </c>
      <c r="E12201" t="str">
        <f>HYPERLINK("https://patents.google.com/patent/US20100047756A1/en")</f>
        <v>https://patents.google.com/patent/US20100047756A1/en</v>
      </c>
    </row>
    <row r="12202" spans="3:5" x14ac:dyDescent="0.25">
      <c r="C12202" t="s">
        <v>22676</v>
      </c>
      <c r="D12202" t="s">
        <v>22677</v>
      </c>
      <c r="E12202" t="str">
        <f>HYPERLINK("https://patents.google.com/patent/US6855950B2/en")</f>
        <v>https://patents.google.com/patent/US6855950B2/en</v>
      </c>
    </row>
    <row r="12203" spans="3:5" x14ac:dyDescent="0.25">
      <c r="C12203" t="s">
        <v>22678</v>
      </c>
      <c r="D12203" t="s">
        <v>22679</v>
      </c>
      <c r="E12203" t="str">
        <f>HYPERLINK("https://patents.google.com/patent/US7334190B2/en")</f>
        <v>https://patents.google.com/patent/US7334190B2/en</v>
      </c>
    </row>
    <row r="12204" spans="3:5" x14ac:dyDescent="0.25">
      <c r="C12204" t="s">
        <v>22680</v>
      </c>
      <c r="D12204" t="s">
        <v>22681</v>
      </c>
      <c r="E12204" t="str">
        <f>HYPERLINK("https://patents.google.com/patent/US20100082491A1/en")</f>
        <v>https://patents.google.com/patent/US20100082491A1/en</v>
      </c>
    </row>
    <row r="12205" spans="3:5" x14ac:dyDescent="0.25">
      <c r="C12205" t="s">
        <v>22682</v>
      </c>
      <c r="D12205" t="s">
        <v>22683</v>
      </c>
      <c r="E12205" t="str">
        <f>HYPERLINK("https://patents.google.com/patent/US6111586A/en")</f>
        <v>https://patents.google.com/patent/US6111586A/en</v>
      </c>
    </row>
    <row r="12206" spans="3:5" x14ac:dyDescent="0.25">
      <c r="C12206" t="s">
        <v>22672</v>
      </c>
      <c r="D12206" t="s">
        <v>22684</v>
      </c>
      <c r="E12206" t="str">
        <f>HYPERLINK("https://patents.google.com/patent/US20050090314A1/en")</f>
        <v>https://patents.google.com/patent/US20050090314A1/en</v>
      </c>
    </row>
    <row r="12207" spans="3:5" x14ac:dyDescent="0.25">
      <c r="C12207" t="s">
        <v>22685</v>
      </c>
      <c r="D12207" t="s">
        <v>22686</v>
      </c>
      <c r="E12207" t="str">
        <f>HYPERLINK("https://patents.google.com/patent/US20020175390A1/en")</f>
        <v>https://patents.google.com/patent/US20020175390A1/en</v>
      </c>
    </row>
    <row r="12208" spans="3:5" x14ac:dyDescent="0.25">
      <c r="C12208" t="s">
        <v>22687</v>
      </c>
      <c r="D12208" t="s">
        <v>22688</v>
      </c>
      <c r="E12208" t="str">
        <f>HYPERLINK("https://patents.google.com/patent/US20020105897A1/en")</f>
        <v>https://patents.google.com/patent/US20020105897A1/en</v>
      </c>
    </row>
    <row r="12209" spans="3:5" x14ac:dyDescent="0.25">
      <c r="C12209" t="s">
        <v>22689</v>
      </c>
      <c r="D12209" t="s">
        <v>22690</v>
      </c>
      <c r="E12209" t="str">
        <f>HYPERLINK("https://patents.google.com/patent/US3129418A/en")</f>
        <v>https://patents.google.com/patent/US3129418A/en</v>
      </c>
    </row>
    <row r="12210" spans="3:5" x14ac:dyDescent="0.25">
      <c r="C12210" t="s">
        <v>22274</v>
      </c>
      <c r="D12210" t="s">
        <v>22691</v>
      </c>
      <c r="E12210" t="str">
        <f>HYPERLINK("https://patents.google.com/patent/US20080243624A1/en")</f>
        <v>https://patents.google.com/patent/US20080243624A1/en</v>
      </c>
    </row>
    <row r="12211" spans="3:5" x14ac:dyDescent="0.25">
      <c r="C12211" t="s">
        <v>22692</v>
      </c>
      <c r="D12211" t="s">
        <v>22693</v>
      </c>
      <c r="E12211" t="str">
        <f>HYPERLINK("https://patents.google.com/patent/US20010054089A1/en")</f>
        <v>https://patents.google.com/patent/US20010054089A1/en</v>
      </c>
    </row>
    <row r="12212" spans="3:5" x14ac:dyDescent="0.25">
      <c r="C12212" t="s">
        <v>22694</v>
      </c>
      <c r="D12212" t="s">
        <v>22695</v>
      </c>
      <c r="E12212" t="str">
        <f>HYPERLINK("https://patents.google.com/patent/JPH10240823A/en")</f>
        <v>https://patents.google.com/patent/JPH10240823A/en</v>
      </c>
    </row>
    <row r="12213" spans="3:5" x14ac:dyDescent="0.25">
      <c r="C12213" t="s">
        <v>22696</v>
      </c>
      <c r="D12213" t="s">
        <v>22697</v>
      </c>
      <c r="E12213" t="str">
        <f>HYPERLINK("https://patents.google.com/patent/US5888070A/en")</f>
        <v>https://patents.google.com/patent/US5888070A/en</v>
      </c>
    </row>
    <row r="12214" spans="3:5" x14ac:dyDescent="0.25">
      <c r="C12214" t="s">
        <v>22698</v>
      </c>
      <c r="D12214" t="s">
        <v>22699</v>
      </c>
      <c r="E12214" t="str">
        <f>HYPERLINK("https://patents.google.com/patent/WO1993025003A1/en")</f>
        <v>https://patents.google.com/patent/WO1993025003A1/en</v>
      </c>
    </row>
    <row r="12215" spans="3:5" x14ac:dyDescent="0.25">
      <c r="C12215" t="s">
        <v>22700</v>
      </c>
      <c r="D12215" t="s">
        <v>22701</v>
      </c>
      <c r="E12215" t="str">
        <f>HYPERLINK("https://patents.google.com/patent/US20130074115A1/en")</f>
        <v>https://patents.google.com/patent/US20130074115A1/en</v>
      </c>
    </row>
    <row r="12216" spans="3:5" x14ac:dyDescent="0.25">
      <c r="C12216" t="s">
        <v>22702</v>
      </c>
      <c r="D12216" t="s">
        <v>22703</v>
      </c>
      <c r="E12216" t="str">
        <f>HYPERLINK("https://patents.google.com/patent/US20130074111A1/en")</f>
        <v>https://patents.google.com/patent/US20130074111A1/en</v>
      </c>
    </row>
    <row r="12217" spans="3:5" x14ac:dyDescent="0.25">
      <c r="C12217" t="s">
        <v>22704</v>
      </c>
      <c r="D12217" t="s">
        <v>22705</v>
      </c>
      <c r="E12217" t="str">
        <f>HYPERLINK("https://patents.google.com/patent/US6946336B2/en")</f>
        <v>https://patents.google.com/patent/US6946336B2/en</v>
      </c>
    </row>
    <row r="12218" spans="3:5" x14ac:dyDescent="0.25">
      <c r="C12218" t="s">
        <v>22706</v>
      </c>
      <c r="D12218" t="s">
        <v>22707</v>
      </c>
      <c r="E12218" t="str">
        <f>HYPERLINK("https://patents.google.com/patent/US20070260465A1/en")</f>
        <v>https://patents.google.com/patent/US20070260465A1/en</v>
      </c>
    </row>
    <row r="12219" spans="3:5" x14ac:dyDescent="0.25">
      <c r="C12219" t="s">
        <v>22708</v>
      </c>
      <c r="D12219" t="s">
        <v>22709</v>
      </c>
      <c r="E12219" t="str">
        <f>HYPERLINK("https://patents.google.com/patent/US5255349A/en")</f>
        <v>https://patents.google.com/patent/US5255349A/en</v>
      </c>
    </row>
    <row r="12220" spans="3:5" x14ac:dyDescent="0.25">
      <c r="C12220" t="s">
        <v>22710</v>
      </c>
      <c r="D12220" t="s">
        <v>22711</v>
      </c>
      <c r="E12220" t="str">
        <f>HYPERLINK("https://patents.google.com/patent/US6989290B2/en")</f>
        <v>https://patents.google.com/patent/US6989290B2/en</v>
      </c>
    </row>
    <row r="12221" spans="3:5" x14ac:dyDescent="0.25">
      <c r="C12221" t="s">
        <v>22712</v>
      </c>
      <c r="D12221" t="s">
        <v>22713</v>
      </c>
      <c r="E12221" t="str">
        <f>HYPERLINK("https://patents.google.com/patent/US20130074107A1/en")</f>
        <v>https://patents.google.com/patent/US20130074107A1/en</v>
      </c>
    </row>
    <row r="12222" spans="3:5" x14ac:dyDescent="0.25">
      <c r="C12222" t="s">
        <v>22714</v>
      </c>
      <c r="D12222" t="s">
        <v>22715</v>
      </c>
      <c r="E12222" t="str">
        <f>HYPERLINK("https://patents.google.com/patent/US8395901B2/en")</f>
        <v>https://patents.google.com/patent/US8395901B2/en</v>
      </c>
    </row>
    <row r="12223" spans="3:5" x14ac:dyDescent="0.25">
      <c r="C12223" t="s">
        <v>22716</v>
      </c>
      <c r="D12223" t="s">
        <v>22717</v>
      </c>
      <c r="E12223" t="str">
        <f>HYPERLINK("https://patents.google.com/patent/US20070271112A1/en")</f>
        <v>https://patents.google.com/patent/US20070271112A1/en</v>
      </c>
    </row>
    <row r="12224" spans="3:5" x14ac:dyDescent="0.25">
      <c r="C12224" t="s">
        <v>22718</v>
      </c>
      <c r="D12224" t="s">
        <v>22719</v>
      </c>
      <c r="E12224" t="str">
        <f>HYPERLINK("https://patents.google.com/patent/US20130074112A1/en")</f>
        <v>https://patents.google.com/patent/US20130074112A1/en</v>
      </c>
    </row>
    <row r="12225" spans="3:5" x14ac:dyDescent="0.25">
      <c r="C12225" t="s">
        <v>22720</v>
      </c>
      <c r="D12225" t="s">
        <v>22721</v>
      </c>
      <c r="E12225" t="str">
        <f>HYPERLINK("https://patents.google.com/patent/US20130025904A1/en")</f>
        <v>https://patents.google.com/patent/US20130025904A1/en</v>
      </c>
    </row>
    <row r="12226" spans="3:5" x14ac:dyDescent="0.25">
      <c r="C12226" t="s">
        <v>22722</v>
      </c>
      <c r="D12226" t="s">
        <v>22723</v>
      </c>
      <c r="E12226" t="str">
        <f>HYPERLINK("https://patents.google.com/patent/US6850418B2/en")</f>
        <v>https://patents.google.com/patent/US6850418B2/en</v>
      </c>
    </row>
    <row r="12227" spans="3:5" x14ac:dyDescent="0.25">
      <c r="C12227" t="s">
        <v>22724</v>
      </c>
      <c r="D12227" t="s">
        <v>22725</v>
      </c>
      <c r="E12227" t="str">
        <f>HYPERLINK("https://patents.google.com/patent/CN1797398A/en")</f>
        <v>https://patents.google.com/patent/CN1797398A/en</v>
      </c>
    </row>
    <row r="12228" spans="3:5" x14ac:dyDescent="0.25">
      <c r="C12228" t="s">
        <v>22726</v>
      </c>
      <c r="D12228" t="s">
        <v>22727</v>
      </c>
      <c r="E12228" t="str">
        <f>HYPERLINK("https://patents.google.com/patent/WO2008144756A1/en")</f>
        <v>https://patents.google.com/patent/WO2008144756A1/en</v>
      </c>
    </row>
    <row r="12229" spans="3:5" x14ac:dyDescent="0.25">
      <c r="C12229" t="s">
        <v>22728</v>
      </c>
      <c r="D12229" t="s">
        <v>22729</v>
      </c>
      <c r="E12229" t="str">
        <f>HYPERLINK("https://patents.google.com/patent/US4672654A/en")</f>
        <v>https://patents.google.com/patent/US4672654A/en</v>
      </c>
    </row>
    <row r="12230" spans="3:5" x14ac:dyDescent="0.25">
      <c r="C12230" t="s">
        <v>22730</v>
      </c>
      <c r="D12230" t="s">
        <v>22731</v>
      </c>
      <c r="E12230" t="str">
        <f>HYPERLINK("https://patents.google.com/patent/US7299268B2/en")</f>
        <v>https://patents.google.com/patent/US7299268B2/en</v>
      </c>
    </row>
    <row r="12231" spans="3:5" x14ac:dyDescent="0.25">
      <c r="C12231" t="s">
        <v>22732</v>
      </c>
      <c r="D12231" t="s">
        <v>22733</v>
      </c>
      <c r="E12231" t="str">
        <f>HYPERLINK("https://patents.google.com/patent/US20020141289A1/en")</f>
        <v>https://patents.google.com/patent/US20020141289A1/en</v>
      </c>
    </row>
    <row r="12232" spans="3:5" x14ac:dyDescent="0.25">
      <c r="C12232" t="s">
        <v>22734</v>
      </c>
      <c r="D12232" t="s">
        <v>22735</v>
      </c>
      <c r="E12232" t="str">
        <f>HYPERLINK("https://patents.google.com/patent/US20140088861A1/en")</f>
        <v>https://patents.google.com/patent/US20140088861A1/en</v>
      </c>
    </row>
    <row r="12233" spans="3:5" x14ac:dyDescent="0.25">
      <c r="C12233" t="s">
        <v>22736</v>
      </c>
      <c r="D12233" t="s">
        <v>22737</v>
      </c>
      <c r="E12233" t="str">
        <f>HYPERLINK("https://patents.google.com/patent/CN103020834A/en")</f>
        <v>https://patents.google.com/patent/CN103020834A/en</v>
      </c>
    </row>
    <row r="12234" spans="3:5" x14ac:dyDescent="0.25">
      <c r="C12234" t="s">
        <v>22738</v>
      </c>
      <c r="D12234" t="s">
        <v>22739</v>
      </c>
      <c r="E12234" t="str">
        <f>HYPERLINK("https://patents.google.com/patent/US4300124A/en")</f>
        <v>https://patents.google.com/patent/US4300124A/en</v>
      </c>
    </row>
    <row r="12235" spans="3:5" x14ac:dyDescent="0.25">
      <c r="C12235" t="s">
        <v>22582</v>
      </c>
      <c r="D12235" t="s">
        <v>22740</v>
      </c>
      <c r="E12235" t="str">
        <f>HYPERLINK("https://patents.google.com/patent/WO2014066981A1/en")</f>
        <v>https://patents.google.com/patent/WO2014066981A1/en</v>
      </c>
    </row>
    <row r="12236" spans="3:5" x14ac:dyDescent="0.25">
      <c r="C12236" t="s">
        <v>22741</v>
      </c>
      <c r="D12236" t="s">
        <v>22742</v>
      </c>
      <c r="E12236" t="str">
        <f>HYPERLINK("https://patents.google.com/patent/CN103136703A/en")</f>
        <v>https://patents.google.com/patent/CN103136703A/en</v>
      </c>
    </row>
    <row r="12237" spans="3:5" x14ac:dyDescent="0.25">
      <c r="C12237" t="s">
        <v>22743</v>
      </c>
      <c r="D12237" t="s">
        <v>22744</v>
      </c>
      <c r="E12237" t="str">
        <f>HYPERLINK("https://patents.google.com/patent/JP2002024351A/en")</f>
        <v>https://patents.google.com/patent/JP2002024351A/en</v>
      </c>
    </row>
    <row r="12238" spans="3:5" x14ac:dyDescent="0.25">
      <c r="C12238" t="s">
        <v>22745</v>
      </c>
      <c r="D12238" t="s">
        <v>22746</v>
      </c>
      <c r="E12238" t="str">
        <f>HYPERLINK("https://patents.google.com/patent/US6259277B1/en")</f>
        <v>https://patents.google.com/patent/US6259277B1/en</v>
      </c>
    </row>
    <row r="12239" spans="3:5" x14ac:dyDescent="0.25">
      <c r="C12239" t="s">
        <v>22747</v>
      </c>
      <c r="D12239" t="s">
        <v>22748</v>
      </c>
      <c r="E12239" t="str">
        <f>HYPERLINK("https://patents.google.com/patent/US20080183385A1/en")</f>
        <v>https://patents.google.com/patent/US20080183385A1/en</v>
      </c>
    </row>
    <row r="12240" spans="3:5" x14ac:dyDescent="0.25">
      <c r="C12240" t="s">
        <v>22749</v>
      </c>
      <c r="D12240" t="s">
        <v>22750</v>
      </c>
      <c r="E12240" t="str">
        <f>HYPERLINK("https://patents.google.com/patent/US5701580A/en")</f>
        <v>https://patents.google.com/patent/US5701580A/en</v>
      </c>
    </row>
    <row r="12241" spans="3:5" x14ac:dyDescent="0.25">
      <c r="C12241" t="s">
        <v>22751</v>
      </c>
      <c r="D12241" t="s">
        <v>22752</v>
      </c>
      <c r="E12241" t="str">
        <f>HYPERLINK("https://patents.google.com/patent/EP1734594A2/en")</f>
        <v>https://patents.google.com/patent/EP1734594A2/en</v>
      </c>
    </row>
    <row r="12242" spans="3:5" x14ac:dyDescent="0.25">
      <c r="C12242" t="s">
        <v>22753</v>
      </c>
      <c r="D12242" t="s">
        <v>22754</v>
      </c>
      <c r="E12242" t="str">
        <f>HYPERLINK("https://patents.google.com/patent/CN1815505A/en")</f>
        <v>https://patents.google.com/patent/CN1815505A/en</v>
      </c>
    </row>
    <row r="12243" spans="3:5" x14ac:dyDescent="0.25">
      <c r="C12243" t="s">
        <v>22755</v>
      </c>
      <c r="D12243" t="s">
        <v>22756</v>
      </c>
      <c r="E12243" t="str">
        <f>HYPERLINK("https://patents.google.com/patent/US5748085A/en")</f>
        <v>https://patents.google.com/patent/US5748085A/en</v>
      </c>
    </row>
    <row r="12244" spans="3:5" x14ac:dyDescent="0.25">
      <c r="C12244" t="s">
        <v>22757</v>
      </c>
      <c r="D12244" t="s">
        <v>22758</v>
      </c>
      <c r="E12244" t="str">
        <f>HYPERLINK("https://patents.google.com/patent/US20050233158A1/en")</f>
        <v>https://patents.google.com/patent/US20050233158A1/en</v>
      </c>
    </row>
    <row r="12245" spans="3:5" x14ac:dyDescent="0.25">
      <c r="C12245" t="s">
        <v>22759</v>
      </c>
      <c r="D12245" t="s">
        <v>22760</v>
      </c>
      <c r="E12245" t="str">
        <f>HYPERLINK("https://patents.google.com/patent/US6842741B1/en")</f>
        <v>https://patents.google.com/patent/US6842741B1/en</v>
      </c>
    </row>
    <row r="12246" spans="3:5" x14ac:dyDescent="0.25">
      <c r="C12246" t="s">
        <v>22761</v>
      </c>
      <c r="D12246" t="s">
        <v>22762</v>
      </c>
      <c r="E12246" t="str">
        <f>HYPERLINK("https://patents.google.com/patent/US7054900B1/en")</f>
        <v>https://patents.google.com/patent/US7054900B1/en</v>
      </c>
    </row>
    <row r="12247" spans="3:5" x14ac:dyDescent="0.25">
      <c r="C12247" t="s">
        <v>22763</v>
      </c>
      <c r="D12247" t="s">
        <v>22764</v>
      </c>
      <c r="E12247" t="str">
        <f>HYPERLINK("https://patents.google.com/patent/US6182072B1/en")</f>
        <v>https://patents.google.com/patent/US6182072B1/en</v>
      </c>
    </row>
    <row r="12248" spans="3:5" x14ac:dyDescent="0.25">
      <c r="C12248" t="s">
        <v>22765</v>
      </c>
      <c r="D12248" t="s">
        <v>22766</v>
      </c>
      <c r="E12248" t="str">
        <f>HYPERLINK("https://patents.google.com/patent/US8478662B1/en")</f>
        <v>https://patents.google.com/patent/US8478662B1/en</v>
      </c>
    </row>
    <row r="12249" spans="3:5" x14ac:dyDescent="0.25">
      <c r="C12249" t="s">
        <v>22767</v>
      </c>
      <c r="D12249" t="s">
        <v>22768</v>
      </c>
      <c r="E12249" t="str">
        <f>HYPERLINK("https://patents.google.com/patent/US7303475B2/en")</f>
        <v>https://patents.google.com/patent/US7303475B2/en</v>
      </c>
    </row>
    <row r="12250" spans="3:5" x14ac:dyDescent="0.25">
      <c r="C12250" t="s">
        <v>22769</v>
      </c>
      <c r="D12250" t="s">
        <v>22770</v>
      </c>
      <c r="E12250" t="str">
        <f>HYPERLINK("https://patents.google.com/patent/US20030041022A1/en")</f>
        <v>https://patents.google.com/patent/US20030041022A1/en</v>
      </c>
    </row>
    <row r="12251" spans="3:5" x14ac:dyDescent="0.25">
      <c r="C12251" t="s">
        <v>22771</v>
      </c>
      <c r="D12251" t="s">
        <v>22772</v>
      </c>
      <c r="E12251" t="str">
        <f>HYPERLINK("https://patents.google.com/patent/US8429026B1/en")</f>
        <v>https://patents.google.com/patent/US8429026B1/en</v>
      </c>
    </row>
    <row r="12252" spans="3:5" x14ac:dyDescent="0.25">
      <c r="C12252" t="s">
        <v>22773</v>
      </c>
      <c r="D12252" t="s">
        <v>22774</v>
      </c>
      <c r="E12252" t="str">
        <f>HYPERLINK("https://patents.google.com/patent/US6339227B1/en")</f>
        <v>https://patents.google.com/patent/US6339227B1/en</v>
      </c>
    </row>
    <row r="12253" spans="3:5" x14ac:dyDescent="0.25">
      <c r="C12253" t="s">
        <v>22775</v>
      </c>
      <c r="D12253" t="s">
        <v>22776</v>
      </c>
      <c r="E12253" t="str">
        <f>HYPERLINK("https://patents.google.com/patent/US20030110063A1/en")</f>
        <v>https://patents.google.com/patent/US20030110063A1/en</v>
      </c>
    </row>
    <row r="12254" spans="3:5" x14ac:dyDescent="0.25">
      <c r="C12254" t="s">
        <v>22777</v>
      </c>
      <c r="D12254" t="s">
        <v>22778</v>
      </c>
      <c r="E12254" t="str">
        <f>HYPERLINK("https://patents.google.com/patent/US20150026176A1/en")</f>
        <v>https://patents.google.com/patent/US20150026176A1/en</v>
      </c>
    </row>
    <row r="12255" spans="3:5" x14ac:dyDescent="0.25">
      <c r="C12255" t="s">
        <v>22779</v>
      </c>
      <c r="D12255" t="s">
        <v>22780</v>
      </c>
      <c r="E12255" t="str">
        <f>HYPERLINK("https://patents.google.com/patent/US6348700B1/en")</f>
        <v>https://patents.google.com/patent/US6348700B1/en</v>
      </c>
    </row>
    <row r="12256" spans="3:5" x14ac:dyDescent="0.25">
      <c r="C12256" t="s">
        <v>22781</v>
      </c>
      <c r="D12256" t="s">
        <v>22782</v>
      </c>
      <c r="E12256" t="str">
        <f>HYPERLINK("https://patents.google.com/patent/US6968973B2/en")</f>
        <v>https://patents.google.com/patent/US6968973B2/en</v>
      </c>
    </row>
    <row r="12257" spans="3:5" x14ac:dyDescent="0.25">
      <c r="C12257" t="s">
        <v>22783</v>
      </c>
      <c r="D12257" t="s">
        <v>22784</v>
      </c>
      <c r="E12257" t="str">
        <f>HYPERLINK("https://patents.google.com/patent/JP2009278342A/en")</f>
        <v>https://patents.google.com/patent/JP2009278342A/en</v>
      </c>
    </row>
    <row r="12258" spans="3:5" x14ac:dyDescent="0.25">
      <c r="C12258" t="s">
        <v>22785</v>
      </c>
      <c r="D12258" t="s">
        <v>22786</v>
      </c>
      <c r="E12258" t="str">
        <f>HYPERLINK("https://patents.google.com/patent/US20090096336A1/en")</f>
        <v>https://patents.google.com/patent/US20090096336A1/en</v>
      </c>
    </row>
    <row r="12259" spans="3:5" x14ac:dyDescent="0.25">
      <c r="C12259" t="s">
        <v>22787</v>
      </c>
      <c r="D12259" t="s">
        <v>22788</v>
      </c>
      <c r="E12259" t="str">
        <f>HYPERLINK("https://patents.google.com/patent/US20030187756A1/en")</f>
        <v>https://patents.google.com/patent/US20030187756A1/en</v>
      </c>
    </row>
    <row r="12260" spans="3:5" x14ac:dyDescent="0.25">
      <c r="C12260" t="s">
        <v>22789</v>
      </c>
      <c r="D12260" t="s">
        <v>22790</v>
      </c>
      <c r="E12260" t="str">
        <f>HYPERLINK("https://patents.google.com/patent/US20090175499A1/en")</f>
        <v>https://patents.google.com/patent/US20090175499A1/en</v>
      </c>
    </row>
    <row r="12261" spans="3:5" x14ac:dyDescent="0.25">
      <c r="C12261" t="s">
        <v>22791</v>
      </c>
      <c r="D12261" t="s">
        <v>22792</v>
      </c>
      <c r="E12261" t="str">
        <f>HYPERLINK("https://patents.google.com/patent/US7275990B2/en")</f>
        <v>https://patents.google.com/patent/US7275990B2/en</v>
      </c>
    </row>
    <row r="12262" spans="3:5" x14ac:dyDescent="0.25">
      <c r="C12262" t="s">
        <v>22793</v>
      </c>
      <c r="D12262" t="s">
        <v>22794</v>
      </c>
      <c r="E12262" t="str">
        <f>HYPERLINK("https://patents.google.com/patent/US5732398A/en")</f>
        <v>https://patents.google.com/patent/US5732398A/en</v>
      </c>
    </row>
    <row r="12263" spans="3:5" x14ac:dyDescent="0.25">
      <c r="C12263" t="s">
        <v>22795</v>
      </c>
      <c r="D12263" t="s">
        <v>22796</v>
      </c>
      <c r="E12263" t="str">
        <f>HYPERLINK("https://patents.google.com/patent/US7271747B2/en")</f>
        <v>https://patents.google.com/patent/US7271747B2/en</v>
      </c>
    </row>
    <row r="12264" spans="3:5" x14ac:dyDescent="0.25">
      <c r="C12264" t="s">
        <v>22797</v>
      </c>
      <c r="D12264" t="s">
        <v>22798</v>
      </c>
      <c r="E12264" t="str">
        <f>HYPERLINK("https://patents.google.com/patent/US5806043A/en")</f>
        <v>https://patents.google.com/patent/US5806043A/en</v>
      </c>
    </row>
    <row r="12265" spans="3:5" x14ac:dyDescent="0.25">
      <c r="C12265" t="s">
        <v>22799</v>
      </c>
      <c r="D12265" t="s">
        <v>22800</v>
      </c>
      <c r="E12265" t="str">
        <f>HYPERLINK("https://patents.google.com/patent/US5326104A/en")</f>
        <v>https://patents.google.com/patent/US5326104A/en</v>
      </c>
    </row>
    <row r="12266" spans="3:5" x14ac:dyDescent="0.25">
      <c r="C12266" t="s">
        <v>22801</v>
      </c>
      <c r="D12266" t="s">
        <v>22802</v>
      </c>
      <c r="E12266" t="str">
        <f>HYPERLINK("https://patents.google.com/patent/US6232877B1/en")</f>
        <v>https://patents.google.com/patent/US6232877B1/en</v>
      </c>
    </row>
    <row r="12267" spans="3:5" x14ac:dyDescent="0.25">
      <c r="C12267" t="s">
        <v>22803</v>
      </c>
      <c r="D12267" t="s">
        <v>22804</v>
      </c>
      <c r="E12267" t="str">
        <f>HYPERLINK("https://patents.google.com/patent/US20120290336A1/en")</f>
        <v>https://patents.google.com/patent/US20120290336A1/en</v>
      </c>
    </row>
    <row r="12268" spans="3:5" x14ac:dyDescent="0.25">
      <c r="C12268" t="s">
        <v>22805</v>
      </c>
      <c r="D12268" t="s">
        <v>22806</v>
      </c>
      <c r="E12268" t="str">
        <f>HYPERLINK("https://patents.google.com/patent/US8527146B1/en")</f>
        <v>https://patents.google.com/patent/US8527146B1/en</v>
      </c>
    </row>
    <row r="12269" spans="3:5" x14ac:dyDescent="0.25">
      <c r="C12269" t="s">
        <v>22807</v>
      </c>
      <c r="D12269" t="s">
        <v>22808</v>
      </c>
      <c r="E12269" t="str">
        <f>HYPERLINK("https://patents.google.com/patent/US20020026380A1/en")</f>
        <v>https://patents.google.com/patent/US20020026380A1/en</v>
      </c>
    </row>
    <row r="12270" spans="3:5" x14ac:dyDescent="0.25">
      <c r="C12270" t="s">
        <v>22809</v>
      </c>
      <c r="D12270" t="s">
        <v>22810</v>
      </c>
      <c r="E12270" t="str">
        <f>HYPERLINK("https://patents.google.com/patent/US8045952B2/en")</f>
        <v>https://patents.google.com/patent/US8045952B2/en</v>
      </c>
    </row>
    <row r="12271" spans="3:5" x14ac:dyDescent="0.25">
      <c r="C12271" t="s">
        <v>22811</v>
      </c>
      <c r="D12271" t="s">
        <v>22812</v>
      </c>
      <c r="E12271" t="str">
        <f>HYPERLINK("https://patents.google.com/patent/US4858147A/en")</f>
        <v>https://patents.google.com/patent/US4858147A/en</v>
      </c>
    </row>
    <row r="12272" spans="3:5" x14ac:dyDescent="0.25">
      <c r="C12272" t="s">
        <v>22813</v>
      </c>
      <c r="D12272" t="s">
        <v>22814</v>
      </c>
      <c r="E12272" t="str">
        <f>HYPERLINK("https://patents.google.com/patent/US6623529B1/en")</f>
        <v>https://patents.google.com/patent/US6623529B1/en</v>
      </c>
    </row>
    <row r="12273" spans="3:5" x14ac:dyDescent="0.25">
      <c r="C12273" t="s">
        <v>22815</v>
      </c>
      <c r="D12273" t="s">
        <v>22816</v>
      </c>
      <c r="E12273" t="str">
        <f>HYPERLINK("https://patents.google.com/patent/US8592791B2/en")</f>
        <v>https://patents.google.com/patent/US8592791B2/en</v>
      </c>
    </row>
    <row r="12274" spans="3:5" x14ac:dyDescent="0.25">
      <c r="C12274" t="s">
        <v>22817</v>
      </c>
      <c r="D12274" t="s">
        <v>22818</v>
      </c>
      <c r="E12274" t="str">
        <f>HYPERLINK("https://patents.google.com/patent/US6078255A/en")</f>
        <v>https://patents.google.com/patent/US6078255A/en</v>
      </c>
    </row>
    <row r="12275" spans="3:5" x14ac:dyDescent="0.25">
      <c r="C12275" t="s">
        <v>22819</v>
      </c>
      <c r="D12275" t="s">
        <v>22820</v>
      </c>
      <c r="E12275" t="str">
        <f>HYPERLINK("https://patents.google.com/patent/US7158956B1/en")</f>
        <v>https://patents.google.com/patent/US7158956B1/en</v>
      </c>
    </row>
    <row r="12276" spans="3:5" x14ac:dyDescent="0.25">
      <c r="C12276" t="s">
        <v>22821</v>
      </c>
      <c r="D12276" t="s">
        <v>22822</v>
      </c>
      <c r="E12276" t="str">
        <f>HYPERLINK("https://patents.google.com/patent/US20040218910A1/en")</f>
        <v>https://patents.google.com/patent/US20040218910A1/en</v>
      </c>
    </row>
    <row r="12277" spans="3:5" x14ac:dyDescent="0.25">
      <c r="C12277" t="s">
        <v>22823</v>
      </c>
      <c r="D12277" t="s">
        <v>22824</v>
      </c>
      <c r="E12277" t="str">
        <f>HYPERLINK("https://patents.google.com/patent/US20130005445A1/en")</f>
        <v>https://patents.google.com/patent/US20130005445A1/en</v>
      </c>
    </row>
    <row r="12278" spans="3:5" x14ac:dyDescent="0.25">
      <c r="C12278" t="s">
        <v>22825</v>
      </c>
      <c r="D12278" t="s">
        <v>22826</v>
      </c>
      <c r="E12278" t="str">
        <f>HYPERLINK("https://patents.google.com/patent/US20130339877A1/en")</f>
        <v>https://patents.google.com/patent/US20130339877A1/en</v>
      </c>
    </row>
    <row r="12279" spans="3:5" x14ac:dyDescent="0.25">
      <c r="C12279" t="s">
        <v>22827</v>
      </c>
      <c r="D12279" t="s">
        <v>22828</v>
      </c>
      <c r="E12279" t="str">
        <f>HYPERLINK("https://patents.google.com/patent/EP0288068B1/en")</f>
        <v>https://patents.google.com/patent/EP0288068B1/en</v>
      </c>
    </row>
    <row r="12280" spans="3:5" x14ac:dyDescent="0.25">
      <c r="C12280" t="s">
        <v>22829</v>
      </c>
      <c r="D12280" t="s">
        <v>22830</v>
      </c>
      <c r="E12280" t="str">
        <f>HYPERLINK("https://patents.google.com/patent/US20080235108A1/en")</f>
        <v>https://patents.google.com/patent/US20080235108A1/en</v>
      </c>
    </row>
    <row r="12281" spans="3:5" x14ac:dyDescent="0.25">
      <c r="C12281" t="s">
        <v>22831</v>
      </c>
      <c r="D12281" t="s">
        <v>22832</v>
      </c>
      <c r="E12281" t="str">
        <f>HYPERLINK("https://patents.google.com/patent/US20080173480A1/en")</f>
        <v>https://patents.google.com/patent/US20080173480A1/en</v>
      </c>
    </row>
    <row r="12282" spans="3:5" x14ac:dyDescent="0.25">
      <c r="C12282" t="s">
        <v>22833</v>
      </c>
      <c r="D12282" t="s">
        <v>22834</v>
      </c>
      <c r="E12282" t="str">
        <f>HYPERLINK("https://patents.google.com/patent/WO2009043023A2/en")</f>
        <v>https://patents.google.com/patent/WO2009043023A2/en</v>
      </c>
    </row>
    <row r="12283" spans="3:5" x14ac:dyDescent="0.25">
      <c r="C12283" t="s">
        <v>22835</v>
      </c>
      <c r="D12283" t="s">
        <v>22836</v>
      </c>
      <c r="E12283" t="str">
        <f>HYPERLINK("https://patents.google.com/patent/WO2001027972A2/en")</f>
        <v>https://patents.google.com/patent/WO2001027972A2/en</v>
      </c>
    </row>
    <row r="12284" spans="3:5" x14ac:dyDescent="0.25">
      <c r="C12284" t="s">
        <v>22837</v>
      </c>
      <c r="D12284" t="s">
        <v>22838</v>
      </c>
      <c r="E12284" t="str">
        <f>HYPERLINK("https://patents.google.com/patent/JP2002288187A/en")</f>
        <v>https://patents.google.com/patent/JP2002288187A/en</v>
      </c>
    </row>
    <row r="12285" spans="3:5" x14ac:dyDescent="0.25">
      <c r="C12285" t="s">
        <v>22839</v>
      </c>
      <c r="D12285" t="s">
        <v>22840</v>
      </c>
      <c r="E12285" t="str">
        <f>HYPERLINK("https://patents.google.com/patent/US8732195B2/en")</f>
        <v>https://patents.google.com/patent/US8732195B2/en</v>
      </c>
    </row>
    <row r="12286" spans="3:5" x14ac:dyDescent="0.25">
      <c r="C12286" t="s">
        <v>22841</v>
      </c>
      <c r="D12286" t="s">
        <v>22842</v>
      </c>
      <c r="E12286" t="str">
        <f>HYPERLINK("https://patents.google.com/patent/US20160203422A1/en")</f>
        <v>https://patents.google.com/patent/US20160203422A1/en</v>
      </c>
    </row>
    <row r="12287" spans="3:5" x14ac:dyDescent="0.25">
      <c r="C12287" t="s">
        <v>22843</v>
      </c>
      <c r="D12287" t="s">
        <v>22844</v>
      </c>
      <c r="E12287" t="str">
        <f>HYPERLINK("https://patents.google.com/patent/EP0039645A1/en")</f>
        <v>https://patents.google.com/patent/EP0039645A1/en</v>
      </c>
    </row>
    <row r="12288" spans="3:5" x14ac:dyDescent="0.25">
      <c r="C12288" t="s">
        <v>22845</v>
      </c>
      <c r="D12288" t="s">
        <v>22846</v>
      </c>
      <c r="E12288" t="str">
        <f>HYPERLINK("https://patents.google.com/patent/JP2004279299A/en")</f>
        <v>https://patents.google.com/patent/JP2004279299A/en</v>
      </c>
    </row>
    <row r="12289" spans="3:5" x14ac:dyDescent="0.25">
      <c r="C12289" t="s">
        <v>22847</v>
      </c>
      <c r="D12289" t="s">
        <v>22848</v>
      </c>
      <c r="E12289" t="str">
        <f>HYPERLINK("https://patents.google.com/patent/US7930206B2/en")</f>
        <v>https://patents.google.com/patent/US7930206B2/en</v>
      </c>
    </row>
    <row r="12290" spans="3:5" x14ac:dyDescent="0.25">
      <c r="C12290" t="s">
        <v>22849</v>
      </c>
      <c r="D12290" t="s">
        <v>22850</v>
      </c>
      <c r="E12290" t="str">
        <f>HYPERLINK("https://patents.google.com/patent/CN101796803A/en")</f>
        <v>https://patents.google.com/patent/CN101796803A/en</v>
      </c>
    </row>
    <row r="12291" spans="3:5" x14ac:dyDescent="0.25">
      <c r="C12291" t="s">
        <v>22851</v>
      </c>
      <c r="D12291" t="s">
        <v>22852</v>
      </c>
      <c r="E12291" t="str">
        <f>HYPERLINK("https://patents.google.com/patent/US20080258179A1/en")</f>
        <v>https://patents.google.com/patent/US20080258179A1/en</v>
      </c>
    </row>
    <row r="12292" spans="3:5" x14ac:dyDescent="0.25">
      <c r="C12292" t="s">
        <v>22853</v>
      </c>
      <c r="D12292" t="s">
        <v>22854</v>
      </c>
      <c r="E12292" t="str">
        <f>HYPERLINK("https://patents.google.com/patent/US20020158244A1/en")</f>
        <v>https://patents.google.com/patent/US20020158244A1/en</v>
      </c>
    </row>
    <row r="12293" spans="3:5" x14ac:dyDescent="0.25">
      <c r="C12293" t="s">
        <v>22855</v>
      </c>
      <c r="D12293" t="s">
        <v>22856</v>
      </c>
      <c r="E12293" t="str">
        <f>HYPERLINK("https://patents.google.com/patent/US20070215866A1/en")</f>
        <v>https://patents.google.com/patent/US20070215866A1/en</v>
      </c>
    </row>
    <row r="12294" spans="3:5" x14ac:dyDescent="0.25">
      <c r="C12294" t="s">
        <v>22857</v>
      </c>
      <c r="D12294" t="s">
        <v>22858</v>
      </c>
      <c r="E12294" t="str">
        <f>HYPERLINK("https://patents.google.com/patent/WO2002027575A1/en")</f>
        <v>https://patents.google.com/patent/WO2002027575A1/en</v>
      </c>
    </row>
    <row r="12295" spans="3:5" x14ac:dyDescent="0.25">
      <c r="C12295" t="s">
        <v>22859</v>
      </c>
      <c r="D12295" t="s">
        <v>22860</v>
      </c>
      <c r="E12295" t="str">
        <f>HYPERLINK("https://patents.google.com/patent/US20090234710A1/en")</f>
        <v>https://patents.google.com/patent/US20090234710A1/en</v>
      </c>
    </row>
    <row r="12296" spans="3:5" x14ac:dyDescent="0.25">
      <c r="C12296" t="s">
        <v>22861</v>
      </c>
      <c r="D12296" t="s">
        <v>22862</v>
      </c>
      <c r="E12296" t="str">
        <f>HYPERLINK("https://patents.google.com/patent/US20060277130A1/en")</f>
        <v>https://patents.google.com/patent/US20060277130A1/en</v>
      </c>
    </row>
    <row r="12297" spans="3:5" x14ac:dyDescent="0.25">
      <c r="C12297" t="s">
        <v>22863</v>
      </c>
      <c r="D12297" t="s">
        <v>22864</v>
      </c>
      <c r="E12297" t="str">
        <f>HYPERLINK("https://patents.google.com/patent/US20160116914A1/en")</f>
        <v>https://patents.google.com/patent/US20160116914A1/en</v>
      </c>
    </row>
    <row r="12298" spans="3:5" x14ac:dyDescent="0.25">
      <c r="C12298" t="s">
        <v>22865</v>
      </c>
      <c r="D12298" t="s">
        <v>22866</v>
      </c>
      <c r="E12298" t="str">
        <f>HYPERLINK("https://patents.google.com/patent/US20010034643A1/en")</f>
        <v>https://patents.google.com/patent/US20010034643A1/en</v>
      </c>
    </row>
    <row r="12299" spans="3:5" x14ac:dyDescent="0.25">
      <c r="C12299" t="s">
        <v>22867</v>
      </c>
      <c r="D12299" t="s">
        <v>22868</v>
      </c>
      <c r="E12299" t="str">
        <f>HYPERLINK("https://patents.google.com/patent/US20030083957A1/en")</f>
        <v>https://patents.google.com/patent/US20030083957A1/en</v>
      </c>
    </row>
    <row r="12300" spans="3:5" x14ac:dyDescent="0.25">
      <c r="C12300" t="s">
        <v>22869</v>
      </c>
      <c r="D12300" t="s">
        <v>22870</v>
      </c>
      <c r="E12300" t="str">
        <f>HYPERLINK("https://patents.google.com/patent/US20070259994A1/en")</f>
        <v>https://patents.google.com/patent/US20070259994A1/en</v>
      </c>
    </row>
    <row r="12301" spans="3:5" x14ac:dyDescent="0.25">
      <c r="C12301" t="s">
        <v>22871</v>
      </c>
      <c r="D12301" t="s">
        <v>22872</v>
      </c>
      <c r="E12301" t="str">
        <f>HYPERLINK("https://patents.google.com/patent/US20100191551A1/en")</f>
        <v>https://patents.google.com/patent/US20100191551A1/en</v>
      </c>
    </row>
    <row r="12302" spans="3:5" x14ac:dyDescent="0.25">
      <c r="C12302" t="s">
        <v>22835</v>
      </c>
      <c r="D12302" t="s">
        <v>22873</v>
      </c>
      <c r="E12302" t="str">
        <f>HYPERLINK("https://patents.google.com/patent/US6756605B1/en")</f>
        <v>https://patents.google.com/patent/US6756605B1/en</v>
      </c>
    </row>
    <row r="12303" spans="3:5" x14ac:dyDescent="0.25">
      <c r="C12303" t="s">
        <v>22874</v>
      </c>
      <c r="D12303" t="s">
        <v>22875</v>
      </c>
      <c r="E12303" t="str">
        <f>HYPERLINK("https://patents.google.com/patent/US20040138467A1/en")</f>
        <v>https://patents.google.com/patent/US20040138467A1/en</v>
      </c>
    </row>
    <row r="12304" spans="3:5" x14ac:dyDescent="0.25">
      <c r="C12304" t="s">
        <v>22876</v>
      </c>
      <c r="D12304" t="s">
        <v>22877</v>
      </c>
      <c r="E12304" t="str">
        <f>HYPERLINK("https://patents.google.com/patent/US20070042868A1/en")</f>
        <v>https://patents.google.com/patent/US20070042868A1/en</v>
      </c>
    </row>
    <row r="12305" spans="3:5" x14ac:dyDescent="0.25">
      <c r="C12305" t="s">
        <v>22878</v>
      </c>
      <c r="D12305" t="s">
        <v>22879</v>
      </c>
      <c r="E12305" t="str">
        <f>HYPERLINK("https://patents.google.com/patent/US20080242464A1/en")</f>
        <v>https://patents.google.com/patent/US20080242464A1/en</v>
      </c>
    </row>
    <row r="12306" spans="3:5" x14ac:dyDescent="0.25">
      <c r="C12306" t="s">
        <v>22880</v>
      </c>
      <c r="D12306" t="s">
        <v>22881</v>
      </c>
      <c r="E12306" t="str">
        <f>HYPERLINK("https://patents.google.com/patent/US4457019A/en")</f>
        <v>https://patents.google.com/patent/US4457019A/en</v>
      </c>
    </row>
    <row r="12307" spans="3:5" x14ac:dyDescent="0.25">
      <c r="C12307" t="s">
        <v>22882</v>
      </c>
      <c r="D12307" t="s">
        <v>22883</v>
      </c>
      <c r="E12307" t="str">
        <f>HYPERLINK("https://patents.google.com/patent/US20070226004A1/en")</f>
        <v>https://patents.google.com/patent/US20070226004A1/en</v>
      </c>
    </row>
    <row r="12308" spans="3:5" x14ac:dyDescent="0.25">
      <c r="C12308" t="s">
        <v>22884</v>
      </c>
      <c r="D12308" t="s">
        <v>22885</v>
      </c>
      <c r="E12308" t="str">
        <f>HYPERLINK("https://patents.google.com/patent/US20070011154A1/en")</f>
        <v>https://patents.google.com/patent/US20070011154A1/en</v>
      </c>
    </row>
    <row r="12309" spans="3:5" x14ac:dyDescent="0.25">
      <c r="C12309" t="s">
        <v>22886</v>
      </c>
      <c r="D12309" t="s">
        <v>22887</v>
      </c>
      <c r="E12309" t="str">
        <f>HYPERLINK("https://patents.google.com/patent/US20070032344A1/en")</f>
        <v>https://patents.google.com/patent/US20070032344A1/en</v>
      </c>
    </row>
    <row r="12310" spans="3:5" x14ac:dyDescent="0.25">
      <c r="C12310" t="s">
        <v>22888</v>
      </c>
      <c r="D12310" t="s">
        <v>22889</v>
      </c>
      <c r="E12310" t="str">
        <f>HYPERLINK("https://patents.google.com/patent/US20070038727A1/en")</f>
        <v>https://patents.google.com/patent/US20070038727A1/en</v>
      </c>
    </row>
    <row r="12311" spans="3:5" x14ac:dyDescent="0.25">
      <c r="C12311" t="s">
        <v>22890</v>
      </c>
      <c r="D12311" t="s">
        <v>22891</v>
      </c>
      <c r="E12311" t="str">
        <f>HYPERLINK("https://patents.google.com/patent/US20100035726A1/en")</f>
        <v>https://patents.google.com/patent/US20100035726A1/en</v>
      </c>
    </row>
    <row r="12312" spans="3:5" x14ac:dyDescent="0.25">
      <c r="C12312" t="s">
        <v>22892</v>
      </c>
      <c r="D12312" t="s">
        <v>22893</v>
      </c>
      <c r="E12312" t="str">
        <f>HYPERLINK("https://patents.google.com/patent/US20060036450A1/en")</f>
        <v>https://patents.google.com/patent/US20060036450A1/en</v>
      </c>
    </row>
    <row r="12313" spans="3:5" x14ac:dyDescent="0.25">
      <c r="C12313" t="s">
        <v>22894</v>
      </c>
      <c r="D12313" t="s">
        <v>22895</v>
      </c>
      <c r="E12313" t="str">
        <f>HYPERLINK("https://patents.google.com/patent/US20050222886A1/en")</f>
        <v>https://patents.google.com/patent/US20050222886A1/en</v>
      </c>
    </row>
    <row r="12314" spans="3:5" x14ac:dyDescent="0.25">
      <c r="C12314" t="s">
        <v>22896</v>
      </c>
      <c r="D12314" t="s">
        <v>22897</v>
      </c>
      <c r="E12314" t="str">
        <f>HYPERLINK("https://patents.google.com/patent/US20130226995A1/en")</f>
        <v>https://patents.google.com/patent/US20130226995A1/en</v>
      </c>
    </row>
    <row r="12315" spans="3:5" x14ac:dyDescent="0.25">
      <c r="C12315" t="s">
        <v>22898</v>
      </c>
      <c r="D12315" t="s">
        <v>22899</v>
      </c>
      <c r="E12315" t="str">
        <f>HYPERLINK("https://patents.google.com/patent/US20050144642A1/en")</f>
        <v>https://patents.google.com/patent/US20050144642A1/en</v>
      </c>
    </row>
    <row r="12316" spans="3:5" x14ac:dyDescent="0.25">
      <c r="C12316" t="s">
        <v>22900</v>
      </c>
      <c r="D12316" t="s">
        <v>22901</v>
      </c>
      <c r="E12316" t="str">
        <f>HYPERLINK("https://patents.google.com/patent/US20050010423A1/en")</f>
        <v>https://patents.google.com/patent/US20050010423A1/en</v>
      </c>
    </row>
    <row r="12317" spans="3:5" x14ac:dyDescent="0.25">
      <c r="C12317" t="s">
        <v>22902</v>
      </c>
      <c r="D12317" t="s">
        <v>22903</v>
      </c>
      <c r="E12317" t="str">
        <f>HYPERLINK("https://patents.google.com/patent/US20070136247A1/en")</f>
        <v>https://patents.google.com/patent/US20070136247A1/en</v>
      </c>
    </row>
    <row r="12318" spans="3:5" x14ac:dyDescent="0.25">
      <c r="C12318" t="s">
        <v>22904</v>
      </c>
      <c r="D12318" t="s">
        <v>22905</v>
      </c>
      <c r="E12318" t="str">
        <f>HYPERLINK("https://patents.google.com/patent/US20130152768A1/en")</f>
        <v>https://patents.google.com/patent/US20130152768A1/en</v>
      </c>
    </row>
    <row r="12319" spans="3:5" x14ac:dyDescent="0.25">
      <c r="C12319" t="s">
        <v>22906</v>
      </c>
      <c r="D12319" t="s">
        <v>22907</v>
      </c>
      <c r="E12319" t="str">
        <f>HYPERLINK("https://patents.google.com/patent/JP2001052025A/en")</f>
        <v>https://patents.google.com/patent/JP2001052025A/en</v>
      </c>
    </row>
    <row r="12320" spans="3:5" x14ac:dyDescent="0.25">
      <c r="C12320" t="s">
        <v>22908</v>
      </c>
      <c r="D12320" t="s">
        <v>22909</v>
      </c>
      <c r="E12320" t="str">
        <f>HYPERLINK("https://patents.google.com/patent/US20100080201A1/en")</f>
        <v>https://patents.google.com/patent/US20100080201A1/en</v>
      </c>
    </row>
    <row r="12321" spans="3:5" x14ac:dyDescent="0.25">
      <c r="C12321" t="s">
        <v>22902</v>
      </c>
      <c r="D12321" t="s">
        <v>22910</v>
      </c>
      <c r="E12321" t="str">
        <f>HYPERLINK("https://patents.google.com/patent/US20070094245A1/en")</f>
        <v>https://patents.google.com/patent/US20070094245A1/en</v>
      </c>
    </row>
    <row r="12322" spans="3:5" x14ac:dyDescent="0.25">
      <c r="C12322" t="s">
        <v>22911</v>
      </c>
      <c r="D12322" t="s">
        <v>22912</v>
      </c>
      <c r="E12322" t="str">
        <f>HYPERLINK("https://patents.google.com/patent/US20030236792A1/en")</f>
        <v>https://patents.google.com/patent/US20030236792A1/en</v>
      </c>
    </row>
    <row r="12323" spans="3:5" x14ac:dyDescent="0.25">
      <c r="C12323" t="s">
        <v>22913</v>
      </c>
      <c r="D12323" t="s">
        <v>22914</v>
      </c>
      <c r="E12323" t="str">
        <f>HYPERLINK("https://patents.google.com/patent/US20060075343A1/en")</f>
        <v>https://patents.google.com/patent/US20060075343A1/en</v>
      </c>
    </row>
    <row r="12324" spans="3:5" x14ac:dyDescent="0.25">
      <c r="C12324" t="s">
        <v>22915</v>
      </c>
      <c r="D12324" t="s">
        <v>22916</v>
      </c>
      <c r="E12324" t="str">
        <f>HYPERLINK("https://patents.google.com/patent/US7408109B1/en")</f>
        <v>https://patents.google.com/patent/US7408109B1/en</v>
      </c>
    </row>
    <row r="12325" spans="3:5" x14ac:dyDescent="0.25">
      <c r="C12325" t="s">
        <v>20888</v>
      </c>
      <c r="D12325" t="s">
        <v>22917</v>
      </c>
      <c r="E12325" t="str">
        <f>HYPERLINK("https://patents.google.com/patent/US7216152B2/en")</f>
        <v>https://patents.google.com/patent/US7216152B2/en</v>
      </c>
    </row>
    <row r="12326" spans="3:5" x14ac:dyDescent="0.25">
      <c r="C12326" t="s">
        <v>22918</v>
      </c>
      <c r="D12326" t="s">
        <v>22919</v>
      </c>
      <c r="E12326" t="str">
        <f>HYPERLINK("https://patents.google.com/patent/US20050288941A1/en")</f>
        <v>https://patents.google.com/patent/US20050288941A1/en</v>
      </c>
    </row>
    <row r="12327" spans="3:5" x14ac:dyDescent="0.25">
      <c r="C12327" t="s">
        <v>22920</v>
      </c>
      <c r="D12327" t="s">
        <v>22921</v>
      </c>
      <c r="E12327" t="str">
        <f>HYPERLINK("https://patents.google.com/patent/US8716585B2/en")</f>
        <v>https://patents.google.com/patent/US8716585B2/en</v>
      </c>
    </row>
    <row r="12328" spans="3:5" x14ac:dyDescent="0.25">
      <c r="C12328" t="s">
        <v>22922</v>
      </c>
      <c r="D12328" t="s">
        <v>22923</v>
      </c>
      <c r="E12328" t="str">
        <f>HYPERLINK("https://patents.google.com/patent/EP0064025A1/en")</f>
        <v>https://patents.google.com/patent/EP0064025A1/en</v>
      </c>
    </row>
    <row r="12329" spans="3:5" x14ac:dyDescent="0.25">
      <c r="C12329" t="s">
        <v>22924</v>
      </c>
      <c r="D12329" t="s">
        <v>22925</v>
      </c>
      <c r="E12329" t="str">
        <f>HYPERLINK("https://patents.google.com/patent/US20110047463A1/en")</f>
        <v>https://patents.google.com/patent/US20110047463A1/en</v>
      </c>
    </row>
    <row r="12330" spans="3:5" x14ac:dyDescent="0.25">
      <c r="C12330" t="s">
        <v>22926</v>
      </c>
      <c r="D12330" t="s">
        <v>22927</v>
      </c>
      <c r="E12330" t="str">
        <f>HYPERLINK("https://patents.google.com/patent/DE19959904A1/en")</f>
        <v>https://patents.google.com/patent/DE19959904A1/en</v>
      </c>
    </row>
    <row r="12331" spans="3:5" x14ac:dyDescent="0.25">
      <c r="C12331" t="s">
        <v>22928</v>
      </c>
      <c r="D12331" t="s">
        <v>22929</v>
      </c>
      <c r="E12331" t="str">
        <f>HYPERLINK("https://patents.google.com/patent/US20130006521A1/en")</f>
        <v>https://patents.google.com/patent/US20130006521A1/en</v>
      </c>
    </row>
    <row r="12332" spans="3:5" x14ac:dyDescent="0.25">
      <c r="C12332" t="s">
        <v>22930</v>
      </c>
      <c r="D12332" t="s">
        <v>22931</v>
      </c>
      <c r="E12332" t="str">
        <f>HYPERLINK("https://patents.google.com/patent/US20050114703A1/en")</f>
        <v>https://patents.google.com/patent/US20050114703A1/en</v>
      </c>
    </row>
    <row r="12333" spans="3:5" x14ac:dyDescent="0.25">
      <c r="C12333" t="s">
        <v>22932</v>
      </c>
      <c r="D12333" t="s">
        <v>22933</v>
      </c>
      <c r="E12333" t="str">
        <f>HYPERLINK("https://patents.google.com/patent/US6052670A/en")</f>
        <v>https://patents.google.com/patent/US6052670A/en</v>
      </c>
    </row>
    <row r="12334" spans="3:5" x14ac:dyDescent="0.25">
      <c r="C12334" t="s">
        <v>22934</v>
      </c>
      <c r="D12334" t="s">
        <v>22935</v>
      </c>
      <c r="E12334" t="str">
        <f>HYPERLINK("https://patents.google.com/patent/US4766746A/en")</f>
        <v>https://patents.google.com/patent/US4766746A/en</v>
      </c>
    </row>
    <row r="12335" spans="3:5" x14ac:dyDescent="0.25">
      <c r="C12335" t="s">
        <v>22936</v>
      </c>
      <c r="D12335" t="s">
        <v>22937</v>
      </c>
      <c r="E12335" t="str">
        <f>HYPERLINK("https://patents.google.com/patent/US20090173935A1/en")</f>
        <v>https://patents.google.com/patent/US20090173935A1/en</v>
      </c>
    </row>
    <row r="12336" spans="3:5" x14ac:dyDescent="0.25">
      <c r="C12336" t="s">
        <v>22938</v>
      </c>
      <c r="D12336" t="s">
        <v>22939</v>
      </c>
      <c r="E12336" t="str">
        <f>HYPERLINK("https://patents.google.com/patent/US4914732A/en")</f>
        <v>https://patents.google.com/patent/US4914732A/en</v>
      </c>
    </row>
    <row r="12337" spans="3:5" x14ac:dyDescent="0.25">
      <c r="C12337" t="s">
        <v>22940</v>
      </c>
      <c r="D12337" t="s">
        <v>22941</v>
      </c>
      <c r="E12337" t="str">
        <f>HYPERLINK("https://patents.google.com/patent/US20130332890A1/en")</f>
        <v>https://patents.google.com/patent/US20130332890A1/en</v>
      </c>
    </row>
    <row r="12338" spans="3:5" x14ac:dyDescent="0.25">
      <c r="C12338" t="s">
        <v>22942</v>
      </c>
      <c r="D12338" t="s">
        <v>22943</v>
      </c>
      <c r="E12338" t="str">
        <f>HYPERLINK("https://patents.google.com/patent/US4916443A/en")</f>
        <v>https://patents.google.com/patent/US4916443A/en</v>
      </c>
    </row>
    <row r="12339" spans="3:5" x14ac:dyDescent="0.25">
      <c r="C12339" t="s">
        <v>22944</v>
      </c>
      <c r="D12339" t="s">
        <v>22945</v>
      </c>
      <c r="E12339" t="str">
        <f>HYPERLINK("https://patents.google.com/patent/US5046084A/en")</f>
        <v>https://patents.google.com/patent/US5046084A/en</v>
      </c>
    </row>
    <row r="12340" spans="3:5" x14ac:dyDescent="0.25">
      <c r="C12340" t="s">
        <v>22946</v>
      </c>
      <c r="D12340" t="s">
        <v>22947</v>
      </c>
      <c r="E12340" t="str">
        <f>HYPERLINK("https://patents.google.com/patent/US5905866A/en")</f>
        <v>https://patents.google.com/patent/US5905866A/en</v>
      </c>
    </row>
    <row r="12341" spans="3:5" x14ac:dyDescent="0.25">
      <c r="C12341" t="s">
        <v>22948</v>
      </c>
      <c r="D12341" t="s">
        <v>22949</v>
      </c>
      <c r="E12341" t="str">
        <f>HYPERLINK("https://patents.google.com/patent/US6450922B1/en")</f>
        <v>https://patents.google.com/patent/US6450922B1/en</v>
      </c>
    </row>
    <row r="12342" spans="3:5" x14ac:dyDescent="0.25">
      <c r="C12342" t="s">
        <v>19891</v>
      </c>
      <c r="D12342" t="s">
        <v>22950</v>
      </c>
      <c r="E12342" t="str">
        <f>HYPERLINK("https://patents.google.com/patent/US6336072B1/en")</f>
        <v>https://patents.google.com/patent/US6336072B1/en</v>
      </c>
    </row>
    <row r="12343" spans="3:5" x14ac:dyDescent="0.25">
      <c r="C12343" t="s">
        <v>22951</v>
      </c>
      <c r="D12343" t="s">
        <v>22952</v>
      </c>
      <c r="E12343" t="str">
        <f>HYPERLINK("https://patents.google.com/patent/US5897620A/en")</f>
        <v>https://patents.google.com/patent/US5897620A/en</v>
      </c>
    </row>
    <row r="12344" spans="3:5" x14ac:dyDescent="0.25">
      <c r="C12344" t="s">
        <v>22953</v>
      </c>
      <c r="D12344" t="s">
        <v>22954</v>
      </c>
      <c r="E12344" t="str">
        <f>HYPERLINK("https://patents.google.com/patent/US5630068A/en")</f>
        <v>https://patents.google.com/patent/US5630068A/en</v>
      </c>
    </row>
    <row r="12345" spans="3:5" x14ac:dyDescent="0.25">
      <c r="C12345" t="s">
        <v>22955</v>
      </c>
      <c r="D12345" t="s">
        <v>22956</v>
      </c>
      <c r="E12345" t="str">
        <f>HYPERLINK("https://patents.google.com/patent/US5321241A/en")</f>
        <v>https://patents.google.com/patent/US5321241A/en</v>
      </c>
    </row>
    <row r="12346" spans="3:5" x14ac:dyDescent="0.25">
      <c r="C12346" t="s">
        <v>22957</v>
      </c>
      <c r="D12346" t="s">
        <v>22958</v>
      </c>
      <c r="E12346" t="str">
        <f>HYPERLINK("https://patents.google.com/patent/US6615208B1/en")</f>
        <v>https://patents.google.com/patent/US6615208B1/en</v>
      </c>
    </row>
    <row r="12347" spans="3:5" x14ac:dyDescent="0.25">
      <c r="C12347" t="s">
        <v>22959</v>
      </c>
      <c r="D12347" t="s">
        <v>22960</v>
      </c>
      <c r="E12347" t="str">
        <f>HYPERLINK("https://patents.google.com/patent/US5956691A/en")</f>
        <v>https://patents.google.com/patent/US5956691A/en</v>
      </c>
    </row>
    <row r="12348" spans="3:5" x14ac:dyDescent="0.25">
      <c r="C12348" t="s">
        <v>22961</v>
      </c>
      <c r="D12348" t="s">
        <v>22962</v>
      </c>
      <c r="E12348" t="str">
        <f>HYPERLINK("https://patents.google.com/patent/US6175842B1/en")</f>
        <v>https://patents.google.com/patent/US6175842B1/en</v>
      </c>
    </row>
    <row r="12349" spans="3:5" x14ac:dyDescent="0.25">
      <c r="C12349" t="s">
        <v>22963</v>
      </c>
      <c r="D12349" t="s">
        <v>22964</v>
      </c>
      <c r="E12349" t="str">
        <f>HYPERLINK("https://patents.google.com/patent/US7194483B1/en")</f>
        <v>https://patents.google.com/patent/US7194483B1/en</v>
      </c>
    </row>
    <row r="12350" spans="3:5" x14ac:dyDescent="0.25">
      <c r="C12350" t="s">
        <v>22965</v>
      </c>
      <c r="D12350" t="s">
        <v>22966</v>
      </c>
      <c r="E12350" t="str">
        <f>HYPERLINK("https://patents.google.com/patent/US6344861B1/en")</f>
        <v>https://patents.google.com/patent/US6344861B1/en</v>
      </c>
    </row>
    <row r="12351" spans="3:5" x14ac:dyDescent="0.25">
      <c r="C12351" t="s">
        <v>22967</v>
      </c>
      <c r="D12351" t="s">
        <v>22968</v>
      </c>
      <c r="E12351" t="str">
        <f>HYPERLINK("https://patents.google.com/patent/US6650761B1/en")</f>
        <v>https://patents.google.com/patent/US6650761B1/en</v>
      </c>
    </row>
    <row r="12352" spans="3:5" x14ac:dyDescent="0.25">
      <c r="C12352" t="s">
        <v>22969</v>
      </c>
      <c r="D12352" t="s">
        <v>22970</v>
      </c>
      <c r="E12352" t="str">
        <f>HYPERLINK("https://patents.google.com/patent/US6800029B2/en")</f>
        <v>https://patents.google.com/patent/US6800029B2/en</v>
      </c>
    </row>
    <row r="12353" spans="3:5" x14ac:dyDescent="0.25">
      <c r="C12353" t="s">
        <v>22971</v>
      </c>
      <c r="D12353" t="s">
        <v>22972</v>
      </c>
      <c r="E12353" t="str">
        <f>HYPERLINK("https://patents.google.com/patent/US5990941A/en")</f>
        <v>https://patents.google.com/patent/US5990941A/en</v>
      </c>
    </row>
    <row r="12354" spans="3:5" x14ac:dyDescent="0.25">
      <c r="C12354" t="s">
        <v>22973</v>
      </c>
      <c r="D12354" t="s">
        <v>22974</v>
      </c>
      <c r="E12354" t="str">
        <f>HYPERLINK("https://patents.google.com/patent/US7565294B2/en")</f>
        <v>https://patents.google.com/patent/US7565294B2/en</v>
      </c>
    </row>
    <row r="12355" spans="3:5" x14ac:dyDescent="0.25">
      <c r="C12355" t="s">
        <v>22975</v>
      </c>
      <c r="D12355" t="s">
        <v>22976</v>
      </c>
      <c r="E12355" t="str">
        <f>HYPERLINK("https://patents.google.com/patent/US20050278111A1/en")</f>
        <v>https://patents.google.com/patent/US20050278111A1/en</v>
      </c>
    </row>
    <row r="12356" spans="3:5" x14ac:dyDescent="0.25">
      <c r="C12356" t="s">
        <v>22977</v>
      </c>
      <c r="D12356" t="s">
        <v>22978</v>
      </c>
      <c r="E12356" t="str">
        <f>HYPERLINK("https://patents.google.com/patent/US20080033847A1/en")</f>
        <v>https://patents.google.com/patent/US20080033847A1/en</v>
      </c>
    </row>
    <row r="12357" spans="3:5" x14ac:dyDescent="0.25">
      <c r="C12357" t="s">
        <v>22979</v>
      </c>
      <c r="D12357" t="s">
        <v>22980</v>
      </c>
      <c r="E12357" t="str">
        <f>HYPERLINK("https://patents.google.com/patent/US20090042136A1/en")</f>
        <v>https://patents.google.com/patent/US20090042136A1/en</v>
      </c>
    </row>
    <row r="12358" spans="3:5" x14ac:dyDescent="0.25">
      <c r="C12358" t="s">
        <v>22981</v>
      </c>
      <c r="D12358" t="s">
        <v>22982</v>
      </c>
      <c r="E12358" t="str">
        <f>HYPERLINK("https://patents.google.com/patent/WO1996039668A1/en")</f>
        <v>https://patents.google.com/patent/WO1996039668A1/en</v>
      </c>
    </row>
    <row r="12359" spans="3:5" x14ac:dyDescent="0.25">
      <c r="C12359" t="s">
        <v>22983</v>
      </c>
      <c r="D12359" t="s">
        <v>22984</v>
      </c>
      <c r="E12359" t="str">
        <f>HYPERLINK("https://patents.google.com/patent/US20050152530A1/en")</f>
        <v>https://patents.google.com/patent/US20050152530A1/en</v>
      </c>
    </row>
    <row r="12360" spans="3:5" x14ac:dyDescent="0.25">
      <c r="C12360" t="s">
        <v>22985</v>
      </c>
      <c r="D12360" t="s">
        <v>22986</v>
      </c>
      <c r="E12360" t="str">
        <f>HYPERLINK("https://patents.google.com/patent/US4947163A/en")</f>
        <v>https://patents.google.com/patent/US4947163A/en</v>
      </c>
    </row>
    <row r="12361" spans="3:5" x14ac:dyDescent="0.25">
      <c r="C12361" t="s">
        <v>22987</v>
      </c>
      <c r="D12361" t="s">
        <v>22988</v>
      </c>
      <c r="E12361" t="str">
        <f>HYPERLINK("https://patents.google.com/patent/US7536413B1/en")</f>
        <v>https://patents.google.com/patent/US7536413B1/en</v>
      </c>
    </row>
    <row r="12362" spans="3:5" x14ac:dyDescent="0.25">
      <c r="C12362" t="s">
        <v>22989</v>
      </c>
      <c r="D12362" t="s">
        <v>22990</v>
      </c>
      <c r="E12362" t="str">
        <f>HYPERLINK("https://patents.google.com/patent/US4887292A/en")</f>
        <v>https://patents.google.com/patent/US4887292A/en</v>
      </c>
    </row>
    <row r="12363" spans="3:5" x14ac:dyDescent="0.25">
      <c r="C12363" t="s">
        <v>22991</v>
      </c>
      <c r="D12363" t="s">
        <v>22992</v>
      </c>
      <c r="E12363" t="str">
        <f>HYPERLINK("https://patents.google.com/patent/US7458894B2/en")</f>
        <v>https://patents.google.com/patent/US7458894B2/en</v>
      </c>
    </row>
    <row r="12364" spans="3:5" x14ac:dyDescent="0.25">
      <c r="C12364" t="s">
        <v>22993</v>
      </c>
      <c r="D12364" t="s">
        <v>22994</v>
      </c>
      <c r="E12364" t="str">
        <f>HYPERLINK("https://patents.google.com/patent/US4929880A/en")</f>
        <v>https://patents.google.com/patent/US4929880A/en</v>
      </c>
    </row>
    <row r="12365" spans="3:5" x14ac:dyDescent="0.25">
      <c r="C12365" t="s">
        <v>22995</v>
      </c>
      <c r="D12365" t="s">
        <v>22996</v>
      </c>
      <c r="E12365" t="str">
        <f>HYPERLINK("https://patents.google.com/patent/US7324949B2/en")</f>
        <v>https://patents.google.com/patent/US7324949B2/en</v>
      </c>
    </row>
    <row r="12366" spans="3:5" x14ac:dyDescent="0.25">
      <c r="C12366" t="s">
        <v>22997</v>
      </c>
      <c r="D12366" t="s">
        <v>22998</v>
      </c>
      <c r="E12366" t="str">
        <f>HYPERLINK("https://patents.google.com/patent/WO2002035580A2/en")</f>
        <v>https://patents.google.com/patent/WO2002035580A2/en</v>
      </c>
    </row>
    <row r="12367" spans="3:5" x14ac:dyDescent="0.25">
      <c r="C12367" t="s">
        <v>22999</v>
      </c>
      <c r="D12367" t="s">
        <v>23000</v>
      </c>
      <c r="E12367" t="str">
        <f>HYPERLINK("https://patents.google.com/patent/CN101556727A/en")</f>
        <v>https://patents.google.com/patent/CN101556727A/en</v>
      </c>
    </row>
    <row r="12368" spans="3:5" x14ac:dyDescent="0.25">
      <c r="C12368" t="s">
        <v>23001</v>
      </c>
      <c r="D12368" t="s">
        <v>23002</v>
      </c>
      <c r="E12368" t="str">
        <f>HYPERLINK("https://patents.google.com/patent/US6421347B1/en")</f>
        <v>https://patents.google.com/patent/US6421347B1/en</v>
      </c>
    </row>
    <row r="12369" spans="3:5" x14ac:dyDescent="0.25">
      <c r="C12369" t="s">
        <v>23003</v>
      </c>
      <c r="D12369" t="s">
        <v>23004</v>
      </c>
      <c r="E12369" t="str">
        <f>HYPERLINK("https://patents.google.com/patent/US7058589B1/en")</f>
        <v>https://patents.google.com/patent/US7058589B1/en</v>
      </c>
    </row>
    <row r="12370" spans="3:5" x14ac:dyDescent="0.25">
      <c r="C12370" t="s">
        <v>23005</v>
      </c>
      <c r="D12370" t="s">
        <v>23006</v>
      </c>
      <c r="E12370" t="str">
        <f>HYPERLINK("https://patents.google.com/patent/US6978246B1/en")</f>
        <v>https://patents.google.com/patent/US6978246B1/en</v>
      </c>
    </row>
    <row r="12371" spans="3:5" x14ac:dyDescent="0.25">
      <c r="C12371" t="s">
        <v>23007</v>
      </c>
      <c r="D12371" t="s">
        <v>23008</v>
      </c>
      <c r="E12371" t="str">
        <f>HYPERLINK("https://patents.google.com/patent/US6947909B1/en")</f>
        <v>https://patents.google.com/patent/US6947909B1/en</v>
      </c>
    </row>
    <row r="12372" spans="3:5" x14ac:dyDescent="0.25">
      <c r="C12372" t="s">
        <v>23009</v>
      </c>
      <c r="D12372" t="s">
        <v>23010</v>
      </c>
      <c r="E12372" t="str">
        <f>HYPERLINK("https://patents.google.com/patent/US4682091A/en")</f>
        <v>https://patents.google.com/patent/US4682091A/en</v>
      </c>
    </row>
    <row r="12373" spans="3:5" x14ac:dyDescent="0.25">
      <c r="C12373" t="s">
        <v>23011</v>
      </c>
      <c r="D12373" t="s">
        <v>23012</v>
      </c>
      <c r="E12373" t="str">
        <f>HYPERLINK("https://patents.google.com/patent/US20030065562A1/en")</f>
        <v>https://patents.google.com/patent/US20030065562A1/en</v>
      </c>
    </row>
    <row r="12374" spans="3:5" x14ac:dyDescent="0.25">
      <c r="C12374" t="s">
        <v>23013</v>
      </c>
      <c r="D12374" t="s">
        <v>23014</v>
      </c>
      <c r="E12374" t="str">
        <f>HYPERLINK("https://patents.google.com/patent/US20120186922A1/en")</f>
        <v>https://patents.google.com/patent/US20120186922A1/en</v>
      </c>
    </row>
    <row r="12375" spans="3:5" x14ac:dyDescent="0.25">
      <c r="C12375" t="s">
        <v>23015</v>
      </c>
      <c r="D12375" t="s">
        <v>23016</v>
      </c>
      <c r="E12375" t="str">
        <f>HYPERLINK("https://patents.google.com/patent/US20100142259A1/en")</f>
        <v>https://patents.google.com/patent/US20100142259A1/en</v>
      </c>
    </row>
    <row r="12376" spans="3:5" x14ac:dyDescent="0.25">
      <c r="C12376" t="s">
        <v>23017</v>
      </c>
      <c r="D12376" t="s">
        <v>23018</v>
      </c>
      <c r="E12376" t="str">
        <f>HYPERLINK("https://patents.google.com/patent/US7012602B2/en")</f>
        <v>https://patents.google.com/patent/US7012602B2/en</v>
      </c>
    </row>
    <row r="12377" spans="3:5" x14ac:dyDescent="0.25">
      <c r="C12377" t="s">
        <v>23019</v>
      </c>
      <c r="D12377" t="s">
        <v>23020</v>
      </c>
      <c r="E12377" t="str">
        <f>HYPERLINK("https://patents.google.com/patent/FR2730083A1/en")</f>
        <v>https://patents.google.com/patent/FR2730083A1/en</v>
      </c>
    </row>
    <row r="12378" spans="3:5" x14ac:dyDescent="0.25">
      <c r="C12378" t="s">
        <v>23021</v>
      </c>
      <c r="D12378" t="s">
        <v>23022</v>
      </c>
      <c r="E12378" t="str">
        <f>HYPERLINK("https://patents.google.com/patent/US20100306075A1/en")</f>
        <v>https://patents.google.com/patent/US20100306075A1/en</v>
      </c>
    </row>
    <row r="12379" spans="3:5" x14ac:dyDescent="0.25">
      <c r="C12379" t="s">
        <v>23023</v>
      </c>
      <c r="D12379" t="s">
        <v>23024</v>
      </c>
      <c r="E12379" t="str">
        <f>HYPERLINK("https://patents.google.com/patent/US8024349B1/en")</f>
        <v>https://patents.google.com/patent/US8024349B1/en</v>
      </c>
    </row>
    <row r="12380" spans="3:5" x14ac:dyDescent="0.25">
      <c r="C12380" t="s">
        <v>23025</v>
      </c>
      <c r="D12380" t="s">
        <v>23026</v>
      </c>
      <c r="E12380" t="str">
        <f>HYPERLINK("https://patents.google.com/patent/US20050010808A1/en")</f>
        <v>https://patents.google.com/patent/US20050010808A1/en</v>
      </c>
    </row>
    <row r="12381" spans="3:5" x14ac:dyDescent="0.25">
      <c r="C12381" t="s">
        <v>23027</v>
      </c>
      <c r="D12381" t="s">
        <v>23028</v>
      </c>
      <c r="E12381" t="str">
        <f>HYPERLINK("https://patents.google.com/patent/US20030220813A1/en")</f>
        <v>https://patents.google.com/patent/US20030220813A1/en</v>
      </c>
    </row>
    <row r="12382" spans="3:5" x14ac:dyDescent="0.25">
      <c r="C12382" t="s">
        <v>23029</v>
      </c>
      <c r="D12382" t="s">
        <v>23030</v>
      </c>
      <c r="E12382" t="str">
        <f>HYPERLINK("https://patents.google.com/patent/US20080060507A1/en")</f>
        <v>https://patents.google.com/patent/US20080060507A1/en</v>
      </c>
    </row>
    <row r="12383" spans="3:5" x14ac:dyDescent="0.25">
      <c r="C12383" t="s">
        <v>23031</v>
      </c>
      <c r="D12383" t="s">
        <v>23032</v>
      </c>
      <c r="E12383" t="str">
        <f>HYPERLINK("https://patents.google.com/patent/US20110105224A1/en")</f>
        <v>https://patents.google.com/patent/US20110105224A1/en</v>
      </c>
    </row>
    <row r="12384" spans="3:5" x14ac:dyDescent="0.25">
      <c r="C12384" t="s">
        <v>23033</v>
      </c>
      <c r="D12384" t="s">
        <v>23034</v>
      </c>
      <c r="E12384" t="str">
        <f>HYPERLINK("https://patents.google.com/patent/CN203397214U/en")</f>
        <v>https://patents.google.com/patent/CN203397214U/en</v>
      </c>
    </row>
    <row r="12385" spans="3:5" x14ac:dyDescent="0.25">
      <c r="C12385" t="s">
        <v>23035</v>
      </c>
      <c r="D12385" t="s">
        <v>23036</v>
      </c>
      <c r="E12385" t="str">
        <f>HYPERLINK("https://patents.google.com/patent/WO2013070767A1/en")</f>
        <v>https://patents.google.com/patent/WO2013070767A1/en</v>
      </c>
    </row>
    <row r="12386" spans="3:5" x14ac:dyDescent="0.25">
      <c r="C12386" t="s">
        <v>23037</v>
      </c>
      <c r="D12386" t="s">
        <v>23038</v>
      </c>
      <c r="E12386" t="str">
        <f>HYPERLINK("https://patents.google.com/patent/US7187377B1/en")</f>
        <v>https://patents.google.com/patent/US7187377B1/en</v>
      </c>
    </row>
    <row r="12387" spans="3:5" x14ac:dyDescent="0.25">
      <c r="C12387" t="s">
        <v>23039</v>
      </c>
      <c r="D12387" t="s">
        <v>23040</v>
      </c>
      <c r="E12387" t="str">
        <f>HYPERLINK("https://patents.google.com/patent/US8188714B2/en")</f>
        <v>https://patents.google.com/patent/US8188714B2/en</v>
      </c>
    </row>
    <row r="12388" spans="3:5" x14ac:dyDescent="0.25">
      <c r="C12388" t="s">
        <v>23041</v>
      </c>
      <c r="D12388" t="s">
        <v>23042</v>
      </c>
      <c r="E12388" t="str">
        <f>HYPERLINK("https://patents.google.com/patent/US4752874A/en")</f>
        <v>https://patents.google.com/patent/US4752874A/en</v>
      </c>
    </row>
    <row r="12389" spans="3:5" x14ac:dyDescent="0.25">
      <c r="C12389" t="s">
        <v>23043</v>
      </c>
      <c r="D12389" t="s">
        <v>23044</v>
      </c>
      <c r="E12389" t="str">
        <f>HYPERLINK("https://patents.google.com/patent/CN102722178A/en")</f>
        <v>https://patents.google.com/patent/CN102722178A/en</v>
      </c>
    </row>
    <row r="12390" spans="3:5" x14ac:dyDescent="0.25">
      <c r="C12390" t="s">
        <v>23045</v>
      </c>
      <c r="D12390" t="s">
        <v>23046</v>
      </c>
      <c r="E12390" t="str">
        <f>HYPERLINK("https://patents.google.com/patent/CN102736632A/en")</f>
        <v>https://patents.google.com/patent/CN102736632A/en</v>
      </c>
    </row>
    <row r="12391" spans="3:5" x14ac:dyDescent="0.25">
      <c r="C12391" t="s">
        <v>23047</v>
      </c>
      <c r="D12391" t="s">
        <v>23048</v>
      </c>
      <c r="E12391" t="str">
        <f>HYPERLINK("https://patents.google.com/patent/CN1858793A/en")</f>
        <v>https://patents.google.com/patent/CN1858793A/en</v>
      </c>
    </row>
    <row r="12392" spans="3:5" x14ac:dyDescent="0.25">
      <c r="C12392" t="s">
        <v>23049</v>
      </c>
      <c r="D12392" t="s">
        <v>23050</v>
      </c>
      <c r="E12392" t="str">
        <f>HYPERLINK("https://patents.google.com/patent/US6154773A/en")</f>
        <v>https://patents.google.com/patent/US6154773A/en</v>
      </c>
    </row>
    <row r="12393" spans="3:5" x14ac:dyDescent="0.25">
      <c r="C12393" t="s">
        <v>23051</v>
      </c>
      <c r="D12393" t="s">
        <v>23052</v>
      </c>
      <c r="E12393" t="str">
        <f>HYPERLINK("https://patents.google.com/patent/US5598085A/en")</f>
        <v>https://patents.google.com/patent/US5598085A/en</v>
      </c>
    </row>
    <row r="12394" spans="3:5" x14ac:dyDescent="0.25">
      <c r="C12394" t="s">
        <v>23053</v>
      </c>
      <c r="D12394" t="s">
        <v>23054</v>
      </c>
      <c r="E12394" t="str">
        <f>HYPERLINK("https://patents.google.com/patent/DE19511649A1/en")</f>
        <v>https://patents.google.com/patent/DE19511649A1/en</v>
      </c>
    </row>
    <row r="12395" spans="3:5" x14ac:dyDescent="0.25">
      <c r="C12395" t="s">
        <v>23055</v>
      </c>
      <c r="D12395" t="s">
        <v>23056</v>
      </c>
      <c r="E12395" t="str">
        <f>HYPERLINK("https://patents.google.com/patent/US6963898B2/en")</f>
        <v>https://patents.google.com/patent/US6963898B2/en</v>
      </c>
    </row>
    <row r="12396" spans="3:5" x14ac:dyDescent="0.25">
      <c r="C12396" t="s">
        <v>23057</v>
      </c>
      <c r="D12396" t="s">
        <v>23058</v>
      </c>
      <c r="E12396" t="str">
        <f>HYPERLINK("https://patents.google.com/patent/US4896246A/en")</f>
        <v>https://patents.google.com/patent/US4896246A/en</v>
      </c>
    </row>
    <row r="12397" spans="3:5" x14ac:dyDescent="0.25">
      <c r="C12397" t="s">
        <v>23059</v>
      </c>
      <c r="D12397" t="s">
        <v>23060</v>
      </c>
      <c r="E12397" t="str">
        <f>HYPERLINK("https://patents.google.com/patent/US5333257A/en")</f>
        <v>https://patents.google.com/patent/US5333257A/en</v>
      </c>
    </row>
    <row r="12398" spans="3:5" x14ac:dyDescent="0.25">
      <c r="C12398" t="s">
        <v>23061</v>
      </c>
      <c r="D12398" t="s">
        <v>23062</v>
      </c>
      <c r="E12398" t="str">
        <f>HYPERLINK("https://patents.google.com/patent/US6208553B1/en")</f>
        <v>https://patents.google.com/patent/US6208553B1/en</v>
      </c>
    </row>
    <row r="12399" spans="3:5" x14ac:dyDescent="0.25">
      <c r="C12399" t="s">
        <v>23063</v>
      </c>
      <c r="D12399" t="s">
        <v>23064</v>
      </c>
      <c r="E12399" t="str">
        <f>HYPERLINK("https://patents.google.com/patent/US6442285B2/en")</f>
        <v>https://patents.google.com/patent/US6442285B2/en</v>
      </c>
    </row>
    <row r="12400" spans="3:5" x14ac:dyDescent="0.25">
      <c r="C12400" t="s">
        <v>23065</v>
      </c>
      <c r="D12400" t="s">
        <v>23066</v>
      </c>
      <c r="E12400" t="str">
        <f>HYPERLINK("https://patents.google.com/patent/US6970881B1/en")</f>
        <v>https://patents.google.com/patent/US6970881B1/en</v>
      </c>
    </row>
    <row r="12401" spans="3:5" x14ac:dyDescent="0.25">
      <c r="C12401" t="s">
        <v>23067</v>
      </c>
      <c r="D12401" t="s">
        <v>23068</v>
      </c>
      <c r="E12401" t="str">
        <f>HYPERLINK("https://patents.google.com/patent/US6510461B1/en")</f>
        <v>https://patents.google.com/patent/US6510461B1/en</v>
      </c>
    </row>
    <row r="12402" spans="3:5" x14ac:dyDescent="0.25">
      <c r="C12402" t="s">
        <v>23069</v>
      </c>
      <c r="D12402" t="s">
        <v>23070</v>
      </c>
      <c r="E12402" t="str">
        <f>HYPERLINK("https://patents.google.com/patent/US6381169B1/en")</f>
        <v>https://patents.google.com/patent/US6381169B1/en</v>
      </c>
    </row>
    <row r="12403" spans="3:5" x14ac:dyDescent="0.25">
      <c r="C12403" t="s">
        <v>23071</v>
      </c>
      <c r="D12403" t="s">
        <v>23072</v>
      </c>
      <c r="E12403" t="str">
        <f>HYPERLINK("https://patents.google.com/patent/US5889951A/en")</f>
        <v>https://patents.google.com/patent/US5889951A/en</v>
      </c>
    </row>
    <row r="12404" spans="3:5" x14ac:dyDescent="0.25">
      <c r="C12404" t="s">
        <v>23073</v>
      </c>
      <c r="D12404" t="s">
        <v>23074</v>
      </c>
      <c r="E12404" t="str">
        <f>HYPERLINK("https://patents.google.com/patent/US6434745B1/en")</f>
        <v>https://patents.google.com/patent/US6434745B1/en</v>
      </c>
    </row>
    <row r="12405" spans="3:5" x14ac:dyDescent="0.25">
      <c r="C12405" t="s">
        <v>23075</v>
      </c>
      <c r="D12405" t="s">
        <v>23076</v>
      </c>
      <c r="E12405" t="str">
        <f>HYPERLINK("https://patents.google.com/patent/US7927211B2/en")</f>
        <v>https://patents.google.com/patent/US7927211B2/en</v>
      </c>
    </row>
    <row r="12406" spans="3:5" x14ac:dyDescent="0.25">
      <c r="C12406" t="s">
        <v>7924</v>
      </c>
      <c r="D12406" t="s">
        <v>23077</v>
      </c>
      <c r="E12406" t="str">
        <f>HYPERLINK("https://patents.google.com/patent/US20060143214A1/en")</f>
        <v>https://patents.google.com/patent/US20060143214A1/en</v>
      </c>
    </row>
    <row r="12407" spans="3:5" x14ac:dyDescent="0.25">
      <c r="C12407" t="s">
        <v>23078</v>
      </c>
      <c r="D12407" t="s">
        <v>23079</v>
      </c>
      <c r="E12407" t="str">
        <f>HYPERLINK("https://patents.google.com/patent/US8140442B2/en")</f>
        <v>https://patents.google.com/patent/US8140442B2/en</v>
      </c>
    </row>
    <row r="12408" spans="3:5" x14ac:dyDescent="0.25">
      <c r="C12408" t="s">
        <v>23080</v>
      </c>
      <c r="D12408" t="s">
        <v>23081</v>
      </c>
      <c r="E12408" t="str">
        <f>HYPERLINK("https://patents.google.com/patent/US7250147B2/en")</f>
        <v>https://patents.google.com/patent/US7250147B2/en</v>
      </c>
    </row>
    <row r="12409" spans="3:5" x14ac:dyDescent="0.25">
      <c r="C12409" t="s">
        <v>23082</v>
      </c>
      <c r="D12409" t="s">
        <v>23083</v>
      </c>
      <c r="E12409" t="str">
        <f>HYPERLINK("https://patents.google.com/patent/US6366212B1/en")</f>
        <v>https://patents.google.com/patent/US6366212B1/en</v>
      </c>
    </row>
    <row r="12410" spans="3:5" x14ac:dyDescent="0.25">
      <c r="C12410" t="s">
        <v>23084</v>
      </c>
      <c r="D12410" t="s">
        <v>23085</v>
      </c>
      <c r="E12410" t="str">
        <f>HYPERLINK("https://patents.google.com/patent/US6005536A/en")</f>
        <v>https://patents.google.com/patent/US6005536A/en</v>
      </c>
    </row>
    <row r="12411" spans="3:5" x14ac:dyDescent="0.25">
      <c r="C12411" t="s">
        <v>23086</v>
      </c>
      <c r="D12411" t="s">
        <v>23087</v>
      </c>
      <c r="E12411" t="str">
        <f>HYPERLINK("https://patents.google.com/patent/US7117043B1/en")</f>
        <v>https://patents.google.com/patent/US7117043B1/en</v>
      </c>
    </row>
    <row r="12412" spans="3:5" x14ac:dyDescent="0.25">
      <c r="C12412" t="s">
        <v>23088</v>
      </c>
      <c r="D12412" t="s">
        <v>23089</v>
      </c>
      <c r="E12412" t="str">
        <f>HYPERLINK("https://patents.google.com/patent/US6629843B1/en")</f>
        <v>https://patents.google.com/patent/US6629843B1/en</v>
      </c>
    </row>
    <row r="12413" spans="3:5" x14ac:dyDescent="0.25">
      <c r="C12413" t="s">
        <v>23090</v>
      </c>
      <c r="D12413" t="s">
        <v>23091</v>
      </c>
      <c r="E12413" t="str">
        <f>HYPERLINK("https://patents.google.com/patent/US6909381B2/en")</f>
        <v>https://patents.google.com/patent/US6909381B2/en</v>
      </c>
    </row>
    <row r="12414" spans="3:5" x14ac:dyDescent="0.25">
      <c r="C12414" t="s">
        <v>23092</v>
      </c>
      <c r="D12414" t="s">
        <v>23093</v>
      </c>
      <c r="E12414" t="str">
        <f>HYPERLINK("https://patents.google.com/patent/US20090029221A1/en")</f>
        <v>https://patents.google.com/patent/US20090029221A1/en</v>
      </c>
    </row>
    <row r="12415" spans="3:5" x14ac:dyDescent="0.25">
      <c r="C12415" t="s">
        <v>23094</v>
      </c>
      <c r="D12415" t="s">
        <v>23095</v>
      </c>
      <c r="E12415" t="str">
        <f>HYPERLINK("https://patents.google.com/patent/US6430511B1/en")</f>
        <v>https://patents.google.com/patent/US6430511B1/en</v>
      </c>
    </row>
    <row r="12416" spans="3:5" x14ac:dyDescent="0.25">
      <c r="C12416" t="s">
        <v>23096</v>
      </c>
      <c r="D12416" t="s">
        <v>23097</v>
      </c>
      <c r="E12416" t="str">
        <f>HYPERLINK("https://patents.google.com/patent/US20040117528A1/en")</f>
        <v>https://patents.google.com/patent/US20040117528A1/en</v>
      </c>
    </row>
    <row r="12417" spans="3:5" x14ac:dyDescent="0.25">
      <c r="C12417" t="s">
        <v>23098</v>
      </c>
      <c r="D12417" t="s">
        <v>23099</v>
      </c>
      <c r="E12417" t="str">
        <f>HYPERLINK("https://patents.google.com/patent/US20030055713A1/en")</f>
        <v>https://patents.google.com/patent/US20030055713A1/en</v>
      </c>
    </row>
    <row r="12418" spans="3:5" x14ac:dyDescent="0.25">
      <c r="C12418" t="s">
        <v>23100</v>
      </c>
      <c r="D12418" t="s">
        <v>23101</v>
      </c>
      <c r="E12418" t="str">
        <f>HYPERLINK("https://patents.google.com/patent/US20020019759A1/en")</f>
        <v>https://patents.google.com/patent/US20020019759A1/en</v>
      </c>
    </row>
    <row r="12419" spans="3:5" x14ac:dyDescent="0.25">
      <c r="C12419" t="s">
        <v>23102</v>
      </c>
      <c r="D12419" t="s">
        <v>23103</v>
      </c>
      <c r="E12419" t="str">
        <f>HYPERLINK("https://patents.google.com/patent/US20050021472A1/en")</f>
        <v>https://patents.google.com/patent/US20050021472A1/en</v>
      </c>
    </row>
    <row r="12420" spans="3:5" x14ac:dyDescent="0.25">
      <c r="C12420" t="s">
        <v>23104</v>
      </c>
      <c r="D12420" t="s">
        <v>23105</v>
      </c>
      <c r="E12420" t="str">
        <f>HYPERLINK("https://patents.google.com/patent/US20040128514A1/en")</f>
        <v>https://patents.google.com/patent/US20040128514A1/en</v>
      </c>
    </row>
    <row r="12421" spans="3:5" x14ac:dyDescent="0.25">
      <c r="C12421" t="s">
        <v>23106</v>
      </c>
      <c r="D12421" t="s">
        <v>23107</v>
      </c>
      <c r="E12421" t="str">
        <f>HYPERLINK("https://patents.google.com/patent/US20060184538A1/en")</f>
        <v>https://patents.google.com/patent/US20060184538A1/en</v>
      </c>
    </row>
    <row r="12422" spans="3:5" x14ac:dyDescent="0.25">
      <c r="C12422" t="s">
        <v>23108</v>
      </c>
      <c r="D12422" t="s">
        <v>23109</v>
      </c>
      <c r="E12422" t="str">
        <f>HYPERLINK("https://patents.google.com/patent/US20100105834A1/en")</f>
        <v>https://patents.google.com/patent/US20100105834A1/en</v>
      </c>
    </row>
    <row r="12423" spans="3:5" x14ac:dyDescent="0.25">
      <c r="C12423" t="s">
        <v>23110</v>
      </c>
      <c r="D12423" t="s">
        <v>23111</v>
      </c>
      <c r="E12423" t="str">
        <f>HYPERLINK("https://patents.google.com/patent/US20050028188A1/en")</f>
        <v>https://patents.google.com/patent/US20050028188A1/en</v>
      </c>
    </row>
    <row r="12424" spans="3:5" x14ac:dyDescent="0.25">
      <c r="C12424" t="s">
        <v>23112</v>
      </c>
      <c r="D12424" t="s">
        <v>23113</v>
      </c>
      <c r="E12424" t="str">
        <f>HYPERLINK("https://patents.google.com/patent/US20050096980A1/en")</f>
        <v>https://patents.google.com/patent/US20050096980A1/en</v>
      </c>
    </row>
    <row r="12425" spans="3:5" x14ac:dyDescent="0.25">
      <c r="C12425" t="s">
        <v>23114</v>
      </c>
      <c r="D12425" t="s">
        <v>23115</v>
      </c>
      <c r="E12425" t="str">
        <f>HYPERLINK("https://patents.google.com/patent/US20020035493A1/en")</f>
        <v>https://patents.google.com/patent/US20020035493A1/en</v>
      </c>
    </row>
    <row r="12426" spans="3:5" x14ac:dyDescent="0.25">
      <c r="C12426" t="s">
        <v>23116</v>
      </c>
      <c r="D12426" t="s">
        <v>23117</v>
      </c>
      <c r="E12426" t="str">
        <f>HYPERLINK("https://patents.google.com/patent/US20030046152A1/en")</f>
        <v>https://patents.google.com/patent/US20030046152A1/en</v>
      </c>
    </row>
    <row r="12427" spans="3:5" x14ac:dyDescent="0.25">
      <c r="C12427" t="s">
        <v>23118</v>
      </c>
      <c r="D12427" t="s">
        <v>23119</v>
      </c>
      <c r="E12427" t="str">
        <f>HYPERLINK("https://patents.google.com/patent/US6856238B2/en")</f>
        <v>https://patents.google.com/patent/US6856238B2/en</v>
      </c>
    </row>
    <row r="12428" spans="3:5" x14ac:dyDescent="0.25">
      <c r="C12428" t="s">
        <v>21241</v>
      </c>
      <c r="D12428" t="s">
        <v>23120</v>
      </c>
      <c r="E12428" t="str">
        <f>HYPERLINK("https://patents.google.com/patent/US20070156726A1/en")</f>
        <v>https://patents.google.com/patent/US20070156726A1/en</v>
      </c>
    </row>
    <row r="12429" spans="3:5" x14ac:dyDescent="0.25">
      <c r="C12429" t="s">
        <v>23121</v>
      </c>
      <c r="D12429" t="s">
        <v>23122</v>
      </c>
      <c r="E12429" t="str">
        <f>HYPERLINK("https://patents.google.com/patent/US20090106671A1/en")</f>
        <v>https://patents.google.com/patent/US20090106671A1/en</v>
      </c>
    </row>
    <row r="12430" spans="3:5" x14ac:dyDescent="0.25">
      <c r="C12430" t="s">
        <v>23123</v>
      </c>
      <c r="D12430" t="s">
        <v>23124</v>
      </c>
      <c r="E12430" t="str">
        <f>HYPERLINK("https://patents.google.com/patent/US20030195974A1/en")</f>
        <v>https://patents.google.com/patent/US20030195974A1/en</v>
      </c>
    </row>
    <row r="12431" spans="3:5" x14ac:dyDescent="0.25">
      <c r="C12431" t="s">
        <v>23125</v>
      </c>
      <c r="D12431" t="s">
        <v>23126</v>
      </c>
      <c r="E12431" t="str">
        <f>HYPERLINK("https://patents.google.com/patent/US20020147633A1/en")</f>
        <v>https://patents.google.com/patent/US20020147633A1/en</v>
      </c>
    </row>
    <row r="12432" spans="3:5" x14ac:dyDescent="0.25">
      <c r="C12432" t="s">
        <v>23127</v>
      </c>
      <c r="D12432" t="s">
        <v>23128</v>
      </c>
      <c r="E12432" t="str">
        <f>HYPERLINK("https://patents.google.com/patent/US20030160814A1/en")</f>
        <v>https://patents.google.com/patent/US20030160814A1/en</v>
      </c>
    </row>
    <row r="12433" spans="3:5" x14ac:dyDescent="0.25">
      <c r="C12433" t="s">
        <v>23129</v>
      </c>
      <c r="D12433" t="s">
        <v>23130</v>
      </c>
      <c r="E12433" t="str">
        <f>HYPERLINK("https://patents.google.com/patent/US20080163504A1/en")</f>
        <v>https://patents.google.com/patent/US20080163504A1/en</v>
      </c>
    </row>
    <row r="12434" spans="3:5" x14ac:dyDescent="0.25">
      <c r="C12434" t="s">
        <v>23131</v>
      </c>
      <c r="D12434" t="s">
        <v>23132</v>
      </c>
      <c r="E12434" t="str">
        <f>HYPERLINK("https://patents.google.com/patent/US20090091087A1/en")</f>
        <v>https://patents.google.com/patent/US20090091087A1/en</v>
      </c>
    </row>
    <row r="12435" spans="3:5" x14ac:dyDescent="0.25">
      <c r="C12435" t="s">
        <v>23133</v>
      </c>
      <c r="D12435" t="s">
        <v>23134</v>
      </c>
      <c r="E12435" t="str">
        <f>HYPERLINK("https://patents.google.com/patent/US20030050806A1/en")</f>
        <v>https://patents.google.com/patent/US20030050806A1/en</v>
      </c>
    </row>
    <row r="12436" spans="3:5" x14ac:dyDescent="0.25">
      <c r="C12436" t="s">
        <v>23135</v>
      </c>
      <c r="D12436" t="s">
        <v>23136</v>
      </c>
      <c r="E12436" t="str">
        <f>HYPERLINK("https://patents.google.com/patent/US20140120270A1/en")</f>
        <v>https://patents.google.com/patent/US20140120270A1/en</v>
      </c>
    </row>
    <row r="12437" spans="3:5" x14ac:dyDescent="0.25">
      <c r="C12437" t="s">
        <v>23137</v>
      </c>
      <c r="D12437" t="s">
        <v>23138</v>
      </c>
      <c r="E12437" t="str">
        <f>HYPERLINK("https://patents.google.com/patent/US20130073932A1/en")</f>
        <v>https://patents.google.com/patent/US20130073932A1/en</v>
      </c>
    </row>
    <row r="12438" spans="3:5" x14ac:dyDescent="0.25">
      <c r="C12438" t="s">
        <v>23139</v>
      </c>
      <c r="D12438" t="s">
        <v>23140</v>
      </c>
      <c r="E12438" t="str">
        <f>HYPERLINK("https://patents.google.com/patent/US20080106594A1/en")</f>
        <v>https://patents.google.com/patent/US20080106594A1/en</v>
      </c>
    </row>
    <row r="12439" spans="3:5" x14ac:dyDescent="0.25">
      <c r="C12439" t="s">
        <v>23141</v>
      </c>
      <c r="D12439" t="s">
        <v>23142</v>
      </c>
      <c r="E12439" t="str">
        <f>HYPERLINK("https://patents.google.com/patent/US8094949B1/en")</f>
        <v>https://patents.google.com/patent/US8094949B1/en</v>
      </c>
    </row>
    <row r="12440" spans="3:5" x14ac:dyDescent="0.25">
      <c r="C12440" t="s">
        <v>23143</v>
      </c>
      <c r="D12440" t="s">
        <v>23144</v>
      </c>
      <c r="E12440" t="str">
        <f>HYPERLINK("https://patents.google.com/patent/US20070280876A1/en")</f>
        <v>https://patents.google.com/patent/US20070280876A1/en</v>
      </c>
    </row>
    <row r="12441" spans="3:5" x14ac:dyDescent="0.25">
      <c r="C12441" t="s">
        <v>23145</v>
      </c>
      <c r="D12441" t="s">
        <v>23146</v>
      </c>
      <c r="E12441" t="str">
        <f>HYPERLINK("https://patents.google.com/patent/US20080063587A1/en")</f>
        <v>https://patents.google.com/patent/US20080063587A1/en</v>
      </c>
    </row>
    <row r="12442" spans="3:5" x14ac:dyDescent="0.25">
      <c r="C12442" t="s">
        <v>23147</v>
      </c>
      <c r="D12442" t="s">
        <v>23148</v>
      </c>
      <c r="E12442" t="str">
        <f>HYPERLINK("https://patents.google.com/patent/US20060178902A1/en")</f>
        <v>https://patents.google.com/patent/US20060178902A1/en</v>
      </c>
    </row>
    <row r="12443" spans="3:5" x14ac:dyDescent="0.25">
      <c r="C12443" t="s">
        <v>23149</v>
      </c>
      <c r="D12443" t="s">
        <v>23150</v>
      </c>
      <c r="E12443" t="str">
        <f>HYPERLINK("https://patents.google.com/patent/US20020077893A1/en")</f>
        <v>https://patents.google.com/patent/US20020077893A1/en</v>
      </c>
    </row>
    <row r="12444" spans="3:5" x14ac:dyDescent="0.25">
      <c r="C12444" t="s">
        <v>23151</v>
      </c>
      <c r="D12444" t="s">
        <v>23152</v>
      </c>
      <c r="E12444" t="str">
        <f>HYPERLINK("https://patents.google.com/patent/US20040180244A1/en")</f>
        <v>https://patents.google.com/patent/US20040180244A1/en</v>
      </c>
    </row>
    <row r="12445" spans="3:5" x14ac:dyDescent="0.25">
      <c r="C12445" t="s">
        <v>23153</v>
      </c>
      <c r="D12445" t="s">
        <v>23154</v>
      </c>
      <c r="E12445" t="str">
        <f>HYPERLINK("https://patents.google.com/patent/US20070179829A1/en")</f>
        <v>https://patents.google.com/patent/US20070179829A1/en</v>
      </c>
    </row>
    <row r="12446" spans="3:5" x14ac:dyDescent="0.25">
      <c r="C12446" t="s">
        <v>23155</v>
      </c>
      <c r="D12446" t="s">
        <v>23156</v>
      </c>
      <c r="E12446" t="str">
        <f>HYPERLINK("https://patents.google.com/patent/US20090219224A1/en")</f>
        <v>https://patents.google.com/patent/US20090219224A1/en</v>
      </c>
    </row>
    <row r="12447" spans="3:5" x14ac:dyDescent="0.25">
      <c r="C12447" t="s">
        <v>22934</v>
      </c>
      <c r="D12447" t="s">
        <v>23157</v>
      </c>
      <c r="E12447" t="str">
        <f>HYPERLINK("https://patents.google.com/patent/US20050168320A1/en")</f>
        <v>https://patents.google.com/patent/US20050168320A1/en</v>
      </c>
    </row>
    <row r="12448" spans="3:5" x14ac:dyDescent="0.25">
      <c r="C12448" t="s">
        <v>23158</v>
      </c>
      <c r="D12448" t="s">
        <v>23159</v>
      </c>
      <c r="E12448" t="str">
        <f>HYPERLINK("https://patents.google.com/patent/US20020169714A1/en")</f>
        <v>https://patents.google.com/patent/US20020169714A1/en</v>
      </c>
    </row>
    <row r="12449" spans="3:5" x14ac:dyDescent="0.25">
      <c r="C12449" t="s">
        <v>23160</v>
      </c>
      <c r="D12449" t="s">
        <v>23161</v>
      </c>
      <c r="E12449" t="str">
        <f>HYPERLINK("https://patents.google.com/patent/US20050203845A1/en")</f>
        <v>https://patents.google.com/patent/US20050203845A1/en</v>
      </c>
    </row>
    <row r="12450" spans="3:5" x14ac:dyDescent="0.25">
      <c r="C12450" t="s">
        <v>23162</v>
      </c>
      <c r="D12450" t="s">
        <v>23163</v>
      </c>
      <c r="E12450" t="str">
        <f>HYPERLINK("https://patents.google.com/patent/US20080133416A1/en")</f>
        <v>https://patents.google.com/patent/US20080133416A1/en</v>
      </c>
    </row>
    <row r="12451" spans="3:5" x14ac:dyDescent="0.25">
      <c r="C12451" t="s">
        <v>23164</v>
      </c>
      <c r="D12451" t="s">
        <v>23165</v>
      </c>
      <c r="E12451" t="str">
        <f>HYPERLINK("https://patents.google.com/patent/US20030170604A1/en")</f>
        <v>https://patents.google.com/patent/US20030170604A1/en</v>
      </c>
    </row>
    <row r="12452" spans="3:5" x14ac:dyDescent="0.25">
      <c r="C12452" t="s">
        <v>23166</v>
      </c>
      <c r="D12452" t="s">
        <v>23167</v>
      </c>
      <c r="E12452" t="str">
        <f>HYPERLINK("https://patents.google.com/patent/US20090210807A1/en")</f>
        <v>https://patents.google.com/patent/US20090210807A1/en</v>
      </c>
    </row>
    <row r="12453" spans="3:5" x14ac:dyDescent="0.25">
      <c r="C12453" t="s">
        <v>23168</v>
      </c>
      <c r="D12453" t="s">
        <v>23169</v>
      </c>
      <c r="E12453" t="str">
        <f>HYPERLINK("https://patents.google.com/patent/US20110016121A1/en")</f>
        <v>https://patents.google.com/patent/US20110016121A1/en</v>
      </c>
    </row>
    <row r="12454" spans="3:5" x14ac:dyDescent="0.25">
      <c r="C12454" t="s">
        <v>23170</v>
      </c>
      <c r="D12454" t="s">
        <v>23171</v>
      </c>
      <c r="E12454" t="str">
        <f>HYPERLINK("https://patents.google.com/patent/US20010049637A1/en")</f>
        <v>https://patents.google.com/patent/US20010049637A1/en</v>
      </c>
    </row>
    <row r="12455" spans="3:5" x14ac:dyDescent="0.25">
      <c r="C12455" t="s">
        <v>23172</v>
      </c>
      <c r="D12455" t="s">
        <v>23173</v>
      </c>
      <c r="E12455" t="str">
        <f>HYPERLINK("https://patents.google.com/patent/US20020165782A1/en")</f>
        <v>https://patents.google.com/patent/US20020165782A1/en</v>
      </c>
    </row>
    <row r="12456" spans="3:5" x14ac:dyDescent="0.25">
      <c r="C12456" t="s">
        <v>23174</v>
      </c>
      <c r="D12456" t="s">
        <v>23175</v>
      </c>
      <c r="E12456" t="str">
        <f>HYPERLINK("https://patents.google.com/patent/US20050160067A1/en")</f>
        <v>https://patents.google.com/patent/US20050160067A1/en</v>
      </c>
    </row>
    <row r="12457" spans="3:5" x14ac:dyDescent="0.25">
      <c r="C12457" t="s">
        <v>23176</v>
      </c>
      <c r="D12457" t="s">
        <v>23177</v>
      </c>
      <c r="E12457" t="str">
        <f>HYPERLINK("https://patents.google.com/patent/US8160400B2/en")</f>
        <v>https://patents.google.com/patent/US8160400B2/en</v>
      </c>
    </row>
    <row r="12458" spans="3:5" x14ac:dyDescent="0.25">
      <c r="C12458" t="s">
        <v>23178</v>
      </c>
      <c r="D12458" t="s">
        <v>23179</v>
      </c>
      <c r="E12458" t="str">
        <f>HYPERLINK("https://patents.google.com/patent/US20050160142A1/en")</f>
        <v>https://patents.google.com/patent/US20050160142A1/en</v>
      </c>
    </row>
    <row r="12459" spans="3:5" x14ac:dyDescent="0.25">
      <c r="C12459" t="s">
        <v>23180</v>
      </c>
      <c r="D12459" t="s">
        <v>23181</v>
      </c>
      <c r="E12459" t="str">
        <f>HYPERLINK("https://patents.google.com/patent/US20060192050A1/en")</f>
        <v>https://patents.google.com/patent/US20060192050A1/en</v>
      </c>
    </row>
    <row r="12460" spans="3:5" x14ac:dyDescent="0.25">
      <c r="C12460" t="s">
        <v>23182</v>
      </c>
      <c r="D12460" t="s">
        <v>23183</v>
      </c>
      <c r="E12460" t="str">
        <f>HYPERLINK("https://patents.google.com/patent/US6975938B2/en")</f>
        <v>https://patents.google.com/patent/US6975938B2/en</v>
      </c>
    </row>
    <row r="12461" spans="3:5" x14ac:dyDescent="0.25">
      <c r="C12461" t="s">
        <v>23184</v>
      </c>
      <c r="D12461" t="s">
        <v>23185</v>
      </c>
      <c r="E12461" t="str">
        <f>HYPERLINK("https://patents.google.com/patent/US20070090185A1/en")</f>
        <v>https://patents.google.com/patent/US20070090185A1/en</v>
      </c>
    </row>
    <row r="12462" spans="3:5" x14ac:dyDescent="0.25">
      <c r="C12462" t="s">
        <v>23186</v>
      </c>
      <c r="D12462" t="s">
        <v>23187</v>
      </c>
      <c r="E12462" t="str">
        <f>HYPERLINK("https://patents.google.com/patent/US7778853B2/en")</f>
        <v>https://patents.google.com/patent/US7778853B2/en</v>
      </c>
    </row>
    <row r="12463" spans="3:5" x14ac:dyDescent="0.25">
      <c r="C12463" t="s">
        <v>23188</v>
      </c>
      <c r="D12463" t="s">
        <v>23189</v>
      </c>
      <c r="E12463" t="str">
        <f>HYPERLINK("https://patents.google.com/patent/US5703885A/en")</f>
        <v>https://patents.google.com/patent/US5703885A/en</v>
      </c>
    </row>
    <row r="12464" spans="3:5" x14ac:dyDescent="0.25">
      <c r="C12464" t="s">
        <v>23190</v>
      </c>
      <c r="D12464" t="s">
        <v>23191</v>
      </c>
      <c r="E12464" t="str">
        <f>HYPERLINK("https://patents.google.com/patent/US20050030309A1/en")</f>
        <v>https://patents.google.com/patent/US20050030309A1/en</v>
      </c>
    </row>
    <row r="12465" spans="3:5" x14ac:dyDescent="0.25">
      <c r="C12465" t="s">
        <v>23192</v>
      </c>
      <c r="D12465" t="s">
        <v>23193</v>
      </c>
      <c r="E12465" t="str">
        <f>HYPERLINK("https://patents.google.com/patent/US20010034659A1/en")</f>
        <v>https://patents.google.com/patent/US20010034659A1/en</v>
      </c>
    </row>
    <row r="12466" spans="3:5" x14ac:dyDescent="0.25">
      <c r="C12466" t="s">
        <v>23194</v>
      </c>
      <c r="D12466" t="s">
        <v>23195</v>
      </c>
      <c r="E12466" t="str">
        <f>HYPERLINK("https://patents.google.com/patent/US20120054666A1/en")</f>
        <v>https://patents.google.com/patent/US20120054666A1/en</v>
      </c>
    </row>
    <row r="12467" spans="3:5" x14ac:dyDescent="0.25">
      <c r="C12467" t="s">
        <v>23196</v>
      </c>
      <c r="D12467" t="s">
        <v>23197</v>
      </c>
      <c r="E12467" t="str">
        <f>HYPERLINK("https://patents.google.com/patent/US5996020A/en")</f>
        <v>https://patents.google.com/patent/US5996020A/en</v>
      </c>
    </row>
    <row r="12468" spans="3:5" x14ac:dyDescent="0.25">
      <c r="C12468" t="s">
        <v>23198</v>
      </c>
      <c r="D12468" t="s">
        <v>23199</v>
      </c>
      <c r="E12468" t="str">
        <f>HYPERLINK("https://patents.google.com/patent/US20090024488A1/en")</f>
        <v>https://patents.google.com/patent/US20090024488A1/en</v>
      </c>
    </row>
    <row r="12469" spans="3:5" x14ac:dyDescent="0.25">
      <c r="C12469" t="s">
        <v>23200</v>
      </c>
      <c r="D12469" t="s">
        <v>23201</v>
      </c>
      <c r="E12469" t="str">
        <f>HYPERLINK("https://patents.google.com/patent/US7499844B2/en")</f>
        <v>https://patents.google.com/patent/US7499844B2/en</v>
      </c>
    </row>
    <row r="12470" spans="3:5" x14ac:dyDescent="0.25">
      <c r="C12470" t="s">
        <v>23202</v>
      </c>
      <c r="D12470" t="s">
        <v>23203</v>
      </c>
      <c r="E12470" t="str">
        <f>HYPERLINK("https://patents.google.com/patent/US20050138167A1/en")</f>
        <v>https://patents.google.com/patent/US20050138167A1/en</v>
      </c>
    </row>
    <row r="12471" spans="3:5" x14ac:dyDescent="0.25">
      <c r="C12471" t="s">
        <v>23204</v>
      </c>
      <c r="D12471" t="s">
        <v>23205</v>
      </c>
      <c r="E12471" t="str">
        <f>HYPERLINK("https://patents.google.com/patent/US20070192203A1/en")</f>
        <v>https://patents.google.com/patent/US20070192203A1/en</v>
      </c>
    </row>
    <row r="12472" spans="3:5" x14ac:dyDescent="0.25">
      <c r="C12472" t="s">
        <v>23082</v>
      </c>
      <c r="D12472" t="s">
        <v>23206</v>
      </c>
      <c r="E12472" t="str">
        <f>HYPERLINK("https://patents.google.com/patent/US20030218546A1/en")</f>
        <v>https://patents.google.com/patent/US20030218546A1/en</v>
      </c>
    </row>
    <row r="12473" spans="3:5" x14ac:dyDescent="0.25">
      <c r="C12473" t="s">
        <v>23207</v>
      </c>
      <c r="D12473" t="s">
        <v>23208</v>
      </c>
      <c r="E12473" t="str">
        <f>HYPERLINK("https://patents.google.com/patent/US20140210748A1/en")</f>
        <v>https://patents.google.com/patent/US20140210748A1/en</v>
      </c>
    </row>
    <row r="12474" spans="3:5" x14ac:dyDescent="0.25">
      <c r="C12474" t="s">
        <v>23209</v>
      </c>
      <c r="D12474" t="s">
        <v>23210</v>
      </c>
      <c r="E12474" t="str">
        <f>HYPERLINK("https://patents.google.com/patent/US20140040157A1/en")</f>
        <v>https://patents.google.com/patent/US20140040157A1/en</v>
      </c>
    </row>
    <row r="12475" spans="3:5" x14ac:dyDescent="0.25">
      <c r="C12475" t="s">
        <v>23211</v>
      </c>
      <c r="D12475" t="s">
        <v>23212</v>
      </c>
      <c r="E12475" t="str">
        <f>HYPERLINK("https://patents.google.com/patent/US20140234200A1/en")</f>
        <v>https://patents.google.com/patent/US20140234200A1/en</v>
      </c>
    </row>
    <row r="12476" spans="3:5" x14ac:dyDescent="0.25">
      <c r="C12476" t="s">
        <v>23213</v>
      </c>
      <c r="D12476" t="s">
        <v>23214</v>
      </c>
      <c r="E12476" t="str">
        <f>HYPERLINK("https://patents.google.com/patent/US20120129736A1/en")</f>
        <v>https://patents.google.com/patent/US20120129736A1/en</v>
      </c>
    </row>
    <row r="12477" spans="3:5" x14ac:dyDescent="0.25">
      <c r="C12477" t="s">
        <v>23215</v>
      </c>
      <c r="D12477" t="s">
        <v>23216</v>
      </c>
      <c r="E12477" t="str">
        <f>HYPERLINK("https://patents.google.com/patent/WO2002060812A2/en")</f>
        <v>https://patents.google.com/patent/WO2002060812A2/en</v>
      </c>
    </row>
    <row r="12478" spans="3:5" x14ac:dyDescent="0.25">
      <c r="C12478" t="s">
        <v>23217</v>
      </c>
      <c r="D12478" t="s">
        <v>23218</v>
      </c>
      <c r="E12478" t="str">
        <f>HYPERLINK("https://patents.google.com/patent/US20060209587A1/en")</f>
        <v>https://patents.google.com/patent/US20060209587A1/en</v>
      </c>
    </row>
    <row r="12479" spans="3:5" x14ac:dyDescent="0.25">
      <c r="C12479" t="s">
        <v>23219</v>
      </c>
      <c r="D12479" t="s">
        <v>23220</v>
      </c>
      <c r="E12479" t="str">
        <f>HYPERLINK("https://patents.google.com/patent/US20140313636A1/en")</f>
        <v>https://patents.google.com/patent/US20140313636A1/en</v>
      </c>
    </row>
    <row r="12480" spans="3:5" x14ac:dyDescent="0.25">
      <c r="C12480" t="s">
        <v>23221</v>
      </c>
      <c r="D12480" t="s">
        <v>23222</v>
      </c>
      <c r="E12480" t="str">
        <f>HYPERLINK("https://patents.google.com/patent/US20090076855A1/en")</f>
        <v>https://patents.google.com/patent/US20090076855A1/en</v>
      </c>
    </row>
    <row r="12481" spans="3:5" x14ac:dyDescent="0.25">
      <c r="C12481" t="s">
        <v>23223</v>
      </c>
      <c r="D12481" t="s">
        <v>23224</v>
      </c>
      <c r="E12481" t="str">
        <f>HYPERLINK("https://patents.google.com/patent/US20040069661A1/en")</f>
        <v>https://patents.google.com/patent/US20040069661A1/en</v>
      </c>
    </row>
    <row r="12482" spans="3:5" x14ac:dyDescent="0.25">
      <c r="C12482" t="s">
        <v>23225</v>
      </c>
      <c r="D12482" t="s">
        <v>23226</v>
      </c>
      <c r="E12482" t="str">
        <f>HYPERLINK("https://patents.google.com/patent/CN101963960A/en")</f>
        <v>https://patents.google.com/patent/CN101963960A/en</v>
      </c>
    </row>
    <row r="12483" spans="3:5" x14ac:dyDescent="0.25">
      <c r="C12483" t="s">
        <v>23227</v>
      </c>
      <c r="D12483" t="s">
        <v>23228</v>
      </c>
      <c r="E12483" t="str">
        <f>HYPERLINK("https://patents.google.com/patent/CN101192215A/en")</f>
        <v>https://patents.google.com/patent/CN101192215A/en</v>
      </c>
    </row>
    <row r="12484" spans="3:5" x14ac:dyDescent="0.25">
      <c r="C12484" t="s">
        <v>22934</v>
      </c>
      <c r="D12484" t="s">
        <v>23229</v>
      </c>
      <c r="E12484" t="str">
        <f>HYPERLINK("https://patents.google.com/patent/WO1987005069A1/en")</f>
        <v>https://patents.google.com/patent/WO1987005069A1/en</v>
      </c>
    </row>
    <row r="12485" spans="3:5" x14ac:dyDescent="0.25">
      <c r="C12485" t="s">
        <v>23230</v>
      </c>
      <c r="D12485" t="s">
        <v>23231</v>
      </c>
      <c r="E12485" t="str">
        <f>HYPERLINK("https://patents.google.com/patent/CN202093536U/en")</f>
        <v>https://patents.google.com/patent/CN202093536U/en</v>
      </c>
    </row>
    <row r="12486" spans="3:5" x14ac:dyDescent="0.25">
      <c r="C12486" t="s">
        <v>23232</v>
      </c>
      <c r="D12486" t="s">
        <v>23233</v>
      </c>
      <c r="E12486" t="str">
        <f>HYPERLINK("https://patents.google.com/patent/US20090076694A1/en")</f>
        <v>https://patents.google.com/patent/US20090076694A1/en</v>
      </c>
    </row>
    <row r="12487" spans="3:5" x14ac:dyDescent="0.25">
      <c r="C12487" t="s">
        <v>23234</v>
      </c>
      <c r="D12487" t="s">
        <v>23235</v>
      </c>
      <c r="E12487" t="str">
        <f>HYPERLINK("https://patents.google.com/patent/US20100250290A1/en")</f>
        <v>https://patents.google.com/patent/US20100250290A1/en</v>
      </c>
    </row>
    <row r="12488" spans="3:5" x14ac:dyDescent="0.25">
      <c r="C12488" t="s">
        <v>23236</v>
      </c>
      <c r="D12488" t="s">
        <v>23237</v>
      </c>
      <c r="E12488" t="str">
        <f>HYPERLINK("https://patents.google.com/patent/US20080143727A1/en")</f>
        <v>https://patents.google.com/patent/US20080143727A1/en</v>
      </c>
    </row>
    <row r="12489" spans="3:5" x14ac:dyDescent="0.25">
      <c r="C12489" t="s">
        <v>23238</v>
      </c>
      <c r="D12489" t="s">
        <v>23239</v>
      </c>
      <c r="E12489" t="str">
        <f>HYPERLINK("https://patents.google.com/patent/WO2001024067A1/en")</f>
        <v>https://patents.google.com/patent/WO2001024067A1/en</v>
      </c>
    </row>
    <row r="12490" spans="3:5" x14ac:dyDescent="0.25">
      <c r="C12490" t="s">
        <v>23240</v>
      </c>
      <c r="D12490" t="s">
        <v>23241</v>
      </c>
      <c r="E12490" t="str">
        <f>HYPERLINK("https://patents.google.com/patent/WO2010147860A1/en")</f>
        <v>https://patents.google.com/patent/WO2010147860A1/en</v>
      </c>
    </row>
    <row r="12491" spans="3:5" x14ac:dyDescent="0.25">
      <c r="C12491" t="s">
        <v>23242</v>
      </c>
      <c r="D12491" t="s">
        <v>23243</v>
      </c>
      <c r="E12491" t="str">
        <f>HYPERLINK("https://patents.google.com/patent/US20060006734A1/en")</f>
        <v>https://patents.google.com/patent/US20060006734A1/en</v>
      </c>
    </row>
    <row r="12492" spans="3:5" x14ac:dyDescent="0.25">
      <c r="C12492" t="s">
        <v>23244</v>
      </c>
      <c r="D12492" t="s">
        <v>23245</v>
      </c>
      <c r="E12492" t="str">
        <f>HYPERLINK("https://patents.google.com/patent/US20060036513A1/en")</f>
        <v>https://patents.google.com/patent/US20060036513A1/en</v>
      </c>
    </row>
    <row r="12493" spans="3:5" x14ac:dyDescent="0.25">
      <c r="C12493" t="s">
        <v>23246</v>
      </c>
      <c r="D12493" t="s">
        <v>23247</v>
      </c>
      <c r="E12493" t="str">
        <f>HYPERLINK("https://patents.google.com/patent/US20140014030A1/en")</f>
        <v>https://patents.google.com/patent/US20140014030A1/en</v>
      </c>
    </row>
    <row r="12494" spans="3:5" x14ac:dyDescent="0.25">
      <c r="C12494" t="s">
        <v>23248</v>
      </c>
      <c r="D12494" t="s">
        <v>23249</v>
      </c>
      <c r="E12494" t="str">
        <f>HYPERLINK("https://patents.google.com/patent/US20020169666A1/en")</f>
        <v>https://patents.google.com/patent/US20020169666A1/en</v>
      </c>
    </row>
    <row r="12495" spans="3:5" x14ac:dyDescent="0.25">
      <c r="C12495" t="s">
        <v>23250</v>
      </c>
      <c r="D12495" t="s">
        <v>23251</v>
      </c>
      <c r="E12495" t="str">
        <f>HYPERLINK("https://patents.google.com/patent/US20100251099A1/en")</f>
        <v>https://patents.google.com/patent/US20100251099A1/en</v>
      </c>
    </row>
    <row r="12496" spans="3:5" x14ac:dyDescent="0.25">
      <c r="C12496" t="s">
        <v>23252</v>
      </c>
      <c r="D12496" t="s">
        <v>23253</v>
      </c>
      <c r="E12496" t="str">
        <f>HYPERLINK("https://patents.google.com/patent/US7881960B2/en")</f>
        <v>https://patents.google.com/patent/US7881960B2/en</v>
      </c>
    </row>
    <row r="12497" spans="1:5" x14ac:dyDescent="0.25">
      <c r="C12497" t="s">
        <v>22957</v>
      </c>
      <c r="D12497" t="s">
        <v>23254</v>
      </c>
      <c r="E12497" t="str">
        <f>HYPERLINK("https://patents.google.com/patent/WO2002021335A1/en")</f>
        <v>https://patents.google.com/patent/WO2002021335A1/en</v>
      </c>
    </row>
    <row r="12498" spans="1:5" x14ac:dyDescent="0.25">
      <c r="C12498" t="s">
        <v>23255</v>
      </c>
      <c r="D12498" t="s">
        <v>23256</v>
      </c>
      <c r="E12498" t="str">
        <f>HYPERLINK("https://patents.google.com/patent/US20080004156A1/en")</f>
        <v>https://patents.google.com/patent/US20080004156A1/en</v>
      </c>
    </row>
    <row r="12499" spans="1:5" x14ac:dyDescent="0.25">
      <c r="C12499" t="s">
        <v>23257</v>
      </c>
      <c r="D12499" t="s">
        <v>23258</v>
      </c>
      <c r="E12499" t="str">
        <f>HYPERLINK("https://patents.google.com/patent/US8038532B2/en")</f>
        <v>https://patents.google.com/patent/US8038532B2/en</v>
      </c>
    </row>
    <row r="12500" spans="1:5" x14ac:dyDescent="0.25">
      <c r="C12500" t="s">
        <v>23259</v>
      </c>
      <c r="D12500" t="s">
        <v>23260</v>
      </c>
      <c r="E12500" t="str">
        <f>HYPERLINK("https://patents.google.com/patent/US20120054277A1/en")</f>
        <v>https://patents.google.com/patent/US20120054277A1/en</v>
      </c>
    </row>
    <row r="12501" spans="1:5" x14ac:dyDescent="0.25">
      <c r="C12501" t="s">
        <v>23261</v>
      </c>
      <c r="D12501" t="s">
        <v>23262</v>
      </c>
      <c r="E12501" t="str">
        <f>HYPERLINK("https://patents.google.com/patent/US20110022380A1/en")</f>
        <v>https://patents.google.com/patent/US20110022380A1/en</v>
      </c>
    </row>
    <row r="12502" spans="1:5" x14ac:dyDescent="0.25">
      <c r="C12502" t="s">
        <v>23263</v>
      </c>
      <c r="D12502" t="s">
        <v>23264</v>
      </c>
      <c r="E12502" t="str">
        <f>HYPERLINK("https://patents.google.com/patent/US20100161540A1/en")</f>
        <v>https://patents.google.com/patent/US20100161540A1/en</v>
      </c>
    </row>
    <row r="12503" spans="1:5" x14ac:dyDescent="0.25">
      <c r="C12503" t="s">
        <v>23265</v>
      </c>
      <c r="D12503" t="s">
        <v>23266</v>
      </c>
      <c r="E12503" t="str">
        <f>HYPERLINK("https://patents.google.com/patent/US20040023479A1/en")</f>
        <v>https://patents.google.com/patent/US20040023479A1/en</v>
      </c>
    </row>
    <row r="12504" spans="1:5" x14ac:dyDescent="0.25">
      <c r="C12504" t="s">
        <v>23267</v>
      </c>
      <c r="D12504" t="s">
        <v>23268</v>
      </c>
      <c r="E12504" t="str">
        <f>HYPERLINK("https://patents.google.com/patent/US20050137893A1/en")</f>
        <v>https://patents.google.com/patent/US20050137893A1/en</v>
      </c>
    </row>
    <row r="12505" spans="1:5" x14ac:dyDescent="0.25">
      <c r="C12505" t="s">
        <v>23269</v>
      </c>
      <c r="D12505" t="s">
        <v>23270</v>
      </c>
      <c r="E12505" t="str">
        <f>HYPERLINK("https://patents.google.com/patent/JP2002135334A/en")</f>
        <v>https://patents.google.com/patent/JP2002135334A/en</v>
      </c>
    </row>
    <row r="12506" spans="1:5" x14ac:dyDescent="0.25">
      <c r="C12506" t="s">
        <v>23271</v>
      </c>
      <c r="D12506" t="s">
        <v>23272</v>
      </c>
      <c r="E12506" t="str">
        <f>HYPERLINK("https://patents.google.com/patent/US20080154774A1/en")</f>
        <v>https://patents.google.com/patent/US20080154774A1/en</v>
      </c>
    </row>
    <row r="12507" spans="1:5" x14ac:dyDescent="0.25">
      <c r="C12507" t="s">
        <v>23273</v>
      </c>
      <c r="D12507" t="s">
        <v>23274</v>
      </c>
      <c r="E12507" t="str">
        <f>HYPERLINK("https://patents.google.com/patent/US20050255030A1/en")</f>
        <v>https://patents.google.com/patent/US20050255030A1/en</v>
      </c>
    </row>
    <row r="12508" spans="1:5" x14ac:dyDescent="0.25">
      <c r="C12508" t="s">
        <v>23275</v>
      </c>
      <c r="D12508" t="s">
        <v>23276</v>
      </c>
      <c r="E12508" t="str">
        <f>HYPERLINK("https://patents.google.com/patent/US6023680A/en")</f>
        <v>https://patents.google.com/patent/US6023680A/en</v>
      </c>
    </row>
    <row r="12509" spans="1:5" x14ac:dyDescent="0.25">
      <c r="C12509" t="s">
        <v>23277</v>
      </c>
      <c r="D12509" t="s">
        <v>23278</v>
      </c>
      <c r="E12509" t="str">
        <f>HYPERLINK("https://patents.google.com/patent/US20010044748A1/en")</f>
        <v>https://patents.google.com/patent/US20010044748A1/en</v>
      </c>
    </row>
    <row r="12510" spans="1:5" x14ac:dyDescent="0.25">
      <c r="C12510" t="s">
        <v>23279</v>
      </c>
      <c r="D12510" t="s">
        <v>23280</v>
      </c>
      <c r="E12510" t="str">
        <f>HYPERLINK("https://patents.google.com/patent/EP2093417A2/fr")</f>
        <v>https://patents.google.com/patent/EP2093417A2/fr</v>
      </c>
    </row>
    <row r="12511" spans="1:5" x14ac:dyDescent="0.25">
      <c r="A12511" t="s">
        <v>2998</v>
      </c>
      <c r="B12511">
        <v>694</v>
      </c>
    </row>
    <row r="12512" spans="1:5" x14ac:dyDescent="0.25">
      <c r="C12512" t="s">
        <v>23281</v>
      </c>
      <c r="D12512" t="s">
        <v>23282</v>
      </c>
      <c r="E12512" t="str">
        <f>HYPERLINK("https://patents.google.com/patent/US20080105481A1/en")</f>
        <v>https://patents.google.com/patent/US20080105481A1/en</v>
      </c>
    </row>
    <row r="12513" spans="3:5" x14ac:dyDescent="0.25">
      <c r="C12513" t="s">
        <v>23283</v>
      </c>
      <c r="D12513" t="s">
        <v>23284</v>
      </c>
      <c r="E12513" t="str">
        <f>HYPERLINK("https://patents.google.com/patent/US8269447B2/en")</f>
        <v>https://patents.google.com/patent/US8269447B2/en</v>
      </c>
    </row>
    <row r="12514" spans="3:5" x14ac:dyDescent="0.25">
      <c r="C12514" t="s">
        <v>23285</v>
      </c>
      <c r="D12514" t="s">
        <v>23286</v>
      </c>
      <c r="E12514" t="str">
        <f>HYPERLINK("https://patents.google.com/patent/US4775289A/en")</f>
        <v>https://patents.google.com/patent/US4775289A/en</v>
      </c>
    </row>
    <row r="12515" spans="3:5" x14ac:dyDescent="0.25">
      <c r="C12515" t="s">
        <v>23287</v>
      </c>
      <c r="D12515" t="s">
        <v>23288</v>
      </c>
      <c r="E12515" t="str">
        <f>HYPERLINK("https://patents.google.com/patent/CN103192898A/en")</f>
        <v>https://patents.google.com/patent/CN103192898A/en</v>
      </c>
    </row>
    <row r="12516" spans="3:5" x14ac:dyDescent="0.25">
      <c r="C12516" t="s">
        <v>23289</v>
      </c>
      <c r="D12516" t="s">
        <v>23290</v>
      </c>
      <c r="E12516" t="str">
        <f>HYPERLINK("https://patents.google.com/patent/US4954043A/en")</f>
        <v>https://patents.google.com/patent/US4954043A/en</v>
      </c>
    </row>
    <row r="12517" spans="3:5" x14ac:dyDescent="0.25">
      <c r="C12517" t="s">
        <v>23291</v>
      </c>
      <c r="D12517" t="s">
        <v>23292</v>
      </c>
      <c r="E12517" t="str">
        <f>HYPERLINK("https://patents.google.com/patent/US4659280A/en")</f>
        <v>https://patents.google.com/patent/US4659280A/en</v>
      </c>
    </row>
    <row r="12518" spans="3:5" x14ac:dyDescent="0.25">
      <c r="C12518" t="s">
        <v>23293</v>
      </c>
      <c r="D12518" t="s">
        <v>23294</v>
      </c>
      <c r="E12518" t="str">
        <f>HYPERLINK("https://patents.google.com/patent/US5318471A/en")</f>
        <v>https://patents.google.com/patent/US5318471A/en</v>
      </c>
    </row>
    <row r="12519" spans="3:5" x14ac:dyDescent="0.25">
      <c r="C12519" t="s">
        <v>23295</v>
      </c>
      <c r="D12519" t="s">
        <v>23296</v>
      </c>
      <c r="E12519" t="str">
        <f>HYPERLINK("https://patents.google.com/patent/US20120316683A1/en")</f>
        <v>https://patents.google.com/patent/US20120316683A1/en</v>
      </c>
    </row>
    <row r="12520" spans="3:5" x14ac:dyDescent="0.25">
      <c r="C12520" t="s">
        <v>23295</v>
      </c>
      <c r="D12520" t="s">
        <v>23297</v>
      </c>
      <c r="E12520" t="str">
        <f>HYPERLINK("https://patents.google.com/patent/US20120316682A1/en")</f>
        <v>https://patents.google.com/patent/US20120316682A1/en</v>
      </c>
    </row>
    <row r="12521" spans="3:5" x14ac:dyDescent="0.25">
      <c r="C12521" t="s">
        <v>23298</v>
      </c>
      <c r="D12521" t="s">
        <v>23299</v>
      </c>
      <c r="E12521" t="str">
        <f>HYPERLINK("https://patents.google.com/patent/CN101623865A/en")</f>
        <v>https://patents.google.com/patent/CN101623865A/en</v>
      </c>
    </row>
    <row r="12522" spans="3:5" x14ac:dyDescent="0.25">
      <c r="C12522" t="s">
        <v>23300</v>
      </c>
      <c r="D12522" t="s">
        <v>23301</v>
      </c>
      <c r="E12522" t="str">
        <f>HYPERLINK("https://patents.google.com/patent/US20100161116A1/en")</f>
        <v>https://patents.google.com/patent/US20100161116A1/en</v>
      </c>
    </row>
    <row r="12523" spans="3:5" x14ac:dyDescent="0.25">
      <c r="C12523" t="s">
        <v>23302</v>
      </c>
      <c r="D12523" t="s">
        <v>23303</v>
      </c>
      <c r="E12523" t="str">
        <f>HYPERLINK("https://patents.google.com/patent/CN104932508A/en")</f>
        <v>https://patents.google.com/patent/CN104932508A/en</v>
      </c>
    </row>
    <row r="12524" spans="3:5" x14ac:dyDescent="0.25">
      <c r="C12524" t="s">
        <v>23302</v>
      </c>
      <c r="D12524" t="s">
        <v>23304</v>
      </c>
      <c r="E12524" t="str">
        <f>HYPERLINK("https://patents.google.com/patent/CN106078739A/en")</f>
        <v>https://patents.google.com/patent/CN106078739A/en</v>
      </c>
    </row>
    <row r="12525" spans="3:5" x14ac:dyDescent="0.25">
      <c r="C12525" t="s">
        <v>23305</v>
      </c>
      <c r="D12525" t="s">
        <v>23306</v>
      </c>
      <c r="E12525" t="str">
        <f>HYPERLINK("https://patents.google.com/patent/WO2014035169A1/en")</f>
        <v>https://patents.google.com/patent/WO2014035169A1/en</v>
      </c>
    </row>
    <row r="12526" spans="3:5" x14ac:dyDescent="0.25">
      <c r="C12526" t="s">
        <v>23307</v>
      </c>
      <c r="D12526" t="s">
        <v>23308</v>
      </c>
      <c r="E12526" t="str">
        <f>HYPERLINK("https://patents.google.com/patent/CN102749919A/en")</f>
        <v>https://patents.google.com/patent/CN102749919A/en</v>
      </c>
    </row>
    <row r="12527" spans="3:5" x14ac:dyDescent="0.25">
      <c r="C12527" t="s">
        <v>23309</v>
      </c>
      <c r="D12527" t="s">
        <v>23310</v>
      </c>
      <c r="E12527" t="str">
        <f>HYPERLINK("https://patents.google.com/patent/CN102990677A/en")</f>
        <v>https://patents.google.com/patent/CN102990677A/en</v>
      </c>
    </row>
    <row r="12528" spans="3:5" x14ac:dyDescent="0.25">
      <c r="C12528" t="s">
        <v>23311</v>
      </c>
      <c r="D12528" t="s">
        <v>23312</v>
      </c>
      <c r="E12528" t="str">
        <f>HYPERLINK("https://patents.google.com/patent/CN204536903U/en")</f>
        <v>https://patents.google.com/patent/CN204536903U/en</v>
      </c>
    </row>
    <row r="12529" spans="3:5" x14ac:dyDescent="0.25">
      <c r="C12529" t="s">
        <v>23313</v>
      </c>
      <c r="D12529" t="s">
        <v>23314</v>
      </c>
      <c r="E12529" t="str">
        <f>HYPERLINK("https://patents.google.com/patent/CN103425100A/en")</f>
        <v>https://patents.google.com/patent/CN103425100A/en</v>
      </c>
    </row>
    <row r="12530" spans="3:5" x14ac:dyDescent="0.25">
      <c r="C12530" t="s">
        <v>23315</v>
      </c>
      <c r="D12530" t="s">
        <v>23316</v>
      </c>
      <c r="E12530" t="str">
        <f>HYPERLINK("https://patents.google.com/patent/JP2011523903A/en")</f>
        <v>https://patents.google.com/patent/JP2011523903A/en</v>
      </c>
    </row>
    <row r="12531" spans="3:5" x14ac:dyDescent="0.25">
      <c r="C12531" t="s">
        <v>23317</v>
      </c>
      <c r="D12531" t="s">
        <v>23318</v>
      </c>
      <c r="E12531" t="str">
        <f>HYPERLINK("https://patents.google.com/patent/US7112938B2/en")</f>
        <v>https://patents.google.com/patent/US7112938B2/en</v>
      </c>
    </row>
    <row r="12532" spans="3:5" x14ac:dyDescent="0.25">
      <c r="C12532" t="s">
        <v>23319</v>
      </c>
      <c r="D12532" t="s">
        <v>23320</v>
      </c>
      <c r="E12532" t="str">
        <f>HYPERLINK("https://patents.google.com/patent/CN104708623A/en")</f>
        <v>https://patents.google.com/patent/CN104708623A/en</v>
      </c>
    </row>
    <row r="12533" spans="3:5" x14ac:dyDescent="0.25">
      <c r="C12533" t="s">
        <v>23321</v>
      </c>
      <c r="D12533" t="s">
        <v>23322</v>
      </c>
      <c r="E12533" t="str">
        <f>HYPERLINK("https://patents.google.com/patent/CN102431040A/en")</f>
        <v>https://patents.google.com/patent/CN102431040A/en</v>
      </c>
    </row>
    <row r="12534" spans="3:5" x14ac:dyDescent="0.25">
      <c r="C12534" t="s">
        <v>23323</v>
      </c>
      <c r="D12534" t="s">
        <v>23324</v>
      </c>
      <c r="E12534" t="str">
        <f>HYPERLINK("https://patents.google.com/patent/CN204137153U/en")</f>
        <v>https://patents.google.com/patent/CN204137153U/en</v>
      </c>
    </row>
    <row r="12535" spans="3:5" x14ac:dyDescent="0.25">
      <c r="C12535" t="s">
        <v>23325</v>
      </c>
      <c r="D12535" t="s">
        <v>23326</v>
      </c>
      <c r="E12535" t="str">
        <f>HYPERLINK("https://patents.google.com/patent/US4901591A/en")</f>
        <v>https://patents.google.com/patent/US4901591A/en</v>
      </c>
    </row>
    <row r="12536" spans="3:5" x14ac:dyDescent="0.25">
      <c r="C12536" t="s">
        <v>23327</v>
      </c>
      <c r="D12536" t="s">
        <v>23328</v>
      </c>
      <c r="E12536" t="str">
        <f>HYPERLINK("https://patents.google.com/patent/CN102825601B/en")</f>
        <v>https://patents.google.com/patent/CN102825601B/en</v>
      </c>
    </row>
    <row r="12537" spans="3:5" x14ac:dyDescent="0.25">
      <c r="C12537" t="s">
        <v>23329</v>
      </c>
      <c r="D12537" t="s">
        <v>23330</v>
      </c>
      <c r="E12537" t="str">
        <f>HYPERLINK("https://patents.google.com/patent/CN108312176A/en")</f>
        <v>https://patents.google.com/patent/CN108312176A/en</v>
      </c>
    </row>
    <row r="12538" spans="3:5" x14ac:dyDescent="0.25">
      <c r="C12538" t="s">
        <v>23331</v>
      </c>
      <c r="D12538" t="s">
        <v>23332</v>
      </c>
      <c r="E12538" t="str">
        <f>HYPERLINK("https://patents.google.com/patent/CN207903351U/en")</f>
        <v>https://patents.google.com/patent/CN207903351U/en</v>
      </c>
    </row>
    <row r="12539" spans="3:5" x14ac:dyDescent="0.25">
      <c r="C12539" t="s">
        <v>23333</v>
      </c>
      <c r="D12539" t="s">
        <v>23334</v>
      </c>
      <c r="E12539" t="str">
        <f>HYPERLINK("https://patents.google.com/patent/US20150217448A1/en")</f>
        <v>https://patents.google.com/patent/US20150217448A1/en</v>
      </c>
    </row>
    <row r="12540" spans="3:5" x14ac:dyDescent="0.25">
      <c r="C12540" t="s">
        <v>23335</v>
      </c>
      <c r="D12540" t="s">
        <v>23336</v>
      </c>
      <c r="E12540" t="str">
        <f>HYPERLINK("https://patents.google.com/patent/JPH0569378A/en")</f>
        <v>https://patents.google.com/patent/JPH0569378A/en</v>
      </c>
    </row>
    <row r="12541" spans="3:5" x14ac:dyDescent="0.25">
      <c r="C12541" t="s">
        <v>23337</v>
      </c>
      <c r="D12541" t="s">
        <v>23338</v>
      </c>
      <c r="E12541" t="str">
        <f>HYPERLINK("https://patents.google.com/patent/CN202344547U/en")</f>
        <v>https://patents.google.com/patent/CN202344547U/en</v>
      </c>
    </row>
    <row r="12542" spans="3:5" x14ac:dyDescent="0.25">
      <c r="C12542" t="s">
        <v>23339</v>
      </c>
      <c r="D12542" t="s">
        <v>23340</v>
      </c>
      <c r="E12542" t="str">
        <f>HYPERLINK("https://patents.google.com/patent/US5982127A/en")</f>
        <v>https://patents.google.com/patent/US5982127A/en</v>
      </c>
    </row>
    <row r="12543" spans="3:5" x14ac:dyDescent="0.25">
      <c r="C12543" t="s">
        <v>23293</v>
      </c>
      <c r="D12543" t="s">
        <v>23341</v>
      </c>
      <c r="E12543" t="str">
        <f>HYPERLINK("https://patents.google.com/patent/US5157316A/en")</f>
        <v>https://patents.google.com/patent/US5157316A/en</v>
      </c>
    </row>
    <row r="12544" spans="3:5" x14ac:dyDescent="0.25">
      <c r="C12544" t="s">
        <v>23342</v>
      </c>
      <c r="D12544" t="s">
        <v>23343</v>
      </c>
      <c r="E12544" t="str">
        <f>HYPERLINK("https://patents.google.com/patent/KR101886533B1/en")</f>
        <v>https://patents.google.com/patent/KR101886533B1/en</v>
      </c>
    </row>
    <row r="12545" spans="3:5" x14ac:dyDescent="0.25">
      <c r="C12545" t="s">
        <v>23344</v>
      </c>
      <c r="D12545" t="s">
        <v>23345</v>
      </c>
      <c r="E12545" t="str">
        <f>HYPERLINK("https://patents.google.com/patent/KR101886125B1/en")</f>
        <v>https://patents.google.com/patent/KR101886125B1/en</v>
      </c>
    </row>
    <row r="12546" spans="3:5" x14ac:dyDescent="0.25">
      <c r="C12546" t="s">
        <v>23346</v>
      </c>
      <c r="D12546" t="s">
        <v>23347</v>
      </c>
      <c r="E12546" t="str">
        <f>HYPERLINK("https://patents.google.com/patent/KR101216028B1/en")</f>
        <v>https://patents.google.com/patent/KR101216028B1/en</v>
      </c>
    </row>
    <row r="12547" spans="3:5" x14ac:dyDescent="0.25">
      <c r="C12547" t="s">
        <v>23348</v>
      </c>
      <c r="D12547" t="s">
        <v>23349</v>
      </c>
      <c r="E12547" t="str">
        <f>HYPERLINK("https://patents.google.com/patent/KR101151273B1/en")</f>
        <v>https://patents.google.com/patent/KR101151273B1/en</v>
      </c>
    </row>
    <row r="12548" spans="3:5" x14ac:dyDescent="0.25">
      <c r="C12548" t="s">
        <v>23350</v>
      </c>
      <c r="D12548" t="s">
        <v>23351</v>
      </c>
      <c r="E12548" t="str">
        <f>HYPERLINK("https://patents.google.com/patent/JP5836565B2/en")</f>
        <v>https://patents.google.com/patent/JP5836565B2/en</v>
      </c>
    </row>
    <row r="12549" spans="3:5" x14ac:dyDescent="0.25">
      <c r="C12549" t="s">
        <v>23352</v>
      </c>
      <c r="D12549" t="s">
        <v>23353</v>
      </c>
      <c r="E12549" t="str">
        <f>HYPERLINK("https://patents.google.com/patent/WO1996031325A1/en")</f>
        <v>https://patents.google.com/patent/WO1996031325A1/en</v>
      </c>
    </row>
    <row r="12550" spans="3:5" x14ac:dyDescent="0.25">
      <c r="C12550" t="s">
        <v>23354</v>
      </c>
      <c r="D12550" t="s">
        <v>23355</v>
      </c>
      <c r="E12550" t="str">
        <f>HYPERLINK("https://patents.google.com/patent/DE10007251A1/en")</f>
        <v>https://patents.google.com/patent/DE10007251A1/en</v>
      </c>
    </row>
    <row r="12551" spans="3:5" x14ac:dyDescent="0.25">
      <c r="C12551" t="s">
        <v>23356</v>
      </c>
      <c r="D12551" t="s">
        <v>23357</v>
      </c>
      <c r="E12551" t="str">
        <f>HYPERLINK("https://patents.google.com/patent/KR101203295B1/en")</f>
        <v>https://patents.google.com/patent/KR101203295B1/en</v>
      </c>
    </row>
    <row r="12552" spans="3:5" x14ac:dyDescent="0.25">
      <c r="C12552" t="s">
        <v>7127</v>
      </c>
      <c r="D12552" t="s">
        <v>23358</v>
      </c>
      <c r="E12552" t="str">
        <f>HYPERLINK("https://patents.google.com/patent/CN204658434U/en")</f>
        <v>https://patents.google.com/patent/CN204658434U/en</v>
      </c>
    </row>
    <row r="12553" spans="3:5" x14ac:dyDescent="0.25">
      <c r="C12553" t="s">
        <v>23359</v>
      </c>
      <c r="D12553" t="s">
        <v>23360</v>
      </c>
      <c r="E12553" t="str">
        <f>HYPERLINK("https://patents.google.com/patent/DE4237773A1/en")</f>
        <v>https://patents.google.com/patent/DE4237773A1/en</v>
      </c>
    </row>
    <row r="12554" spans="3:5" x14ac:dyDescent="0.25">
      <c r="C12554" t="s">
        <v>23361</v>
      </c>
      <c r="D12554" t="s">
        <v>23362</v>
      </c>
      <c r="E12554" t="str">
        <f>HYPERLINK("https://patents.google.com/patent/JPS63139683A/en")</f>
        <v>https://patents.google.com/patent/JPS63139683A/en</v>
      </c>
    </row>
    <row r="12555" spans="3:5" x14ac:dyDescent="0.25">
      <c r="C12555" t="s">
        <v>23363</v>
      </c>
      <c r="D12555" t="s">
        <v>23364</v>
      </c>
      <c r="E12555" t="str">
        <f>HYPERLINK("https://patents.google.com/patent/CN104527992B/en")</f>
        <v>https://patents.google.com/patent/CN104527992B/en</v>
      </c>
    </row>
    <row r="12556" spans="3:5" x14ac:dyDescent="0.25">
      <c r="C12556" t="s">
        <v>23365</v>
      </c>
      <c r="D12556" t="s">
        <v>23366</v>
      </c>
      <c r="E12556" t="str">
        <f>HYPERLINK("https://patents.google.com/patent/US20110172817A1/en")</f>
        <v>https://patents.google.com/patent/US20110172817A1/en</v>
      </c>
    </row>
    <row r="12557" spans="3:5" x14ac:dyDescent="0.25">
      <c r="C12557" t="s">
        <v>23367</v>
      </c>
      <c r="D12557" t="s">
        <v>23368</v>
      </c>
      <c r="E12557" t="str">
        <f>HYPERLINK("https://patents.google.com/patent/CN105005303A/en")</f>
        <v>https://patents.google.com/patent/CN105005303A/en</v>
      </c>
    </row>
    <row r="12558" spans="3:5" x14ac:dyDescent="0.25">
      <c r="C12558" t="s">
        <v>23369</v>
      </c>
      <c r="D12558" t="s">
        <v>23370</v>
      </c>
      <c r="E12558" t="str">
        <f>HYPERLINK("https://patents.google.com/patent/KR200364302Y1/en")</f>
        <v>https://patents.google.com/patent/KR200364302Y1/en</v>
      </c>
    </row>
    <row r="12559" spans="3:5" x14ac:dyDescent="0.25">
      <c r="C12559" t="s">
        <v>23371</v>
      </c>
      <c r="D12559" t="s">
        <v>23372</v>
      </c>
      <c r="E12559" t="str">
        <f>HYPERLINK("https://patents.google.com/patent/JP6105181B1/en")</f>
        <v>https://patents.google.com/patent/JP6105181B1/en</v>
      </c>
    </row>
    <row r="12560" spans="3:5" x14ac:dyDescent="0.25">
      <c r="C12560" t="s">
        <v>23373</v>
      </c>
      <c r="D12560" t="s">
        <v>23374</v>
      </c>
      <c r="E12560" t="str">
        <f>HYPERLINK("https://patents.google.com/patent/CN105094160A/en")</f>
        <v>https://patents.google.com/patent/CN105094160A/en</v>
      </c>
    </row>
    <row r="12561" spans="3:5" x14ac:dyDescent="0.25">
      <c r="C12561" t="s">
        <v>23375</v>
      </c>
      <c r="D12561" t="s">
        <v>23376</v>
      </c>
      <c r="E12561" t="str">
        <f>HYPERLINK("https://patents.google.com/patent/KR20110065740A/en")</f>
        <v>https://patents.google.com/patent/KR20110065740A/en</v>
      </c>
    </row>
    <row r="12562" spans="3:5" x14ac:dyDescent="0.25">
      <c r="C12562" t="s">
        <v>23377</v>
      </c>
      <c r="D12562" t="s">
        <v>23378</v>
      </c>
      <c r="E12562" t="str">
        <f>HYPERLINK("https://patents.google.com/patent/KR101822307B1/en")</f>
        <v>https://patents.google.com/patent/KR101822307B1/en</v>
      </c>
    </row>
    <row r="12563" spans="3:5" x14ac:dyDescent="0.25">
      <c r="C12563" t="s">
        <v>23379</v>
      </c>
      <c r="D12563" t="s">
        <v>23380</v>
      </c>
      <c r="E12563" t="str">
        <f>HYPERLINK("https://patents.google.com/patent/KR101287283B1/en")</f>
        <v>https://patents.google.com/patent/KR101287283B1/en</v>
      </c>
    </row>
    <row r="12564" spans="3:5" x14ac:dyDescent="0.25">
      <c r="C12564" t="s">
        <v>23381</v>
      </c>
      <c r="D12564" t="s">
        <v>23382</v>
      </c>
      <c r="E12564" t="str">
        <f>HYPERLINK("https://patents.google.com/patent/KR101376535B1/en")</f>
        <v>https://patents.google.com/patent/KR101376535B1/en</v>
      </c>
    </row>
    <row r="12565" spans="3:5" x14ac:dyDescent="0.25">
      <c r="C12565" t="s">
        <v>23383</v>
      </c>
      <c r="D12565" t="s">
        <v>23384</v>
      </c>
      <c r="E12565" t="str">
        <f>HYPERLINK("https://patents.google.com/patent/FR2555493A1/en")</f>
        <v>https://patents.google.com/patent/FR2555493A1/en</v>
      </c>
    </row>
    <row r="12566" spans="3:5" x14ac:dyDescent="0.25">
      <c r="C12566" t="s">
        <v>23385</v>
      </c>
      <c r="D12566" t="s">
        <v>23386</v>
      </c>
      <c r="E12566" t="str">
        <f>HYPERLINK("https://patents.google.com/patent/CN206633021U/en")</f>
        <v>https://patents.google.com/patent/CN206633021U/en</v>
      </c>
    </row>
    <row r="12567" spans="3:5" x14ac:dyDescent="0.25">
      <c r="C12567" t="s">
        <v>23387</v>
      </c>
      <c r="D12567" t="s">
        <v>23388</v>
      </c>
      <c r="E12567" t="str">
        <f>HYPERLINK("https://patents.google.com/patent/CN203171650U/en")</f>
        <v>https://patents.google.com/patent/CN203171650U/en</v>
      </c>
    </row>
    <row r="12568" spans="3:5" x14ac:dyDescent="0.25">
      <c r="C12568" t="s">
        <v>23389</v>
      </c>
      <c r="D12568" t="s">
        <v>23390</v>
      </c>
      <c r="E12568" t="str">
        <f>HYPERLINK("https://patents.google.com/patent/KR200468355Y1/en")</f>
        <v>https://patents.google.com/patent/KR200468355Y1/en</v>
      </c>
    </row>
    <row r="12569" spans="3:5" x14ac:dyDescent="0.25">
      <c r="C12569" t="s">
        <v>23391</v>
      </c>
      <c r="D12569" t="s">
        <v>23392</v>
      </c>
      <c r="E12569" t="str">
        <f>HYPERLINK("https://patents.google.com/patent/KR20120069923A/en")</f>
        <v>https://patents.google.com/patent/KR20120069923A/en</v>
      </c>
    </row>
    <row r="12570" spans="3:5" x14ac:dyDescent="0.25">
      <c r="C12570" t="s">
        <v>23300</v>
      </c>
      <c r="D12570" t="s">
        <v>23393</v>
      </c>
      <c r="E12570" t="str">
        <f>HYPERLINK("https://patents.google.com/patent/US8498742B2/en")</f>
        <v>https://patents.google.com/patent/US8498742B2/en</v>
      </c>
    </row>
    <row r="12571" spans="3:5" x14ac:dyDescent="0.25">
      <c r="C12571" t="s">
        <v>23394</v>
      </c>
      <c r="D12571" t="s">
        <v>23395</v>
      </c>
      <c r="E12571" t="str">
        <f>HYPERLINK("https://patents.google.com/patent/US5333514A/en")</f>
        <v>https://patents.google.com/patent/US5333514A/en</v>
      </c>
    </row>
    <row r="12572" spans="3:5" x14ac:dyDescent="0.25">
      <c r="C12572" t="s">
        <v>23396</v>
      </c>
      <c r="D12572" t="s">
        <v>23397</v>
      </c>
      <c r="E12572" t="str">
        <f>HYPERLINK("https://patents.google.com/patent/CN102029607A/en")</f>
        <v>https://patents.google.com/patent/CN102029607A/en</v>
      </c>
    </row>
    <row r="12573" spans="3:5" x14ac:dyDescent="0.25">
      <c r="C12573" t="s">
        <v>23398</v>
      </c>
      <c r="D12573" t="s">
        <v>23399</v>
      </c>
      <c r="E12573" t="str">
        <f>HYPERLINK("https://patents.google.com/patent/US20070039768A1/en")</f>
        <v>https://patents.google.com/patent/US20070039768A1/en</v>
      </c>
    </row>
    <row r="12574" spans="3:5" x14ac:dyDescent="0.25">
      <c r="C12574" t="s">
        <v>23400</v>
      </c>
      <c r="D12574" t="s">
        <v>23401</v>
      </c>
      <c r="E12574" t="str">
        <f>HYPERLINK("https://patents.google.com/patent/US20100043587A1/en")</f>
        <v>https://patents.google.com/patent/US20100043587A1/en</v>
      </c>
    </row>
    <row r="12575" spans="3:5" x14ac:dyDescent="0.25">
      <c r="C12575" t="s">
        <v>23402</v>
      </c>
      <c r="D12575" t="s">
        <v>23403</v>
      </c>
      <c r="E12575" t="str">
        <f>HYPERLINK("https://patents.google.com/patent/WO2009078825A2/en")</f>
        <v>https://patents.google.com/patent/WO2009078825A2/en</v>
      </c>
    </row>
    <row r="12576" spans="3:5" x14ac:dyDescent="0.25">
      <c r="C12576" t="s">
        <v>23404</v>
      </c>
      <c r="D12576" t="s">
        <v>23405</v>
      </c>
      <c r="E12576" t="str">
        <f>HYPERLINK("https://patents.google.com/patent/EP0058955A1/en")</f>
        <v>https://patents.google.com/patent/EP0058955A1/en</v>
      </c>
    </row>
    <row r="12577" spans="3:5" x14ac:dyDescent="0.25">
      <c r="C12577" t="s">
        <v>23406</v>
      </c>
      <c r="D12577" t="s">
        <v>23407</v>
      </c>
      <c r="E12577" t="str">
        <f>HYPERLINK("https://patents.google.com/patent/US6505096B2/en")</f>
        <v>https://patents.google.com/patent/US6505096B2/en</v>
      </c>
    </row>
    <row r="12578" spans="3:5" x14ac:dyDescent="0.25">
      <c r="C12578" t="s">
        <v>23408</v>
      </c>
      <c r="D12578" t="s">
        <v>23409</v>
      </c>
      <c r="E12578" t="str">
        <f>HYPERLINK("https://patents.google.com/patent/US5197846A/en")</f>
        <v>https://patents.google.com/patent/US5197846A/en</v>
      </c>
    </row>
    <row r="12579" spans="3:5" x14ac:dyDescent="0.25">
      <c r="C12579" t="s">
        <v>23410</v>
      </c>
      <c r="D12579" t="s">
        <v>23411</v>
      </c>
      <c r="E12579" t="str">
        <f>HYPERLINK("https://patents.google.com/patent/CN201800052U/en")</f>
        <v>https://patents.google.com/patent/CN201800052U/en</v>
      </c>
    </row>
    <row r="12580" spans="3:5" x14ac:dyDescent="0.25">
      <c r="C12580" t="s">
        <v>23412</v>
      </c>
      <c r="D12580" t="s">
        <v>23413</v>
      </c>
      <c r="E12580" t="str">
        <f>HYPERLINK("https://patents.google.com/patent/CN107571697A/en")</f>
        <v>https://patents.google.com/patent/CN107571697A/en</v>
      </c>
    </row>
    <row r="12581" spans="3:5" x14ac:dyDescent="0.25">
      <c r="C12581" t="s">
        <v>23414</v>
      </c>
      <c r="D12581" t="s">
        <v>23415</v>
      </c>
      <c r="E12581" t="str">
        <f>HYPERLINK("https://patents.google.com/patent/CN101565062A/en")</f>
        <v>https://patents.google.com/patent/CN101565062A/en</v>
      </c>
    </row>
    <row r="12582" spans="3:5" x14ac:dyDescent="0.25">
      <c r="C12582" t="s">
        <v>23416</v>
      </c>
      <c r="D12582" t="s">
        <v>23417</v>
      </c>
      <c r="E12582" t="str">
        <f>HYPERLINK("https://patents.google.com/patent/CN204964218U/en")</f>
        <v>https://patents.google.com/patent/CN204964218U/en</v>
      </c>
    </row>
    <row r="12583" spans="3:5" x14ac:dyDescent="0.25">
      <c r="C12583" t="s">
        <v>23418</v>
      </c>
      <c r="D12583" t="s">
        <v>23419</v>
      </c>
      <c r="E12583" t="str">
        <f>HYPERLINK("https://patents.google.com/patent/US4592697A/en")</f>
        <v>https://patents.google.com/patent/US4592697A/en</v>
      </c>
    </row>
    <row r="12584" spans="3:5" x14ac:dyDescent="0.25">
      <c r="C12584" t="s">
        <v>23420</v>
      </c>
      <c r="D12584" t="s">
        <v>23421</v>
      </c>
      <c r="E12584" t="str">
        <f>HYPERLINK("https://patents.google.com/patent/US5423708A/en")</f>
        <v>https://patents.google.com/patent/US5423708A/en</v>
      </c>
    </row>
    <row r="12585" spans="3:5" x14ac:dyDescent="0.25">
      <c r="C12585" t="s">
        <v>23422</v>
      </c>
      <c r="D12585" t="s">
        <v>23423</v>
      </c>
      <c r="E12585" t="str">
        <f>HYPERLINK("https://patents.google.com/patent/DE102009035877A1/en")</f>
        <v>https://patents.google.com/patent/DE102009035877A1/en</v>
      </c>
    </row>
    <row r="12586" spans="3:5" x14ac:dyDescent="0.25">
      <c r="C12586" t="s">
        <v>23424</v>
      </c>
      <c r="D12586" t="s">
        <v>23425</v>
      </c>
      <c r="E12586" t="str">
        <f>HYPERLINK("https://patents.google.com/patent/CN206632999U/en")</f>
        <v>https://patents.google.com/patent/CN206632999U/en</v>
      </c>
    </row>
    <row r="12587" spans="3:5" x14ac:dyDescent="0.25">
      <c r="C12587" t="s">
        <v>23426</v>
      </c>
      <c r="D12587" t="s">
        <v>23427</v>
      </c>
      <c r="E12587" t="str">
        <f>HYPERLINK("https://patents.google.com/patent/CN104626101A/en")</f>
        <v>https://patents.google.com/patent/CN104626101A/en</v>
      </c>
    </row>
    <row r="12588" spans="3:5" x14ac:dyDescent="0.25">
      <c r="C12588" t="s">
        <v>23428</v>
      </c>
      <c r="D12588" t="s">
        <v>23429</v>
      </c>
      <c r="E12588" t="str">
        <f>HYPERLINK("https://patents.google.com/patent/US6527071B1/en")</f>
        <v>https://patents.google.com/patent/US6527071B1/en</v>
      </c>
    </row>
    <row r="12589" spans="3:5" x14ac:dyDescent="0.25">
      <c r="C12589" t="s">
        <v>23430</v>
      </c>
      <c r="D12589" t="s">
        <v>23431</v>
      </c>
      <c r="E12589" t="str">
        <f>HYPERLINK("https://patents.google.com/patent/JP2012035076A/en")</f>
        <v>https://patents.google.com/patent/JP2012035076A/en</v>
      </c>
    </row>
    <row r="12590" spans="3:5" x14ac:dyDescent="0.25">
      <c r="C12590" t="s">
        <v>23432</v>
      </c>
      <c r="D12590" t="s">
        <v>23433</v>
      </c>
      <c r="E12590" t="str">
        <f>HYPERLINK("https://patents.google.com/patent/CN203237310U/en")</f>
        <v>https://patents.google.com/patent/CN203237310U/en</v>
      </c>
    </row>
    <row r="12591" spans="3:5" x14ac:dyDescent="0.25">
      <c r="C12591" t="s">
        <v>23434</v>
      </c>
      <c r="D12591" t="s">
        <v>23435</v>
      </c>
      <c r="E12591" t="str">
        <f>HYPERLINK("https://patents.google.com/patent/US6697709B2/en")</f>
        <v>https://patents.google.com/patent/US6697709B2/en</v>
      </c>
    </row>
    <row r="12592" spans="3:5" x14ac:dyDescent="0.25">
      <c r="C12592" t="s">
        <v>6986</v>
      </c>
      <c r="D12592" t="s">
        <v>23436</v>
      </c>
      <c r="E12592" t="str">
        <f>HYPERLINK("https://patents.google.com/patent/JPH03208582A/en")</f>
        <v>https://patents.google.com/patent/JPH03208582A/en</v>
      </c>
    </row>
    <row r="12593" spans="3:5" x14ac:dyDescent="0.25">
      <c r="C12593" t="s">
        <v>23437</v>
      </c>
      <c r="D12593" t="s">
        <v>23438</v>
      </c>
      <c r="E12593" t="str">
        <f>HYPERLINK("https://patents.google.com/patent/US5644204A/en")</f>
        <v>https://patents.google.com/patent/US5644204A/en</v>
      </c>
    </row>
    <row r="12594" spans="3:5" x14ac:dyDescent="0.25">
      <c r="C12594" t="s">
        <v>23439</v>
      </c>
      <c r="D12594" t="s">
        <v>23440</v>
      </c>
      <c r="E12594" t="str">
        <f>HYPERLINK("https://patents.google.com/patent/KR20100064475A/en")</f>
        <v>https://patents.google.com/patent/KR20100064475A/en</v>
      </c>
    </row>
    <row r="12595" spans="3:5" x14ac:dyDescent="0.25">
      <c r="C12595" t="s">
        <v>23441</v>
      </c>
      <c r="D12595" t="s">
        <v>23442</v>
      </c>
      <c r="E12595" t="str">
        <f>HYPERLINK("https://patents.google.com/patent/US6788018B1/en")</f>
        <v>https://patents.google.com/patent/US6788018B1/en</v>
      </c>
    </row>
    <row r="12596" spans="3:5" x14ac:dyDescent="0.25">
      <c r="C12596" t="s">
        <v>23443</v>
      </c>
      <c r="D12596" t="s">
        <v>23444</v>
      </c>
      <c r="E12596" t="str">
        <f>HYPERLINK("https://patents.google.com/patent/CN201525025U/en")</f>
        <v>https://patents.google.com/patent/CN201525025U/en</v>
      </c>
    </row>
    <row r="12597" spans="3:5" x14ac:dyDescent="0.25">
      <c r="C12597" t="s">
        <v>23445</v>
      </c>
      <c r="D12597" t="s">
        <v>23446</v>
      </c>
      <c r="E12597" t="str">
        <f>HYPERLINK("https://patents.google.com/patent/CN202591857U/en")</f>
        <v>https://patents.google.com/patent/CN202591857U/en</v>
      </c>
    </row>
    <row r="12598" spans="3:5" x14ac:dyDescent="0.25">
      <c r="C12598" t="s">
        <v>23447</v>
      </c>
      <c r="D12598" t="s">
        <v>23448</v>
      </c>
      <c r="E12598" t="str">
        <f>HYPERLINK("https://patents.google.com/patent/CN105171733A/en")</f>
        <v>https://patents.google.com/patent/CN105171733A/en</v>
      </c>
    </row>
    <row r="12599" spans="3:5" x14ac:dyDescent="0.25">
      <c r="C12599" t="s">
        <v>23449</v>
      </c>
      <c r="D12599" t="s">
        <v>23450</v>
      </c>
      <c r="E12599" t="str">
        <f>HYPERLINK("https://patents.google.com/patent/US4507043A/en")</f>
        <v>https://patents.google.com/patent/US4507043A/en</v>
      </c>
    </row>
    <row r="12600" spans="3:5" x14ac:dyDescent="0.25">
      <c r="C12600" t="s">
        <v>23451</v>
      </c>
      <c r="D12600" t="s">
        <v>23452</v>
      </c>
      <c r="E12600" t="str">
        <f>HYPERLINK("https://patents.google.com/patent/CN203003898U/en")</f>
        <v>https://patents.google.com/patent/CN203003898U/en</v>
      </c>
    </row>
    <row r="12601" spans="3:5" x14ac:dyDescent="0.25">
      <c r="C12601" t="s">
        <v>7264</v>
      </c>
      <c r="D12601" t="s">
        <v>23453</v>
      </c>
      <c r="E12601" t="str">
        <f>HYPERLINK("https://patents.google.com/patent/US7089083B2/en")</f>
        <v>https://patents.google.com/patent/US7089083B2/en</v>
      </c>
    </row>
    <row r="12602" spans="3:5" x14ac:dyDescent="0.25">
      <c r="C12602" t="s">
        <v>23454</v>
      </c>
      <c r="D12602" t="s">
        <v>23455</v>
      </c>
      <c r="E12602" t="str">
        <f>HYPERLINK("https://patents.google.com/patent/US5415057A/en")</f>
        <v>https://patents.google.com/patent/US5415057A/en</v>
      </c>
    </row>
    <row r="12603" spans="3:5" x14ac:dyDescent="0.25">
      <c r="C12603" t="s">
        <v>23456</v>
      </c>
      <c r="D12603" t="s">
        <v>23457</v>
      </c>
      <c r="E12603" t="str">
        <f>HYPERLINK("https://patents.google.com/patent/US4843566A/en")</f>
        <v>https://patents.google.com/patent/US4843566A/en</v>
      </c>
    </row>
    <row r="12604" spans="3:5" x14ac:dyDescent="0.25">
      <c r="C12604" t="s">
        <v>23458</v>
      </c>
      <c r="D12604" t="s">
        <v>23459</v>
      </c>
      <c r="E12604" t="str">
        <f>HYPERLINK("https://patents.google.com/patent/US20020162414A1/en")</f>
        <v>https://patents.google.com/patent/US20020162414A1/en</v>
      </c>
    </row>
    <row r="12605" spans="3:5" x14ac:dyDescent="0.25">
      <c r="C12605" t="s">
        <v>23460</v>
      </c>
      <c r="D12605" t="s">
        <v>23461</v>
      </c>
      <c r="E12605" t="str">
        <f>HYPERLINK("https://patents.google.com/patent/US6711469B2/en")</f>
        <v>https://patents.google.com/patent/US6711469B2/en</v>
      </c>
    </row>
    <row r="12606" spans="3:5" x14ac:dyDescent="0.25">
      <c r="C12606" t="s">
        <v>7258</v>
      </c>
      <c r="D12606" t="s">
        <v>23462</v>
      </c>
      <c r="E12606" t="str">
        <f>HYPERLINK("https://patents.google.com/patent/US5351773A/en")</f>
        <v>https://patents.google.com/patent/US5351773A/en</v>
      </c>
    </row>
    <row r="12607" spans="3:5" x14ac:dyDescent="0.25">
      <c r="C12607" t="s">
        <v>23463</v>
      </c>
      <c r="D12607" t="s">
        <v>23464</v>
      </c>
      <c r="E12607" t="str">
        <f>HYPERLINK("https://patents.google.com/patent/US7339340B2/en")</f>
        <v>https://patents.google.com/patent/US7339340B2/en</v>
      </c>
    </row>
    <row r="12608" spans="3:5" x14ac:dyDescent="0.25">
      <c r="C12608" t="s">
        <v>23465</v>
      </c>
      <c r="D12608" t="s">
        <v>23466</v>
      </c>
      <c r="E12608" t="str">
        <f>HYPERLINK("https://patents.google.com/patent/US5528955A/en")</f>
        <v>https://patents.google.com/patent/US5528955A/en</v>
      </c>
    </row>
    <row r="12609" spans="3:5" x14ac:dyDescent="0.25">
      <c r="C12609" t="s">
        <v>23467</v>
      </c>
      <c r="D12609" t="s">
        <v>23468</v>
      </c>
      <c r="E12609" t="str">
        <f>HYPERLINK("https://patents.google.com/patent/US6992455B2/en")</f>
        <v>https://patents.google.com/patent/US6992455B2/en</v>
      </c>
    </row>
    <row r="12610" spans="3:5" x14ac:dyDescent="0.25">
      <c r="C12610" t="s">
        <v>23469</v>
      </c>
      <c r="D12610" t="s">
        <v>23470</v>
      </c>
      <c r="E12610" t="str">
        <f>HYPERLINK("https://patents.google.com/patent/CN205255008U/en")</f>
        <v>https://patents.google.com/patent/CN205255008U/en</v>
      </c>
    </row>
    <row r="12611" spans="3:5" x14ac:dyDescent="0.25">
      <c r="C12611" t="s">
        <v>23471</v>
      </c>
      <c r="D12611" t="s">
        <v>23472</v>
      </c>
      <c r="E12611" t="str">
        <f>HYPERLINK("https://patents.google.com/patent/US5431201A/en")</f>
        <v>https://patents.google.com/patent/US5431201A/en</v>
      </c>
    </row>
    <row r="12612" spans="3:5" x14ac:dyDescent="0.25">
      <c r="C12612" t="s">
        <v>23473</v>
      </c>
      <c r="D12612" t="s">
        <v>23474</v>
      </c>
      <c r="E12612" t="str">
        <f>HYPERLINK("https://patents.google.com/patent/US4620829A/en")</f>
        <v>https://patents.google.com/patent/US4620829A/en</v>
      </c>
    </row>
    <row r="12613" spans="3:5" x14ac:dyDescent="0.25">
      <c r="C12613" t="s">
        <v>23475</v>
      </c>
      <c r="D12613" t="s">
        <v>23476</v>
      </c>
      <c r="E12613" t="str">
        <f>HYPERLINK("https://patents.google.com/patent/US6064167A/en")</f>
        <v>https://patents.google.com/patent/US6064167A/en</v>
      </c>
    </row>
    <row r="12614" spans="3:5" x14ac:dyDescent="0.25">
      <c r="C12614" t="s">
        <v>23477</v>
      </c>
      <c r="D12614" t="s">
        <v>23478</v>
      </c>
      <c r="E12614" t="str">
        <f>HYPERLINK("https://patents.google.com/patent/US5769775A/en")</f>
        <v>https://patents.google.com/patent/US5769775A/en</v>
      </c>
    </row>
    <row r="12615" spans="3:5" x14ac:dyDescent="0.25">
      <c r="C12615" t="s">
        <v>23321</v>
      </c>
      <c r="D12615" t="s">
        <v>23479</v>
      </c>
      <c r="E12615" t="str">
        <f>HYPERLINK("https://patents.google.com/patent/CN204295679U/en")</f>
        <v>https://patents.google.com/patent/CN204295679U/en</v>
      </c>
    </row>
    <row r="12616" spans="3:5" x14ac:dyDescent="0.25">
      <c r="C12616" t="s">
        <v>7322</v>
      </c>
      <c r="D12616" t="s">
        <v>23480</v>
      </c>
      <c r="E12616" t="str">
        <f>HYPERLINK("https://patents.google.com/patent/US4894595A/en")</f>
        <v>https://patents.google.com/patent/US4894595A/en</v>
      </c>
    </row>
    <row r="12617" spans="3:5" x14ac:dyDescent="0.25">
      <c r="C12617" t="s">
        <v>6019</v>
      </c>
      <c r="D12617" t="s">
        <v>23481</v>
      </c>
      <c r="E12617" t="str">
        <f>HYPERLINK("https://patents.google.com/patent/US20060173578A1/en")</f>
        <v>https://patents.google.com/patent/US20060173578A1/en</v>
      </c>
    </row>
    <row r="12618" spans="3:5" x14ac:dyDescent="0.25">
      <c r="C12618" t="s">
        <v>23482</v>
      </c>
      <c r="D12618" t="s">
        <v>23483</v>
      </c>
      <c r="E12618" t="str">
        <f>HYPERLINK("https://patents.google.com/patent/US5992232A/en")</f>
        <v>https://patents.google.com/patent/US5992232A/en</v>
      </c>
    </row>
    <row r="12619" spans="3:5" x14ac:dyDescent="0.25">
      <c r="C12619" t="s">
        <v>23484</v>
      </c>
      <c r="D12619" t="s">
        <v>23485</v>
      </c>
      <c r="E12619" t="str">
        <f>HYPERLINK("https://patents.google.com/patent/US20060251334A1/en")</f>
        <v>https://patents.google.com/patent/US20060251334A1/en</v>
      </c>
    </row>
    <row r="12620" spans="3:5" x14ac:dyDescent="0.25">
      <c r="C12620" t="s">
        <v>23486</v>
      </c>
      <c r="D12620" t="s">
        <v>23487</v>
      </c>
      <c r="E12620" t="str">
        <f>HYPERLINK("https://patents.google.com/patent/US7053577B2/en")</f>
        <v>https://patents.google.com/patent/US7053577B2/en</v>
      </c>
    </row>
    <row r="12621" spans="3:5" x14ac:dyDescent="0.25">
      <c r="C12621" t="s">
        <v>23488</v>
      </c>
      <c r="D12621" t="s">
        <v>23489</v>
      </c>
      <c r="E12621" t="str">
        <f>HYPERLINK("https://patents.google.com/patent/CN1467108A/en")</f>
        <v>https://patents.google.com/patent/CN1467108A/en</v>
      </c>
    </row>
    <row r="12622" spans="3:5" x14ac:dyDescent="0.25">
      <c r="C12622" t="s">
        <v>23490</v>
      </c>
      <c r="D12622" t="s">
        <v>23491</v>
      </c>
      <c r="E12622" t="str">
        <f>HYPERLINK("https://patents.google.com/patent/US20050107916A1/en")</f>
        <v>https://patents.google.com/patent/US20050107916A1/en</v>
      </c>
    </row>
    <row r="12623" spans="3:5" x14ac:dyDescent="0.25">
      <c r="C12623" t="s">
        <v>23492</v>
      </c>
      <c r="D12623" t="s">
        <v>23493</v>
      </c>
      <c r="E12623" t="str">
        <f>HYPERLINK("https://patents.google.com/patent/US20040254679A1/en")</f>
        <v>https://patents.google.com/patent/US20040254679A1/en</v>
      </c>
    </row>
    <row r="12624" spans="3:5" x14ac:dyDescent="0.25">
      <c r="C12624" t="s">
        <v>23494</v>
      </c>
      <c r="D12624" t="s">
        <v>23495</v>
      </c>
      <c r="E12624" t="str">
        <f>HYPERLINK("https://patents.google.com/patent/US6420666B1/en")</f>
        <v>https://patents.google.com/patent/US6420666B1/en</v>
      </c>
    </row>
    <row r="12625" spans="3:5" x14ac:dyDescent="0.25">
      <c r="C12625" t="s">
        <v>23496</v>
      </c>
      <c r="D12625" t="s">
        <v>23497</v>
      </c>
      <c r="E12625" t="str">
        <f>HYPERLINK("https://patents.google.com/patent/US20050234593A1/en")</f>
        <v>https://patents.google.com/patent/US20050234593A1/en</v>
      </c>
    </row>
    <row r="12626" spans="3:5" x14ac:dyDescent="0.25">
      <c r="C12626" t="s">
        <v>23498</v>
      </c>
      <c r="D12626" t="s">
        <v>23499</v>
      </c>
      <c r="E12626" t="str">
        <f>HYPERLINK("https://patents.google.com/patent/US6538410B2/en")</f>
        <v>https://patents.google.com/patent/US6538410B2/en</v>
      </c>
    </row>
    <row r="12627" spans="3:5" x14ac:dyDescent="0.25">
      <c r="C12627" t="s">
        <v>23500</v>
      </c>
      <c r="D12627" t="s">
        <v>23501</v>
      </c>
      <c r="E12627" t="str">
        <f>HYPERLINK("https://patents.google.com/patent/US6999849B2/en")</f>
        <v>https://patents.google.com/patent/US6999849B2/en</v>
      </c>
    </row>
    <row r="12628" spans="3:5" x14ac:dyDescent="0.25">
      <c r="C12628" t="s">
        <v>23502</v>
      </c>
      <c r="D12628" t="s">
        <v>23503</v>
      </c>
      <c r="E12628" t="str">
        <f>HYPERLINK("https://patents.google.com/patent/US6583595B1/en")</f>
        <v>https://patents.google.com/patent/US6583595B1/en</v>
      </c>
    </row>
    <row r="12629" spans="3:5" x14ac:dyDescent="0.25">
      <c r="C12629" t="s">
        <v>6168</v>
      </c>
      <c r="D12629" t="s">
        <v>23504</v>
      </c>
      <c r="E12629" t="str">
        <f>HYPERLINK("https://patents.google.com/patent/US20050075755A1/en")</f>
        <v>https://patents.google.com/patent/US20050075755A1/en</v>
      </c>
    </row>
    <row r="12630" spans="3:5" x14ac:dyDescent="0.25">
      <c r="C12630" t="s">
        <v>23505</v>
      </c>
      <c r="D12630" t="s">
        <v>23506</v>
      </c>
      <c r="E12630" t="str">
        <f>HYPERLINK("https://patents.google.com/patent/US20050038560A1/en")</f>
        <v>https://patents.google.com/patent/US20050038560A1/en</v>
      </c>
    </row>
    <row r="12631" spans="3:5" x14ac:dyDescent="0.25">
      <c r="C12631" t="s">
        <v>23507</v>
      </c>
      <c r="D12631" t="s">
        <v>23508</v>
      </c>
      <c r="E12631" t="str">
        <f>HYPERLINK("https://patents.google.com/patent/CN102390453A/en")</f>
        <v>https://patents.google.com/patent/CN102390453A/en</v>
      </c>
    </row>
    <row r="12632" spans="3:5" x14ac:dyDescent="0.25">
      <c r="C12632" t="s">
        <v>23509</v>
      </c>
      <c r="D12632" t="s">
        <v>23510</v>
      </c>
      <c r="E12632" t="str">
        <f>HYPERLINK("https://patents.google.com/patent/US20090312867A1/en")</f>
        <v>https://patents.google.com/patent/US20090312867A1/en</v>
      </c>
    </row>
    <row r="12633" spans="3:5" x14ac:dyDescent="0.25">
      <c r="C12633" t="s">
        <v>23511</v>
      </c>
      <c r="D12633" t="s">
        <v>23512</v>
      </c>
      <c r="E12633" t="str">
        <f>HYPERLINK("https://patents.google.com/patent/CN102234026A/en")</f>
        <v>https://patents.google.com/patent/CN102234026A/en</v>
      </c>
    </row>
    <row r="12634" spans="3:5" x14ac:dyDescent="0.25">
      <c r="C12634" t="s">
        <v>23513</v>
      </c>
      <c r="D12634" t="s">
        <v>23514</v>
      </c>
      <c r="E12634" t="str">
        <f>HYPERLINK("https://patents.google.com/patent/US7805792B2/en")</f>
        <v>https://patents.google.com/patent/US7805792B2/en</v>
      </c>
    </row>
    <row r="12635" spans="3:5" x14ac:dyDescent="0.25">
      <c r="C12635" t="s">
        <v>23515</v>
      </c>
      <c r="D12635" t="s">
        <v>23516</v>
      </c>
      <c r="E12635" t="str">
        <f>HYPERLINK("https://patents.google.com/patent/US6414457B1/en")</f>
        <v>https://patents.google.com/patent/US6414457B1/en</v>
      </c>
    </row>
    <row r="12636" spans="3:5" x14ac:dyDescent="0.25">
      <c r="C12636" t="s">
        <v>23517</v>
      </c>
      <c r="D12636" t="s">
        <v>23518</v>
      </c>
      <c r="E12636" t="str">
        <f>HYPERLINK("https://patents.google.com/patent/US6357994B1/en")</f>
        <v>https://patents.google.com/patent/US6357994B1/en</v>
      </c>
    </row>
    <row r="12637" spans="3:5" x14ac:dyDescent="0.25">
      <c r="C12637" t="s">
        <v>23519</v>
      </c>
      <c r="D12637" t="s">
        <v>23520</v>
      </c>
      <c r="E12637" t="str">
        <f>HYPERLINK("https://patents.google.com/patent/US5634377A/en")</f>
        <v>https://patents.google.com/patent/US5634377A/en</v>
      </c>
    </row>
    <row r="12638" spans="3:5" x14ac:dyDescent="0.25">
      <c r="C12638" t="s">
        <v>23519</v>
      </c>
      <c r="D12638" t="s">
        <v>23521</v>
      </c>
      <c r="E12638" t="str">
        <f>HYPERLINK("https://patents.google.com/patent/US4445184A/en")</f>
        <v>https://patents.google.com/patent/US4445184A/en</v>
      </c>
    </row>
    <row r="12639" spans="3:5" x14ac:dyDescent="0.25">
      <c r="C12639" t="s">
        <v>23522</v>
      </c>
      <c r="D12639" t="s">
        <v>23523</v>
      </c>
      <c r="E12639" t="str">
        <f>HYPERLINK("https://patents.google.com/patent/US5305652A/en")</f>
        <v>https://patents.google.com/patent/US5305652A/en</v>
      </c>
    </row>
    <row r="12640" spans="3:5" x14ac:dyDescent="0.25">
      <c r="C12640" t="s">
        <v>6442</v>
      </c>
      <c r="D12640" t="s">
        <v>23524</v>
      </c>
      <c r="E12640" t="str">
        <f>HYPERLINK("https://patents.google.com/patent/US7765780B2/en")</f>
        <v>https://patents.google.com/patent/US7765780B2/en</v>
      </c>
    </row>
    <row r="12641" spans="3:5" x14ac:dyDescent="0.25">
      <c r="C12641" t="s">
        <v>7322</v>
      </c>
      <c r="D12641" t="s">
        <v>23525</v>
      </c>
      <c r="E12641" t="str">
        <f>HYPERLINK("https://patents.google.com/patent/JP2002283274A/en")</f>
        <v>https://patents.google.com/patent/JP2002283274A/en</v>
      </c>
    </row>
    <row r="12642" spans="3:5" x14ac:dyDescent="0.25">
      <c r="C12642" t="s">
        <v>23526</v>
      </c>
      <c r="D12642" t="s">
        <v>23527</v>
      </c>
      <c r="E12642" t="str">
        <f>HYPERLINK("https://patents.google.com/patent/US6377014B1/en")</f>
        <v>https://patents.google.com/patent/US6377014B1/en</v>
      </c>
    </row>
    <row r="12643" spans="3:5" x14ac:dyDescent="0.25">
      <c r="C12643" t="s">
        <v>23528</v>
      </c>
      <c r="D12643" t="s">
        <v>23529</v>
      </c>
      <c r="E12643" t="str">
        <f>HYPERLINK("https://patents.google.com/patent/US20080065269A1/en")</f>
        <v>https://patents.google.com/patent/US20080065269A1/en</v>
      </c>
    </row>
    <row r="12644" spans="3:5" x14ac:dyDescent="0.25">
      <c r="C12644" t="s">
        <v>23530</v>
      </c>
      <c r="D12644" t="s">
        <v>23531</v>
      </c>
      <c r="E12644" t="str">
        <f>HYPERLINK("https://patents.google.com/patent/US2957693A/en")</f>
        <v>https://patents.google.com/patent/US2957693A/en</v>
      </c>
    </row>
    <row r="12645" spans="3:5" x14ac:dyDescent="0.25">
      <c r="C12645" t="s">
        <v>23532</v>
      </c>
      <c r="D12645" t="s">
        <v>23533</v>
      </c>
      <c r="E12645" t="str">
        <f>HYPERLINK("https://patents.google.com/patent/US20120143374A1/en")</f>
        <v>https://patents.google.com/patent/US20120143374A1/en</v>
      </c>
    </row>
    <row r="12646" spans="3:5" x14ac:dyDescent="0.25">
      <c r="C12646" t="s">
        <v>23534</v>
      </c>
      <c r="D12646" t="s">
        <v>23535</v>
      </c>
      <c r="E12646" t="str">
        <f>HYPERLINK("https://patents.google.com/patent/US5151570A/en")</f>
        <v>https://patents.google.com/patent/US5151570A/en</v>
      </c>
    </row>
    <row r="12647" spans="3:5" x14ac:dyDescent="0.25">
      <c r="C12647" t="s">
        <v>23536</v>
      </c>
      <c r="D12647" t="s">
        <v>23537</v>
      </c>
      <c r="E12647" t="str">
        <f>HYPERLINK("https://patents.google.com/patent/US20100292838A1/en")</f>
        <v>https://patents.google.com/patent/US20100292838A1/en</v>
      </c>
    </row>
    <row r="12648" spans="3:5" x14ac:dyDescent="0.25">
      <c r="C12648" t="s">
        <v>23394</v>
      </c>
      <c r="D12648" t="s">
        <v>23538</v>
      </c>
      <c r="E12648" t="str">
        <f>HYPERLINK("https://patents.google.com/patent/US7331750B2/en")</f>
        <v>https://patents.google.com/patent/US7331750B2/en</v>
      </c>
    </row>
    <row r="12649" spans="3:5" x14ac:dyDescent="0.25">
      <c r="C12649" t="s">
        <v>7481</v>
      </c>
      <c r="D12649" t="s">
        <v>23539</v>
      </c>
      <c r="E12649" t="str">
        <f>HYPERLINK("https://patents.google.com/patent/US20090314554A1/en")</f>
        <v>https://patents.google.com/patent/US20090314554A1/en</v>
      </c>
    </row>
    <row r="12650" spans="3:5" x14ac:dyDescent="0.25">
      <c r="C12650" t="s">
        <v>23540</v>
      </c>
      <c r="D12650" t="s">
        <v>23541</v>
      </c>
      <c r="E12650" t="str">
        <f>HYPERLINK("https://patents.google.com/patent/US20050021176A1/en")</f>
        <v>https://patents.google.com/patent/US20050021176A1/en</v>
      </c>
    </row>
    <row r="12651" spans="3:5" x14ac:dyDescent="0.25">
      <c r="C12651" t="s">
        <v>23542</v>
      </c>
      <c r="D12651" t="s">
        <v>23543</v>
      </c>
      <c r="E12651" t="str">
        <f>HYPERLINK("https://patents.google.com/patent/CN205521353U/en")</f>
        <v>https://patents.google.com/patent/CN205521353U/en</v>
      </c>
    </row>
    <row r="12652" spans="3:5" x14ac:dyDescent="0.25">
      <c r="C12652" t="s">
        <v>23544</v>
      </c>
      <c r="D12652" t="s">
        <v>23545</v>
      </c>
      <c r="E12652" t="str">
        <f>HYPERLINK("https://patents.google.com/patent/JP2006218563A/en")</f>
        <v>https://patents.google.com/patent/JP2006218563A/en</v>
      </c>
    </row>
    <row r="12653" spans="3:5" x14ac:dyDescent="0.25">
      <c r="C12653" t="s">
        <v>23546</v>
      </c>
      <c r="D12653" t="s">
        <v>23547</v>
      </c>
      <c r="E12653" t="str">
        <f>HYPERLINK("https://patents.google.com/patent/DE2848385A1/en")</f>
        <v>https://patents.google.com/patent/DE2848385A1/en</v>
      </c>
    </row>
    <row r="12654" spans="3:5" x14ac:dyDescent="0.25">
      <c r="C12654" t="s">
        <v>23548</v>
      </c>
      <c r="D12654" t="s">
        <v>23549</v>
      </c>
      <c r="E12654" t="str">
        <f>HYPERLINK("https://patents.google.com/patent/US20040035243A1/en")</f>
        <v>https://patents.google.com/patent/US20040035243A1/en</v>
      </c>
    </row>
    <row r="12655" spans="3:5" x14ac:dyDescent="0.25">
      <c r="C12655" t="s">
        <v>7415</v>
      </c>
      <c r="D12655" t="s">
        <v>23550</v>
      </c>
      <c r="E12655" t="str">
        <f>HYPERLINK("https://patents.google.com/patent/US8001837B2/en")</f>
        <v>https://patents.google.com/patent/US8001837B2/en</v>
      </c>
    </row>
    <row r="12656" spans="3:5" x14ac:dyDescent="0.25">
      <c r="C12656" t="s">
        <v>23551</v>
      </c>
      <c r="D12656" t="s">
        <v>23552</v>
      </c>
      <c r="E12656" t="str">
        <f>HYPERLINK("https://patents.google.com/patent/JPH10230485A/en")</f>
        <v>https://patents.google.com/patent/JPH10230485A/en</v>
      </c>
    </row>
    <row r="12657" spans="3:5" x14ac:dyDescent="0.25">
      <c r="C12657" t="s">
        <v>23553</v>
      </c>
      <c r="D12657" t="s">
        <v>23554</v>
      </c>
      <c r="E12657" t="str">
        <f>HYPERLINK("https://patents.google.com/patent/US4789034A/en")</f>
        <v>https://patents.google.com/patent/US4789034A/en</v>
      </c>
    </row>
    <row r="12658" spans="3:5" x14ac:dyDescent="0.25">
      <c r="C12658" t="s">
        <v>23555</v>
      </c>
      <c r="D12658" t="s">
        <v>23556</v>
      </c>
      <c r="E12658" t="str">
        <f>HYPERLINK("https://patents.google.com/patent/CN103056866A/en")</f>
        <v>https://patents.google.com/patent/CN103056866A/en</v>
      </c>
    </row>
    <row r="12659" spans="3:5" x14ac:dyDescent="0.25">
      <c r="C12659" t="s">
        <v>23557</v>
      </c>
      <c r="D12659" t="s">
        <v>23558</v>
      </c>
      <c r="E12659" t="str">
        <f>HYPERLINK("https://patents.google.com/patent/US20100185330A1/en")</f>
        <v>https://patents.google.com/patent/US20100185330A1/en</v>
      </c>
    </row>
    <row r="12660" spans="3:5" x14ac:dyDescent="0.25">
      <c r="C12660" t="s">
        <v>23559</v>
      </c>
      <c r="D12660" t="s">
        <v>23560</v>
      </c>
      <c r="E12660" t="str">
        <f>HYPERLINK("https://patents.google.com/patent/US20080109115A1/en")</f>
        <v>https://patents.google.com/patent/US20080109115A1/en</v>
      </c>
    </row>
    <row r="12661" spans="3:5" x14ac:dyDescent="0.25">
      <c r="C12661" t="s">
        <v>23561</v>
      </c>
      <c r="D12661" t="s">
        <v>23562</v>
      </c>
      <c r="E12661" t="str">
        <f>HYPERLINK("https://patents.google.com/patent/US5647747A/en")</f>
        <v>https://patents.google.com/patent/US5647747A/en</v>
      </c>
    </row>
    <row r="12662" spans="3:5" x14ac:dyDescent="0.25">
      <c r="C12662" t="s">
        <v>23563</v>
      </c>
      <c r="D12662" t="s">
        <v>23564</v>
      </c>
      <c r="E12662" t="str">
        <f>HYPERLINK("https://patents.google.com/patent/US6865446B2/en")</f>
        <v>https://patents.google.com/patent/US6865446B2/en</v>
      </c>
    </row>
    <row r="12663" spans="3:5" x14ac:dyDescent="0.25">
      <c r="C12663" t="s">
        <v>23565</v>
      </c>
      <c r="D12663" t="s">
        <v>23566</v>
      </c>
      <c r="E12663" t="str">
        <f>HYPERLINK("https://patents.google.com/patent/CN101817452A/en")</f>
        <v>https://patents.google.com/patent/CN101817452A/en</v>
      </c>
    </row>
    <row r="12664" spans="3:5" x14ac:dyDescent="0.25">
      <c r="C12664" t="s">
        <v>23567</v>
      </c>
      <c r="D12664" t="s">
        <v>23568</v>
      </c>
      <c r="E12664" t="str">
        <f>HYPERLINK("https://patents.google.com/patent/US20080133055A1/en")</f>
        <v>https://patents.google.com/patent/US20080133055A1/en</v>
      </c>
    </row>
    <row r="12665" spans="3:5" x14ac:dyDescent="0.25">
      <c r="C12665" t="s">
        <v>23569</v>
      </c>
      <c r="D12665" t="s">
        <v>23570</v>
      </c>
      <c r="E12665" t="str">
        <f>HYPERLINK("https://patents.google.com/patent/US20130238122A1/en")</f>
        <v>https://patents.google.com/patent/US20130238122A1/en</v>
      </c>
    </row>
    <row r="12666" spans="3:5" x14ac:dyDescent="0.25">
      <c r="C12666" t="s">
        <v>23571</v>
      </c>
      <c r="D12666" t="s">
        <v>23572</v>
      </c>
      <c r="E12666" t="str">
        <f>HYPERLINK("https://patents.google.com/patent/US20120310412A1/en")</f>
        <v>https://patents.google.com/patent/US20120310412A1/en</v>
      </c>
    </row>
    <row r="12667" spans="3:5" x14ac:dyDescent="0.25">
      <c r="C12667" t="s">
        <v>23573</v>
      </c>
      <c r="D12667" t="s">
        <v>23574</v>
      </c>
      <c r="E12667" t="str">
        <f>HYPERLINK("https://patents.google.com/patent/EP2384863A2/en")</f>
        <v>https://patents.google.com/patent/EP2384863A2/en</v>
      </c>
    </row>
    <row r="12668" spans="3:5" x14ac:dyDescent="0.25">
      <c r="C12668" t="s">
        <v>23575</v>
      </c>
      <c r="D12668" t="s">
        <v>23576</v>
      </c>
      <c r="E12668" t="str">
        <f>HYPERLINK("https://patents.google.com/patent/US7330775B2/en")</f>
        <v>https://patents.google.com/patent/US7330775B2/en</v>
      </c>
    </row>
    <row r="12669" spans="3:5" x14ac:dyDescent="0.25">
      <c r="C12669" t="s">
        <v>23577</v>
      </c>
      <c r="D12669" t="s">
        <v>23578</v>
      </c>
      <c r="E12669" t="str">
        <f>HYPERLINK("https://patents.google.com/patent/CN1307956A/en")</f>
        <v>https://patents.google.com/patent/CN1307956A/en</v>
      </c>
    </row>
    <row r="12670" spans="3:5" x14ac:dyDescent="0.25">
      <c r="C12670" t="s">
        <v>23579</v>
      </c>
      <c r="D12670" t="s">
        <v>23580</v>
      </c>
      <c r="E12670" t="str">
        <f>HYPERLINK("https://patents.google.com/patent/US20070260355A1/en")</f>
        <v>https://patents.google.com/patent/US20070260355A1/en</v>
      </c>
    </row>
    <row r="12671" spans="3:5" x14ac:dyDescent="0.25">
      <c r="C12671" t="s">
        <v>23581</v>
      </c>
      <c r="D12671" t="s">
        <v>23582</v>
      </c>
      <c r="E12671" t="str">
        <f>HYPERLINK("https://patents.google.com/patent/DE102006026132A1/en")</f>
        <v>https://patents.google.com/patent/DE102006026132A1/en</v>
      </c>
    </row>
    <row r="12672" spans="3:5" x14ac:dyDescent="0.25">
      <c r="C12672" t="s">
        <v>23583</v>
      </c>
      <c r="D12672" t="s">
        <v>23584</v>
      </c>
      <c r="E12672" t="str">
        <f>HYPERLINK("https://patents.google.com/patent/US20140277847A1/en")</f>
        <v>https://patents.google.com/patent/US20140277847A1/en</v>
      </c>
    </row>
    <row r="12673" spans="3:5" x14ac:dyDescent="0.25">
      <c r="C12673" t="s">
        <v>23585</v>
      </c>
      <c r="D12673" t="s">
        <v>23586</v>
      </c>
      <c r="E12673" t="str">
        <f>HYPERLINK("https://patents.google.com/patent/CN102012704A/en")</f>
        <v>https://patents.google.com/patent/CN102012704A/en</v>
      </c>
    </row>
    <row r="12674" spans="3:5" x14ac:dyDescent="0.25">
      <c r="C12674" t="s">
        <v>23587</v>
      </c>
      <c r="D12674" t="s">
        <v>23588</v>
      </c>
      <c r="E12674" t="str">
        <f>HYPERLINK("https://patents.google.com/patent/US20070265731A1/en")</f>
        <v>https://patents.google.com/patent/US20070265731A1/en</v>
      </c>
    </row>
    <row r="12675" spans="3:5" x14ac:dyDescent="0.25">
      <c r="C12675" t="s">
        <v>23589</v>
      </c>
      <c r="D12675" t="s">
        <v>23590</v>
      </c>
      <c r="E12675" t="str">
        <f>HYPERLINK("https://patents.google.com/patent/US20120059518A1/en")</f>
        <v>https://patents.google.com/patent/US20120059518A1/en</v>
      </c>
    </row>
    <row r="12676" spans="3:5" x14ac:dyDescent="0.25">
      <c r="C12676" t="s">
        <v>23591</v>
      </c>
      <c r="D12676" t="s">
        <v>23592</v>
      </c>
      <c r="E12676" t="str">
        <f>HYPERLINK("https://patents.google.com/patent/US20120245735A1/en")</f>
        <v>https://patents.google.com/patent/US20120245735A1/en</v>
      </c>
    </row>
    <row r="12677" spans="3:5" x14ac:dyDescent="0.25">
      <c r="C12677" t="s">
        <v>6986</v>
      </c>
      <c r="D12677" t="s">
        <v>23593</v>
      </c>
      <c r="E12677" t="str">
        <f>HYPERLINK("https://patents.google.com/patent/US20090118865A1/en")</f>
        <v>https://patents.google.com/patent/US20090118865A1/en</v>
      </c>
    </row>
    <row r="12678" spans="3:5" x14ac:dyDescent="0.25">
      <c r="C12678" t="s">
        <v>23594</v>
      </c>
      <c r="D12678" t="s">
        <v>23595</v>
      </c>
      <c r="E12678" t="str">
        <f>HYPERLINK("https://patents.google.com/patent/US20150120044A1/en")</f>
        <v>https://patents.google.com/patent/US20150120044A1/en</v>
      </c>
    </row>
    <row r="12679" spans="3:5" x14ac:dyDescent="0.25">
      <c r="C12679" t="s">
        <v>23596</v>
      </c>
      <c r="D12679" t="s">
        <v>23597</v>
      </c>
      <c r="E12679" t="str">
        <f>HYPERLINK("https://patents.google.com/patent/CN1397411A/en")</f>
        <v>https://patents.google.com/patent/CN1397411A/en</v>
      </c>
    </row>
    <row r="12680" spans="3:5" x14ac:dyDescent="0.25">
      <c r="C12680" t="s">
        <v>23598</v>
      </c>
      <c r="D12680" t="s">
        <v>23599</v>
      </c>
      <c r="E12680" t="str">
        <f>HYPERLINK("https://patents.google.com/patent/CN202716271U/en")</f>
        <v>https://patents.google.com/patent/CN202716271U/en</v>
      </c>
    </row>
    <row r="12681" spans="3:5" x14ac:dyDescent="0.25">
      <c r="C12681" t="s">
        <v>23600</v>
      </c>
      <c r="D12681" t="s">
        <v>23601</v>
      </c>
      <c r="E12681" t="str">
        <f>HYPERLINK("https://patents.google.com/patent/US4653975A/en")</f>
        <v>https://patents.google.com/patent/US4653975A/en</v>
      </c>
    </row>
    <row r="12682" spans="3:5" x14ac:dyDescent="0.25">
      <c r="C12682" t="s">
        <v>23602</v>
      </c>
      <c r="D12682" t="s">
        <v>23603</v>
      </c>
      <c r="E12682" t="str">
        <f>HYPERLINK("https://patents.google.com/patent/KR20090002417A/en")</f>
        <v>https://patents.google.com/patent/KR20090002417A/en</v>
      </c>
    </row>
    <row r="12683" spans="3:5" x14ac:dyDescent="0.25">
      <c r="C12683" t="s">
        <v>23604</v>
      </c>
      <c r="D12683" t="s">
        <v>23605</v>
      </c>
      <c r="E12683" t="str">
        <f>HYPERLINK("https://patents.google.com/patent/US20060149419A1/en")</f>
        <v>https://patents.google.com/patent/US20060149419A1/en</v>
      </c>
    </row>
    <row r="12684" spans="3:5" x14ac:dyDescent="0.25">
      <c r="C12684" t="s">
        <v>7322</v>
      </c>
      <c r="D12684" t="s">
        <v>23606</v>
      </c>
      <c r="E12684" t="str">
        <f>HYPERLINK("https://patents.google.com/patent/US20050129495A1/en")</f>
        <v>https://patents.google.com/patent/US20050129495A1/en</v>
      </c>
    </row>
    <row r="12685" spans="3:5" x14ac:dyDescent="0.25">
      <c r="C12685" t="s">
        <v>7322</v>
      </c>
      <c r="D12685" t="s">
        <v>23607</v>
      </c>
      <c r="E12685" t="str">
        <f>HYPERLINK("https://patents.google.com/patent/US4466307A/en")</f>
        <v>https://patents.google.com/patent/US4466307A/en</v>
      </c>
    </row>
    <row r="12686" spans="3:5" x14ac:dyDescent="0.25">
      <c r="C12686" t="s">
        <v>23608</v>
      </c>
      <c r="D12686" t="s">
        <v>23609</v>
      </c>
      <c r="E12686" t="str">
        <f>HYPERLINK("https://patents.google.com/patent/CN101938095A/en")</f>
        <v>https://patents.google.com/patent/CN101938095A/en</v>
      </c>
    </row>
    <row r="12687" spans="3:5" x14ac:dyDescent="0.25">
      <c r="C12687" t="s">
        <v>23610</v>
      </c>
      <c r="D12687" t="s">
        <v>23611</v>
      </c>
      <c r="E12687" t="str">
        <f>HYPERLINK("https://patents.google.com/patent/US20110224827A1/en")</f>
        <v>https://patents.google.com/patent/US20110224827A1/en</v>
      </c>
    </row>
    <row r="12688" spans="3:5" x14ac:dyDescent="0.25">
      <c r="C12688" t="s">
        <v>23612</v>
      </c>
      <c r="D12688" t="s">
        <v>23613</v>
      </c>
      <c r="E12688" t="str">
        <f>HYPERLINK("https://patents.google.com/patent/US20110178637A1/en")</f>
        <v>https://patents.google.com/patent/US20110178637A1/en</v>
      </c>
    </row>
    <row r="12689" spans="3:5" x14ac:dyDescent="0.25">
      <c r="C12689" t="s">
        <v>23612</v>
      </c>
      <c r="D12689" t="s">
        <v>23614</v>
      </c>
      <c r="E12689" t="str">
        <f>HYPERLINK("https://patents.google.com/patent/US20110172825A1/en")</f>
        <v>https://patents.google.com/patent/US20110172825A1/en</v>
      </c>
    </row>
    <row r="12690" spans="3:5" x14ac:dyDescent="0.25">
      <c r="C12690" t="s">
        <v>23615</v>
      </c>
      <c r="D12690" t="s">
        <v>23616</v>
      </c>
      <c r="E12690" t="str">
        <f>HYPERLINK("https://patents.google.com/patent/US4882930A/en")</f>
        <v>https://patents.google.com/patent/US4882930A/en</v>
      </c>
    </row>
    <row r="12691" spans="3:5" x14ac:dyDescent="0.25">
      <c r="C12691" t="s">
        <v>23617</v>
      </c>
      <c r="D12691" t="s">
        <v>23618</v>
      </c>
      <c r="E12691" t="str">
        <f>HYPERLINK("https://patents.google.com/patent/CN1695907A/en")</f>
        <v>https://patents.google.com/patent/CN1695907A/en</v>
      </c>
    </row>
    <row r="12692" spans="3:5" x14ac:dyDescent="0.25">
      <c r="C12692" t="s">
        <v>23619</v>
      </c>
      <c r="D12692" t="s">
        <v>23620</v>
      </c>
      <c r="E12692" t="str">
        <f>HYPERLINK("https://patents.google.com/patent/CN101104265A/en")</f>
        <v>https://patents.google.com/patent/CN101104265A/en</v>
      </c>
    </row>
    <row r="12693" spans="3:5" x14ac:dyDescent="0.25">
      <c r="C12693" t="s">
        <v>23621</v>
      </c>
      <c r="D12693" t="s">
        <v>23622</v>
      </c>
      <c r="E12693" t="str">
        <f>HYPERLINK("https://patents.google.com/patent/CN102211627A/en")</f>
        <v>https://patents.google.com/patent/CN102211627A/en</v>
      </c>
    </row>
    <row r="12694" spans="3:5" x14ac:dyDescent="0.25">
      <c r="C12694" t="s">
        <v>23623</v>
      </c>
      <c r="D12694" t="s">
        <v>23624</v>
      </c>
      <c r="E12694" t="str">
        <f>HYPERLINK("https://patents.google.com/patent/CN1923468A/en")</f>
        <v>https://patents.google.com/patent/CN1923468A/en</v>
      </c>
    </row>
    <row r="12695" spans="3:5" x14ac:dyDescent="0.25">
      <c r="C12695" t="s">
        <v>23625</v>
      </c>
      <c r="D12695" t="s">
        <v>23626</v>
      </c>
      <c r="E12695" t="str">
        <f>HYPERLINK("https://patents.google.com/patent/US20130184861A1/en")</f>
        <v>https://patents.google.com/patent/US20130184861A1/en</v>
      </c>
    </row>
    <row r="12696" spans="3:5" x14ac:dyDescent="0.25">
      <c r="C12696" t="s">
        <v>23627</v>
      </c>
      <c r="D12696" t="s">
        <v>23628</v>
      </c>
      <c r="E12696" t="str">
        <f>HYPERLINK("https://patents.google.com/patent/US6205839B1/en")</f>
        <v>https://patents.google.com/patent/US6205839B1/en</v>
      </c>
    </row>
    <row r="12697" spans="3:5" x14ac:dyDescent="0.25">
      <c r="C12697" t="s">
        <v>23629</v>
      </c>
      <c r="D12697" t="s">
        <v>23630</v>
      </c>
      <c r="E12697" t="str">
        <f>HYPERLINK("https://patents.google.com/patent/JPH11262889A/en")</f>
        <v>https://patents.google.com/patent/JPH11262889A/en</v>
      </c>
    </row>
    <row r="12698" spans="3:5" x14ac:dyDescent="0.25">
      <c r="C12698" t="s">
        <v>23631</v>
      </c>
      <c r="D12698" t="s">
        <v>23632</v>
      </c>
      <c r="E12698" t="str">
        <f>HYPERLINK("https://patents.google.com/patent/JP2000296484A/en")</f>
        <v>https://patents.google.com/patent/JP2000296484A/en</v>
      </c>
    </row>
    <row r="12699" spans="3:5" x14ac:dyDescent="0.25">
      <c r="C12699" t="s">
        <v>23633</v>
      </c>
      <c r="D12699" t="s">
        <v>23634</v>
      </c>
      <c r="E12699" t="str">
        <f>HYPERLINK("https://patents.google.com/patent/US6354167B1/en")</f>
        <v>https://patents.google.com/patent/US6354167B1/en</v>
      </c>
    </row>
    <row r="12700" spans="3:5" x14ac:dyDescent="0.25">
      <c r="C12700" t="s">
        <v>23635</v>
      </c>
      <c r="D12700" t="s">
        <v>23636</v>
      </c>
      <c r="E12700" t="str">
        <f>HYPERLINK("https://patents.google.com/patent/US9043029B2/en")</f>
        <v>https://patents.google.com/patent/US9043029B2/en</v>
      </c>
    </row>
    <row r="12701" spans="3:5" x14ac:dyDescent="0.25">
      <c r="C12701" t="s">
        <v>23637</v>
      </c>
      <c r="D12701" t="s">
        <v>23638</v>
      </c>
      <c r="E12701" t="str">
        <f>HYPERLINK("https://patents.google.com/patent/CN201005941Y/en")</f>
        <v>https://patents.google.com/patent/CN201005941Y/en</v>
      </c>
    </row>
    <row r="12702" spans="3:5" x14ac:dyDescent="0.25">
      <c r="C12702" t="s">
        <v>23639</v>
      </c>
      <c r="D12702" t="s">
        <v>23640</v>
      </c>
      <c r="E12702" t="str">
        <f>HYPERLINK("https://patents.google.com/patent/JPH0679657A/en")</f>
        <v>https://patents.google.com/patent/JPH0679657A/en</v>
      </c>
    </row>
    <row r="12703" spans="3:5" x14ac:dyDescent="0.25">
      <c r="C12703" t="s">
        <v>23641</v>
      </c>
      <c r="D12703" t="s">
        <v>23642</v>
      </c>
      <c r="E12703" t="str">
        <f>HYPERLINK("https://patents.google.com/patent/JP2004142095A/en")</f>
        <v>https://patents.google.com/patent/JP2004142095A/en</v>
      </c>
    </row>
    <row r="12704" spans="3:5" x14ac:dyDescent="0.25">
      <c r="C12704" t="s">
        <v>23643</v>
      </c>
      <c r="D12704" t="s">
        <v>23644</v>
      </c>
      <c r="E12704" t="str">
        <f>HYPERLINK("https://patents.google.com/patent/KR100695468B1/en")</f>
        <v>https://patents.google.com/patent/KR100695468B1/en</v>
      </c>
    </row>
    <row r="12705" spans="3:5" x14ac:dyDescent="0.25">
      <c r="C12705" t="s">
        <v>23645</v>
      </c>
      <c r="D12705" t="s">
        <v>23646</v>
      </c>
      <c r="E12705" t="str">
        <f>HYPERLINK("https://patents.google.com/patent/US20120103124A1/en")</f>
        <v>https://patents.google.com/patent/US20120103124A1/en</v>
      </c>
    </row>
    <row r="12706" spans="3:5" x14ac:dyDescent="0.25">
      <c r="C12706" t="s">
        <v>23647</v>
      </c>
      <c r="D12706" t="s">
        <v>23648</v>
      </c>
      <c r="E12706" t="str">
        <f>HYPERLINK("https://patents.google.com/patent/JPH10138189A/en")</f>
        <v>https://patents.google.com/patent/JPH10138189A/en</v>
      </c>
    </row>
    <row r="12707" spans="3:5" x14ac:dyDescent="0.25">
      <c r="C12707" t="s">
        <v>23649</v>
      </c>
      <c r="D12707" t="s">
        <v>23650</v>
      </c>
      <c r="E12707" t="str">
        <f>HYPERLINK("https://patents.google.com/patent/US20120185087A1/en")</f>
        <v>https://patents.google.com/patent/US20120185087A1/en</v>
      </c>
    </row>
    <row r="12708" spans="3:5" x14ac:dyDescent="0.25">
      <c r="C12708" t="s">
        <v>23651</v>
      </c>
      <c r="D12708" t="s">
        <v>23652</v>
      </c>
      <c r="E12708" t="str">
        <f>HYPERLINK("https://patents.google.com/patent/JP2014182318A/en")</f>
        <v>https://patents.google.com/patent/JP2014182318A/en</v>
      </c>
    </row>
    <row r="12709" spans="3:5" x14ac:dyDescent="0.25">
      <c r="C12709" t="s">
        <v>23653</v>
      </c>
      <c r="D12709" t="s">
        <v>23654</v>
      </c>
      <c r="E12709" t="str">
        <f>HYPERLINK("https://patents.google.com/patent/US20110040407A1/en")</f>
        <v>https://patents.google.com/patent/US20110040407A1/en</v>
      </c>
    </row>
    <row r="12710" spans="3:5" x14ac:dyDescent="0.25">
      <c r="C12710" t="s">
        <v>23655</v>
      </c>
      <c r="D12710" t="s">
        <v>23656</v>
      </c>
      <c r="E12710" t="str">
        <f>HYPERLINK("https://patents.google.com/patent/JP2012045194A/en")</f>
        <v>https://patents.google.com/patent/JP2012045194A/en</v>
      </c>
    </row>
    <row r="12711" spans="3:5" x14ac:dyDescent="0.25">
      <c r="C12711" t="s">
        <v>23657</v>
      </c>
      <c r="D12711" t="s">
        <v>23658</v>
      </c>
      <c r="E12711" t="str">
        <f>HYPERLINK("https://patents.google.com/patent/CN101428656A/en")</f>
        <v>https://patents.google.com/patent/CN101428656A/en</v>
      </c>
    </row>
    <row r="12712" spans="3:5" x14ac:dyDescent="0.25">
      <c r="C12712" t="s">
        <v>23659</v>
      </c>
      <c r="D12712" t="s">
        <v>23660</v>
      </c>
      <c r="E12712" t="str">
        <f>HYPERLINK("https://patents.google.com/patent/US20120158182A1/en")</f>
        <v>https://patents.google.com/patent/US20120158182A1/en</v>
      </c>
    </row>
    <row r="12713" spans="3:5" x14ac:dyDescent="0.25">
      <c r="C12713" t="s">
        <v>23661</v>
      </c>
      <c r="D12713" t="s">
        <v>23662</v>
      </c>
      <c r="E12713" t="str">
        <f>HYPERLINK("https://patents.google.com/patent/WO2007139135A1/en")</f>
        <v>https://patents.google.com/patent/WO2007139135A1/en</v>
      </c>
    </row>
    <row r="12714" spans="3:5" x14ac:dyDescent="0.25">
      <c r="C12714" t="s">
        <v>23663</v>
      </c>
      <c r="D12714" t="s">
        <v>23664</v>
      </c>
      <c r="E12714" t="str">
        <f>HYPERLINK("https://patents.google.com/patent/US20110040410A1/en")</f>
        <v>https://patents.google.com/patent/US20110040410A1/en</v>
      </c>
    </row>
    <row r="12715" spans="3:5" x14ac:dyDescent="0.25">
      <c r="C12715" t="s">
        <v>23665</v>
      </c>
      <c r="D12715" t="s">
        <v>23666</v>
      </c>
      <c r="E12715" t="str">
        <f>HYPERLINK("https://patents.google.com/patent/CN2776799Y/en")</f>
        <v>https://patents.google.com/patent/CN2776799Y/en</v>
      </c>
    </row>
    <row r="12716" spans="3:5" x14ac:dyDescent="0.25">
      <c r="C12716" t="s">
        <v>14225</v>
      </c>
      <c r="D12716" t="s">
        <v>23667</v>
      </c>
      <c r="E12716" t="str">
        <f>HYPERLINK("https://patents.google.com/patent/US20110138550A1/en")</f>
        <v>https://patents.google.com/patent/US20110138550A1/en</v>
      </c>
    </row>
    <row r="12717" spans="3:5" x14ac:dyDescent="0.25">
      <c r="C12717" t="s">
        <v>23668</v>
      </c>
      <c r="D12717" t="s">
        <v>23669</v>
      </c>
      <c r="E12717" t="str">
        <f>HYPERLINK("https://patents.google.com/patent/US20090299523A1/en")</f>
        <v>https://patents.google.com/patent/US20090299523A1/en</v>
      </c>
    </row>
    <row r="12718" spans="3:5" x14ac:dyDescent="0.25">
      <c r="C12718" t="s">
        <v>23563</v>
      </c>
      <c r="D12718" t="s">
        <v>23670</v>
      </c>
      <c r="E12718" t="str">
        <f>HYPERLINK("https://patents.google.com/patent/CN1460052A/en")</f>
        <v>https://patents.google.com/patent/CN1460052A/en</v>
      </c>
    </row>
    <row r="12719" spans="3:5" x14ac:dyDescent="0.25">
      <c r="C12719" t="s">
        <v>23671</v>
      </c>
      <c r="D12719" t="s">
        <v>23672</v>
      </c>
      <c r="E12719" t="str">
        <f>HYPERLINK("https://patents.google.com/patent/JP2004181613A/en")</f>
        <v>https://patents.google.com/patent/JP2004181613A/en</v>
      </c>
    </row>
    <row r="12720" spans="3:5" x14ac:dyDescent="0.25">
      <c r="C12720" t="s">
        <v>23673</v>
      </c>
      <c r="D12720" t="s">
        <v>23674</v>
      </c>
      <c r="E12720" t="str">
        <f>HYPERLINK("https://patents.google.com/patent/JPH11192214A/en")</f>
        <v>https://patents.google.com/patent/JPH11192214A/en</v>
      </c>
    </row>
    <row r="12721" spans="3:5" x14ac:dyDescent="0.25">
      <c r="C12721" t="s">
        <v>23675</v>
      </c>
      <c r="D12721" t="s">
        <v>23676</v>
      </c>
      <c r="E12721" t="str">
        <f>HYPERLINK("https://patents.google.com/patent/CN1649698A/en")</f>
        <v>https://patents.google.com/patent/CN1649698A/en</v>
      </c>
    </row>
    <row r="12722" spans="3:5" x14ac:dyDescent="0.25">
      <c r="C12722" t="s">
        <v>23677</v>
      </c>
      <c r="D12722" t="s">
        <v>23678</v>
      </c>
      <c r="E12722" t="str">
        <f>HYPERLINK("https://patents.google.com/patent/US20110106307A1/en")</f>
        <v>https://patents.google.com/patent/US20110106307A1/en</v>
      </c>
    </row>
    <row r="12723" spans="3:5" x14ac:dyDescent="0.25">
      <c r="C12723" t="s">
        <v>23679</v>
      </c>
      <c r="D12723" t="s">
        <v>23680</v>
      </c>
      <c r="E12723" t="str">
        <f>HYPERLINK("https://patents.google.com/patent/US20050029979A1/en")</f>
        <v>https://patents.google.com/patent/US20050029979A1/en</v>
      </c>
    </row>
    <row r="12724" spans="3:5" x14ac:dyDescent="0.25">
      <c r="C12724" t="s">
        <v>23681</v>
      </c>
      <c r="D12724" t="s">
        <v>23682</v>
      </c>
      <c r="E12724" t="str">
        <f>HYPERLINK("https://patents.google.com/patent/JP2002210681A/en")</f>
        <v>https://patents.google.com/patent/JP2002210681A/en</v>
      </c>
    </row>
    <row r="12725" spans="3:5" x14ac:dyDescent="0.25">
      <c r="C12725" t="s">
        <v>23683</v>
      </c>
      <c r="D12725" t="s">
        <v>23684</v>
      </c>
      <c r="E12725" t="str">
        <f>HYPERLINK("https://patents.google.com/patent/CN101661569A/en")</f>
        <v>https://patents.google.com/patent/CN101661569A/en</v>
      </c>
    </row>
    <row r="12726" spans="3:5" x14ac:dyDescent="0.25">
      <c r="C12726" t="s">
        <v>23685</v>
      </c>
      <c r="D12726" t="s">
        <v>23686</v>
      </c>
      <c r="E12726" t="str">
        <f>HYPERLINK("https://patents.google.com/patent/CN105544443A/en")</f>
        <v>https://patents.google.com/patent/CN105544443A/en</v>
      </c>
    </row>
    <row r="12727" spans="3:5" x14ac:dyDescent="0.25">
      <c r="C12727" t="s">
        <v>23687</v>
      </c>
      <c r="D12727" t="s">
        <v>23688</v>
      </c>
      <c r="E12727" t="str">
        <f>HYPERLINK("https://patents.google.com/patent/US7266424B2/en")</f>
        <v>https://patents.google.com/patent/US7266424B2/en</v>
      </c>
    </row>
    <row r="12728" spans="3:5" x14ac:dyDescent="0.25">
      <c r="C12728" t="s">
        <v>23689</v>
      </c>
      <c r="D12728" t="s">
        <v>23690</v>
      </c>
      <c r="E12728" t="str">
        <f>HYPERLINK("https://patents.google.com/patent/JP2005131715A/en")</f>
        <v>https://patents.google.com/patent/JP2005131715A/en</v>
      </c>
    </row>
    <row r="12729" spans="3:5" x14ac:dyDescent="0.25">
      <c r="C12729" t="s">
        <v>23691</v>
      </c>
      <c r="D12729" t="s">
        <v>23692</v>
      </c>
      <c r="E12729" t="str">
        <f>HYPERLINK("https://patents.google.com/patent/CN101549715A/en")</f>
        <v>https://patents.google.com/patent/CN101549715A/en</v>
      </c>
    </row>
    <row r="12730" spans="3:5" x14ac:dyDescent="0.25">
      <c r="C12730" t="s">
        <v>23693</v>
      </c>
      <c r="D12730" t="s">
        <v>23694</v>
      </c>
      <c r="E12730" t="str">
        <f>HYPERLINK("https://patents.google.com/patent/US20110178636A1/en")</f>
        <v>https://patents.google.com/patent/US20110178636A1/en</v>
      </c>
    </row>
    <row r="12731" spans="3:5" x14ac:dyDescent="0.25">
      <c r="C12731" t="s">
        <v>23695</v>
      </c>
      <c r="D12731" t="s">
        <v>23696</v>
      </c>
      <c r="E12731" t="str">
        <f>HYPERLINK("https://patents.google.com/patent/CN101704454A/en")</f>
        <v>https://patents.google.com/patent/CN101704454A/en</v>
      </c>
    </row>
    <row r="12732" spans="3:5" x14ac:dyDescent="0.25">
      <c r="C12732" t="s">
        <v>23697</v>
      </c>
      <c r="D12732" t="s">
        <v>23698</v>
      </c>
      <c r="E12732" t="str">
        <f>HYPERLINK("https://patents.google.com/patent/CN101234486B/en")</f>
        <v>https://patents.google.com/patent/CN101234486B/en</v>
      </c>
    </row>
    <row r="12733" spans="3:5" x14ac:dyDescent="0.25">
      <c r="C12733" t="s">
        <v>23699</v>
      </c>
      <c r="D12733" t="s">
        <v>23700</v>
      </c>
      <c r="E12733" t="str">
        <f>HYPERLINK("https://patents.google.com/patent/CN203473969U/en")</f>
        <v>https://patents.google.com/patent/CN203473969U/en</v>
      </c>
    </row>
    <row r="12734" spans="3:5" x14ac:dyDescent="0.25">
      <c r="C12734" t="s">
        <v>7322</v>
      </c>
      <c r="D12734" t="s">
        <v>23701</v>
      </c>
      <c r="E12734" t="str">
        <f>HYPERLINK("https://patents.google.com/patent/US4728247A/en")</f>
        <v>https://patents.google.com/patent/US4728247A/en</v>
      </c>
    </row>
    <row r="12735" spans="3:5" x14ac:dyDescent="0.25">
      <c r="C12735" t="s">
        <v>23702</v>
      </c>
      <c r="D12735" t="s">
        <v>23703</v>
      </c>
      <c r="E12735" t="str">
        <f>HYPERLINK("https://patents.google.com/patent/CN2558375Y/en")</f>
        <v>https://patents.google.com/patent/CN2558375Y/en</v>
      </c>
    </row>
    <row r="12736" spans="3:5" x14ac:dyDescent="0.25">
      <c r="C12736" t="s">
        <v>23704</v>
      </c>
      <c r="D12736" t="s">
        <v>23705</v>
      </c>
      <c r="E12736" t="str">
        <f>HYPERLINK("https://patents.google.com/patent/CN102068363A/en")</f>
        <v>https://patents.google.com/patent/CN102068363A/en</v>
      </c>
    </row>
    <row r="12737" spans="3:5" x14ac:dyDescent="0.25">
      <c r="C12737" t="s">
        <v>23706</v>
      </c>
      <c r="D12737" t="s">
        <v>23707</v>
      </c>
      <c r="E12737" t="str">
        <f>HYPERLINK("https://patents.google.com/patent/US4782713A/en")</f>
        <v>https://patents.google.com/patent/US4782713A/en</v>
      </c>
    </row>
    <row r="12738" spans="3:5" x14ac:dyDescent="0.25">
      <c r="C12738" t="s">
        <v>19067</v>
      </c>
      <c r="D12738" t="s">
        <v>23708</v>
      </c>
      <c r="E12738" t="str">
        <f>HYPERLINK("https://patents.google.com/patent/US4708578A/en")</f>
        <v>https://patents.google.com/patent/US4708578A/en</v>
      </c>
    </row>
    <row r="12739" spans="3:5" x14ac:dyDescent="0.25">
      <c r="C12739" t="s">
        <v>23709</v>
      </c>
      <c r="D12739" t="s">
        <v>23710</v>
      </c>
      <c r="E12739" t="str">
        <f>HYPERLINK("https://patents.google.com/patent/EP2316322A2/en")</f>
        <v>https://patents.google.com/patent/EP2316322A2/en</v>
      </c>
    </row>
    <row r="12740" spans="3:5" x14ac:dyDescent="0.25">
      <c r="C12740" t="s">
        <v>23711</v>
      </c>
      <c r="D12740" t="s">
        <v>23712</v>
      </c>
      <c r="E12740" t="str">
        <f>HYPERLINK("https://patents.google.com/patent/CN101859989A/en")</f>
        <v>https://patents.google.com/patent/CN101859989A/en</v>
      </c>
    </row>
    <row r="12741" spans="3:5" x14ac:dyDescent="0.25">
      <c r="C12741" t="s">
        <v>23713</v>
      </c>
      <c r="D12741" t="s">
        <v>23714</v>
      </c>
      <c r="E12741" t="str">
        <f>HYPERLINK("https://patents.google.com/patent/CN1923465A/en")</f>
        <v>https://patents.google.com/patent/CN1923465A/en</v>
      </c>
    </row>
    <row r="12742" spans="3:5" x14ac:dyDescent="0.25">
      <c r="C12742" t="s">
        <v>23715</v>
      </c>
      <c r="D12742" t="s">
        <v>23716</v>
      </c>
      <c r="E12742" t="str">
        <f>HYPERLINK("https://patents.google.com/patent/CN2628239Y/en")</f>
        <v>https://patents.google.com/patent/CN2628239Y/en</v>
      </c>
    </row>
    <row r="12743" spans="3:5" x14ac:dyDescent="0.25">
      <c r="C12743" t="s">
        <v>23717</v>
      </c>
      <c r="D12743" t="s">
        <v>23718</v>
      </c>
      <c r="E12743" t="str">
        <f>HYPERLINK("https://patents.google.com/patent/JP2006326739A/en")</f>
        <v>https://patents.google.com/patent/JP2006326739A/en</v>
      </c>
    </row>
    <row r="12744" spans="3:5" x14ac:dyDescent="0.25">
      <c r="C12744" t="s">
        <v>23719</v>
      </c>
      <c r="D12744" t="s">
        <v>23720</v>
      </c>
      <c r="E12744" t="str">
        <f>HYPERLINK("https://patents.google.com/patent/CN102922516A/en")</f>
        <v>https://patents.google.com/patent/CN102922516A/en</v>
      </c>
    </row>
    <row r="12745" spans="3:5" x14ac:dyDescent="0.25">
      <c r="C12745" t="s">
        <v>23721</v>
      </c>
      <c r="D12745" t="s">
        <v>23722</v>
      </c>
      <c r="E12745" t="str">
        <f>HYPERLINK("https://patents.google.com/patent/US4024961A/en")</f>
        <v>https://patents.google.com/patent/US4024961A/en</v>
      </c>
    </row>
    <row r="12746" spans="3:5" x14ac:dyDescent="0.25">
      <c r="C12746" t="s">
        <v>23723</v>
      </c>
      <c r="D12746" t="s">
        <v>23724</v>
      </c>
      <c r="E12746" t="str">
        <f>HYPERLINK("https://patents.google.com/patent/US8965573B2/en")</f>
        <v>https://patents.google.com/patent/US8965573B2/en</v>
      </c>
    </row>
    <row r="12747" spans="3:5" x14ac:dyDescent="0.25">
      <c r="C12747" t="s">
        <v>7322</v>
      </c>
      <c r="D12747" t="s">
        <v>23725</v>
      </c>
      <c r="E12747" t="str">
        <f>HYPERLINK("https://patents.google.com/patent/JPH0631680A/en")</f>
        <v>https://patents.google.com/patent/JPH0631680A/en</v>
      </c>
    </row>
    <row r="12748" spans="3:5" x14ac:dyDescent="0.25">
      <c r="C12748" t="s">
        <v>23726</v>
      </c>
      <c r="D12748" t="s">
        <v>23727</v>
      </c>
      <c r="E12748" t="str">
        <f>HYPERLINK("https://patents.google.com/patent/JP2005111595A/en")</f>
        <v>https://patents.google.com/patent/JP2005111595A/en</v>
      </c>
    </row>
    <row r="12749" spans="3:5" x14ac:dyDescent="0.25">
      <c r="C12749" t="s">
        <v>23728</v>
      </c>
      <c r="D12749" t="s">
        <v>23729</v>
      </c>
      <c r="E12749" t="str">
        <f>HYPERLINK("https://patents.google.com/patent/CN102135221A/en")</f>
        <v>https://patents.google.com/patent/CN102135221A/en</v>
      </c>
    </row>
    <row r="12750" spans="3:5" x14ac:dyDescent="0.25">
      <c r="C12750" t="s">
        <v>23730</v>
      </c>
      <c r="D12750" t="s">
        <v>23731</v>
      </c>
      <c r="E12750" t="str">
        <f>HYPERLINK("https://patents.google.com/patent/CN201683852U/en")</f>
        <v>https://patents.google.com/patent/CN201683852U/en</v>
      </c>
    </row>
    <row r="12751" spans="3:5" x14ac:dyDescent="0.25">
      <c r="C12751" t="s">
        <v>23732</v>
      </c>
      <c r="D12751" t="s">
        <v>23733</v>
      </c>
      <c r="E12751" t="str">
        <f>HYPERLINK("https://patents.google.com/patent/US20130131865A1/en")</f>
        <v>https://patents.google.com/patent/US20130131865A1/en</v>
      </c>
    </row>
    <row r="12752" spans="3:5" x14ac:dyDescent="0.25">
      <c r="C12752" t="s">
        <v>23734</v>
      </c>
      <c r="D12752" t="s">
        <v>23735</v>
      </c>
      <c r="E12752" t="str">
        <f>HYPERLINK("https://patents.google.com/patent/JP2002086373A/en")</f>
        <v>https://patents.google.com/patent/JP2002086373A/en</v>
      </c>
    </row>
    <row r="12753" spans="3:5" x14ac:dyDescent="0.25">
      <c r="C12753" t="s">
        <v>23736</v>
      </c>
      <c r="D12753" t="s">
        <v>23737</v>
      </c>
      <c r="E12753" t="str">
        <f>HYPERLINK("https://patents.google.com/patent/CN1279147A/en")</f>
        <v>https://patents.google.com/patent/CN1279147A/en</v>
      </c>
    </row>
    <row r="12754" spans="3:5" x14ac:dyDescent="0.25">
      <c r="C12754" t="s">
        <v>23738</v>
      </c>
      <c r="D12754" t="s">
        <v>23739</v>
      </c>
      <c r="E12754" t="str">
        <f>HYPERLINK("https://patents.google.com/patent/CN201134009Y/en")</f>
        <v>https://patents.google.com/patent/CN201134009Y/en</v>
      </c>
    </row>
    <row r="12755" spans="3:5" x14ac:dyDescent="0.25">
      <c r="C12755" t="s">
        <v>23740</v>
      </c>
      <c r="D12755" t="s">
        <v>23741</v>
      </c>
      <c r="E12755" t="str">
        <f>HYPERLINK("https://patents.google.com/patent/WO2004103176A1/en")</f>
        <v>https://patents.google.com/patent/WO2004103176A1/en</v>
      </c>
    </row>
    <row r="12756" spans="3:5" x14ac:dyDescent="0.25">
      <c r="C12756" t="s">
        <v>23742</v>
      </c>
      <c r="D12756" t="s">
        <v>23743</v>
      </c>
      <c r="E12756" t="str">
        <f>HYPERLINK("https://patents.google.com/patent/CN101106952A/en")</f>
        <v>https://patents.google.com/patent/CN101106952A/en</v>
      </c>
    </row>
    <row r="12757" spans="3:5" x14ac:dyDescent="0.25">
      <c r="C12757" t="s">
        <v>23744</v>
      </c>
      <c r="D12757" t="s">
        <v>23745</v>
      </c>
      <c r="E12757" t="str">
        <f>HYPERLINK("https://patents.google.com/patent/CN101075096A/en")</f>
        <v>https://patents.google.com/patent/CN101075096A/en</v>
      </c>
    </row>
    <row r="12758" spans="3:5" x14ac:dyDescent="0.25">
      <c r="C12758" t="s">
        <v>23746</v>
      </c>
      <c r="D12758" t="s">
        <v>23747</v>
      </c>
      <c r="E12758" t="str">
        <f>HYPERLINK("https://patents.google.com/patent/CN1973805A/en")</f>
        <v>https://patents.google.com/patent/CN1973805A/en</v>
      </c>
    </row>
    <row r="12759" spans="3:5" x14ac:dyDescent="0.25">
      <c r="C12759" t="s">
        <v>7481</v>
      </c>
      <c r="D12759" t="s">
        <v>23748</v>
      </c>
      <c r="E12759" t="str">
        <f>HYPERLINK("https://patents.google.com/patent/US7784570B2/en")</f>
        <v>https://patents.google.com/patent/US7784570B2/en</v>
      </c>
    </row>
    <row r="12760" spans="3:5" x14ac:dyDescent="0.25">
      <c r="C12760" t="s">
        <v>23693</v>
      </c>
      <c r="D12760" t="s">
        <v>23749</v>
      </c>
      <c r="E12760" t="str">
        <f>HYPERLINK("https://patents.google.com/patent/US20110178639A1/en")</f>
        <v>https://patents.google.com/patent/US20110178639A1/en</v>
      </c>
    </row>
    <row r="12761" spans="3:5" x14ac:dyDescent="0.25">
      <c r="C12761" t="s">
        <v>23750</v>
      </c>
      <c r="D12761" t="s">
        <v>23751</v>
      </c>
      <c r="E12761" t="str">
        <f>HYPERLINK("https://patents.google.com/patent/US5606153A/en")</f>
        <v>https://patents.google.com/patent/US5606153A/en</v>
      </c>
    </row>
    <row r="12762" spans="3:5" x14ac:dyDescent="0.25">
      <c r="C12762" t="s">
        <v>23752</v>
      </c>
      <c r="D12762" t="s">
        <v>23753</v>
      </c>
      <c r="E12762" t="str">
        <f>HYPERLINK("https://patents.google.com/patent/CN204071961U/en")</f>
        <v>https://patents.google.com/patent/CN204071961U/en</v>
      </c>
    </row>
    <row r="12763" spans="3:5" x14ac:dyDescent="0.25">
      <c r="C12763" t="s">
        <v>23589</v>
      </c>
      <c r="D12763" t="s">
        <v>23754</v>
      </c>
      <c r="E12763" t="str">
        <f>HYPERLINK("https://patents.google.com/patent/US20130144439A1/en")</f>
        <v>https://patents.google.com/patent/US20130144439A1/en</v>
      </c>
    </row>
    <row r="12764" spans="3:5" x14ac:dyDescent="0.25">
      <c r="C12764" t="s">
        <v>23755</v>
      </c>
      <c r="D12764" t="s">
        <v>23756</v>
      </c>
      <c r="E12764" t="str">
        <f>HYPERLINK("https://patents.google.com/patent/US20130054021A1/en")</f>
        <v>https://patents.google.com/patent/US20130054021A1/en</v>
      </c>
    </row>
    <row r="12765" spans="3:5" x14ac:dyDescent="0.25">
      <c r="C12765" t="s">
        <v>23757</v>
      </c>
      <c r="D12765" t="s">
        <v>23758</v>
      </c>
      <c r="E12765" t="str">
        <f>HYPERLINK("https://patents.google.com/patent/KR100719347B1/en")</f>
        <v>https://patents.google.com/patent/KR100719347B1/en</v>
      </c>
    </row>
    <row r="12766" spans="3:5" x14ac:dyDescent="0.25">
      <c r="C12766" t="s">
        <v>23759</v>
      </c>
      <c r="D12766" t="s">
        <v>23760</v>
      </c>
      <c r="E12766" t="str">
        <f>HYPERLINK("https://patents.google.com/patent/US20120078415A1/en")</f>
        <v>https://patents.google.com/patent/US20120078415A1/en</v>
      </c>
    </row>
    <row r="12767" spans="3:5" x14ac:dyDescent="0.25">
      <c r="C12767" t="s">
        <v>23761</v>
      </c>
      <c r="D12767" t="s">
        <v>23762</v>
      </c>
      <c r="E12767" t="str">
        <f>HYPERLINK("https://patents.google.com/patent/CN102743270A/en")</f>
        <v>https://patents.google.com/patent/CN102743270A/en</v>
      </c>
    </row>
    <row r="12768" spans="3:5" x14ac:dyDescent="0.25">
      <c r="C12768" t="s">
        <v>23763</v>
      </c>
      <c r="D12768" t="s">
        <v>23764</v>
      </c>
      <c r="E12768" t="str">
        <f>HYPERLINK("https://patents.google.com/patent/WO2009125397A2/en")</f>
        <v>https://patents.google.com/patent/WO2009125397A2/en</v>
      </c>
    </row>
    <row r="12769" spans="3:5" x14ac:dyDescent="0.25">
      <c r="C12769" t="s">
        <v>23765</v>
      </c>
      <c r="D12769" t="s">
        <v>23766</v>
      </c>
      <c r="E12769" t="str">
        <f>HYPERLINK("https://patents.google.com/patent/JP2005014108A/en")</f>
        <v>https://patents.google.com/patent/JP2005014108A/en</v>
      </c>
    </row>
    <row r="12770" spans="3:5" x14ac:dyDescent="0.25">
      <c r="C12770" t="s">
        <v>23767</v>
      </c>
      <c r="D12770" t="s">
        <v>23768</v>
      </c>
      <c r="E12770" t="str">
        <f>HYPERLINK("https://patents.google.com/patent/US4598601A/en")</f>
        <v>https://patents.google.com/patent/US4598601A/en</v>
      </c>
    </row>
    <row r="12771" spans="3:5" x14ac:dyDescent="0.25">
      <c r="C12771" t="s">
        <v>23769</v>
      </c>
      <c r="D12771" t="s">
        <v>23770</v>
      </c>
      <c r="E12771" t="str">
        <f>HYPERLINK("https://patents.google.com/patent/US6330494B1/en")</f>
        <v>https://patents.google.com/patent/US6330494B1/en</v>
      </c>
    </row>
    <row r="12772" spans="3:5" x14ac:dyDescent="0.25">
      <c r="C12772" t="s">
        <v>23771</v>
      </c>
      <c r="D12772" t="s">
        <v>23772</v>
      </c>
      <c r="E12772" t="str">
        <f>HYPERLINK("https://patents.google.com/patent/US20100161118A1/en")</f>
        <v>https://patents.google.com/patent/US20100161118A1/en</v>
      </c>
    </row>
    <row r="12773" spans="3:5" x14ac:dyDescent="0.25">
      <c r="C12773" t="s">
        <v>23773</v>
      </c>
      <c r="D12773" t="s">
        <v>23774</v>
      </c>
      <c r="E12773" t="str">
        <f>HYPERLINK("https://patents.google.com/patent/US5214749A/en")</f>
        <v>https://patents.google.com/patent/US5214749A/en</v>
      </c>
    </row>
    <row r="12774" spans="3:5" x14ac:dyDescent="0.25">
      <c r="C12774" t="s">
        <v>23775</v>
      </c>
      <c r="D12774" t="s">
        <v>23776</v>
      </c>
      <c r="E12774" t="str">
        <f>HYPERLINK("https://patents.google.com/patent/US5806518A/en")</f>
        <v>https://patents.google.com/patent/US5806518A/en</v>
      </c>
    </row>
    <row r="12775" spans="3:5" x14ac:dyDescent="0.25">
      <c r="C12775" t="s">
        <v>23777</v>
      </c>
      <c r="D12775" t="s">
        <v>23778</v>
      </c>
      <c r="E12775" t="str">
        <f>HYPERLINK("https://patents.google.com/patent/CN102961080A/en")</f>
        <v>https://patents.google.com/patent/CN102961080A/en</v>
      </c>
    </row>
    <row r="12776" spans="3:5" x14ac:dyDescent="0.25">
      <c r="C12776" t="s">
        <v>7532</v>
      </c>
      <c r="D12776" t="s">
        <v>23779</v>
      </c>
      <c r="E12776" t="str">
        <f>HYPERLINK("https://patents.google.com/patent/US20130128035A1/en")</f>
        <v>https://patents.google.com/patent/US20130128035A1/en</v>
      </c>
    </row>
    <row r="12777" spans="3:5" x14ac:dyDescent="0.25">
      <c r="C12777" t="s">
        <v>23780</v>
      </c>
      <c r="D12777" t="s">
        <v>23781</v>
      </c>
      <c r="E12777" t="str">
        <f>HYPERLINK("https://patents.google.com/patent/CN101554890A/en")</f>
        <v>https://patents.google.com/patent/CN101554890A/en</v>
      </c>
    </row>
    <row r="12778" spans="3:5" x14ac:dyDescent="0.25">
      <c r="C12778" t="s">
        <v>23782</v>
      </c>
      <c r="D12778" t="s">
        <v>23783</v>
      </c>
      <c r="E12778" t="str">
        <f>HYPERLINK("https://patents.google.com/patent/CN2673583Y/en")</f>
        <v>https://patents.google.com/patent/CN2673583Y/en</v>
      </c>
    </row>
    <row r="12779" spans="3:5" x14ac:dyDescent="0.25">
      <c r="C12779" t="s">
        <v>15711</v>
      </c>
      <c r="D12779" t="s">
        <v>23784</v>
      </c>
      <c r="E12779" t="str">
        <f>HYPERLINK("https://patents.google.com/patent/JPH11238775A/en")</f>
        <v>https://patents.google.com/patent/JPH11238775A/en</v>
      </c>
    </row>
    <row r="12780" spans="3:5" x14ac:dyDescent="0.25">
      <c r="C12780" t="s">
        <v>23785</v>
      </c>
      <c r="D12780" t="s">
        <v>23786</v>
      </c>
      <c r="E12780" t="str">
        <f>HYPERLINK("https://patents.google.com/patent/US5363885A/en")</f>
        <v>https://patents.google.com/patent/US5363885A/en</v>
      </c>
    </row>
    <row r="12781" spans="3:5" x14ac:dyDescent="0.25">
      <c r="C12781" t="s">
        <v>23787</v>
      </c>
      <c r="D12781" t="s">
        <v>23788</v>
      </c>
      <c r="E12781" t="str">
        <f>HYPERLINK("https://patents.google.com/patent/US5455497A/en")</f>
        <v>https://patents.google.com/patent/US5455497A/en</v>
      </c>
    </row>
    <row r="12782" spans="3:5" x14ac:dyDescent="0.25">
      <c r="C12782" t="s">
        <v>23789</v>
      </c>
      <c r="D12782" t="s">
        <v>23790</v>
      </c>
      <c r="E12782" t="str">
        <f>HYPERLINK("https://patents.google.com/patent/US5432417A/en")</f>
        <v>https://patents.google.com/patent/US5432417A/en</v>
      </c>
    </row>
    <row r="12783" spans="3:5" x14ac:dyDescent="0.25">
      <c r="C12783" t="s">
        <v>20309</v>
      </c>
      <c r="D12783" t="s">
        <v>23791</v>
      </c>
      <c r="E12783" t="str">
        <f>HYPERLINK("https://patents.google.com/patent/US6289265B1/en")</f>
        <v>https://patents.google.com/patent/US6289265B1/en</v>
      </c>
    </row>
    <row r="12784" spans="3:5" x14ac:dyDescent="0.25">
      <c r="C12784" t="s">
        <v>23792</v>
      </c>
      <c r="D12784" t="s">
        <v>23793</v>
      </c>
      <c r="E12784" t="str">
        <f>HYPERLINK("https://patents.google.com/patent/US5397323A/en")</f>
        <v>https://patents.google.com/patent/US5397323A/en</v>
      </c>
    </row>
    <row r="12785" spans="3:5" x14ac:dyDescent="0.25">
      <c r="C12785" t="s">
        <v>23794</v>
      </c>
      <c r="D12785" t="s">
        <v>23795</v>
      </c>
      <c r="E12785" t="str">
        <f>HYPERLINK("https://patents.google.com/patent/CN1605514A/en")</f>
        <v>https://patents.google.com/patent/CN1605514A/en</v>
      </c>
    </row>
    <row r="12786" spans="3:5" x14ac:dyDescent="0.25">
      <c r="C12786" t="s">
        <v>23796</v>
      </c>
      <c r="D12786" t="s">
        <v>23797</v>
      </c>
      <c r="E12786" t="str">
        <f>HYPERLINK("https://patents.google.com/patent/US20060058920A1/en")</f>
        <v>https://patents.google.com/patent/US20060058920A1/en</v>
      </c>
    </row>
    <row r="12787" spans="3:5" x14ac:dyDescent="0.25">
      <c r="C12787" t="s">
        <v>23798</v>
      </c>
      <c r="D12787" t="s">
        <v>23799</v>
      </c>
      <c r="E12787" t="str">
        <f>HYPERLINK("https://patents.google.com/patent/US20080173493A1/en")</f>
        <v>https://patents.google.com/patent/US20080173493A1/en</v>
      </c>
    </row>
    <row r="12788" spans="3:5" x14ac:dyDescent="0.25">
      <c r="C12788" t="s">
        <v>23800</v>
      </c>
      <c r="D12788" t="s">
        <v>23801</v>
      </c>
      <c r="E12788" t="str">
        <f>HYPERLINK("https://patents.google.com/patent/CN102514645A/en")</f>
        <v>https://patents.google.com/patent/CN102514645A/en</v>
      </c>
    </row>
    <row r="12789" spans="3:5" x14ac:dyDescent="0.25">
      <c r="C12789" t="s">
        <v>23802</v>
      </c>
      <c r="D12789" t="s">
        <v>23803</v>
      </c>
      <c r="E12789" t="str">
        <f>HYPERLINK("https://patents.google.com/patent/US6705827B2/en")</f>
        <v>https://patents.google.com/patent/US6705827B2/en</v>
      </c>
    </row>
    <row r="12790" spans="3:5" x14ac:dyDescent="0.25">
      <c r="C12790" t="s">
        <v>23804</v>
      </c>
      <c r="D12790" t="s">
        <v>23805</v>
      </c>
      <c r="E12790" t="str">
        <f>HYPERLINK("https://patents.google.com/patent/CN102700695A/en")</f>
        <v>https://patents.google.com/patent/CN102700695A/en</v>
      </c>
    </row>
    <row r="12791" spans="3:5" x14ac:dyDescent="0.25">
      <c r="C12791" t="s">
        <v>23806</v>
      </c>
      <c r="D12791" t="s">
        <v>23807</v>
      </c>
      <c r="E12791" t="str">
        <f>HYPERLINK("https://patents.google.com/patent/CN101288620A/en")</f>
        <v>https://patents.google.com/patent/CN101288620A/en</v>
      </c>
    </row>
    <row r="12792" spans="3:5" x14ac:dyDescent="0.25">
      <c r="C12792" t="s">
        <v>6986</v>
      </c>
      <c r="D12792" t="s">
        <v>23808</v>
      </c>
      <c r="E12792" t="str">
        <f>HYPERLINK("https://patents.google.com/patent/US4641251A/en")</f>
        <v>https://patents.google.com/patent/US4641251A/en</v>
      </c>
    </row>
    <row r="12793" spans="3:5" x14ac:dyDescent="0.25">
      <c r="C12793" t="s">
        <v>23809</v>
      </c>
      <c r="D12793" t="s">
        <v>23810</v>
      </c>
      <c r="E12793" t="str">
        <f>HYPERLINK("https://patents.google.com/patent/US5929585A/en")</f>
        <v>https://patents.google.com/patent/US5929585A/en</v>
      </c>
    </row>
    <row r="12794" spans="3:5" x14ac:dyDescent="0.25">
      <c r="C12794" t="s">
        <v>23811</v>
      </c>
      <c r="D12794" t="s">
        <v>23812</v>
      </c>
      <c r="E12794" t="str">
        <f>HYPERLINK("https://patents.google.com/patent/US6901313B2/en")</f>
        <v>https://patents.google.com/patent/US6901313B2/en</v>
      </c>
    </row>
    <row r="12795" spans="3:5" x14ac:dyDescent="0.25">
      <c r="C12795" t="s">
        <v>23813</v>
      </c>
      <c r="D12795" t="s">
        <v>23814</v>
      </c>
      <c r="E12795" t="str">
        <f>HYPERLINK("https://patents.google.com/patent/US8764085B2/en")</f>
        <v>https://patents.google.com/patent/US8764085B2/en</v>
      </c>
    </row>
    <row r="12796" spans="3:5" x14ac:dyDescent="0.25">
      <c r="C12796" t="s">
        <v>23815</v>
      </c>
      <c r="D12796" t="s">
        <v>23816</v>
      </c>
      <c r="E12796" t="str">
        <f>HYPERLINK("https://patents.google.com/patent/US4835707A/en")</f>
        <v>https://patents.google.com/patent/US4835707A/en</v>
      </c>
    </row>
    <row r="12797" spans="3:5" x14ac:dyDescent="0.25">
      <c r="C12797" t="s">
        <v>23817</v>
      </c>
      <c r="D12797" t="s">
        <v>23818</v>
      </c>
      <c r="E12797" t="str">
        <f>HYPERLINK("https://patents.google.com/patent/US6220865B1/en")</f>
        <v>https://patents.google.com/patent/US6220865B1/en</v>
      </c>
    </row>
    <row r="12798" spans="3:5" x14ac:dyDescent="0.25">
      <c r="C12798" t="s">
        <v>23819</v>
      </c>
      <c r="D12798" t="s">
        <v>23820</v>
      </c>
      <c r="E12798" t="str">
        <f>HYPERLINK("https://patents.google.com/patent/US20090268010A1/en")</f>
        <v>https://patents.google.com/patent/US20090268010A1/en</v>
      </c>
    </row>
    <row r="12799" spans="3:5" x14ac:dyDescent="0.25">
      <c r="C12799" t="s">
        <v>23821</v>
      </c>
      <c r="D12799" t="s">
        <v>23822</v>
      </c>
      <c r="E12799" t="str">
        <f>HYPERLINK("https://patents.google.com/patent/US4442387A/en")</f>
        <v>https://patents.google.com/patent/US4442387A/en</v>
      </c>
    </row>
    <row r="12800" spans="3:5" x14ac:dyDescent="0.25">
      <c r="C12800" t="s">
        <v>23823</v>
      </c>
      <c r="D12800" t="s">
        <v>23824</v>
      </c>
      <c r="E12800" t="str">
        <f>HYPERLINK("https://patents.google.com/patent/US5811951A/en")</f>
        <v>https://patents.google.com/patent/US5811951A/en</v>
      </c>
    </row>
    <row r="12801" spans="3:5" x14ac:dyDescent="0.25">
      <c r="C12801" t="s">
        <v>23589</v>
      </c>
      <c r="D12801" t="s">
        <v>23825</v>
      </c>
      <c r="E12801" t="str">
        <f>HYPERLINK("https://patents.google.com/patent/US20130158712A1/en")</f>
        <v>https://patents.google.com/patent/US20130158712A1/en</v>
      </c>
    </row>
    <row r="12802" spans="3:5" x14ac:dyDescent="0.25">
      <c r="C12802" t="s">
        <v>23826</v>
      </c>
      <c r="D12802" t="s">
        <v>23827</v>
      </c>
      <c r="E12802" t="str">
        <f>HYPERLINK("https://patents.google.com/patent/US5321634A/en")</f>
        <v>https://patents.google.com/patent/US5321634A/en</v>
      </c>
    </row>
    <row r="12803" spans="3:5" x14ac:dyDescent="0.25">
      <c r="C12803" t="s">
        <v>23828</v>
      </c>
      <c r="D12803" t="s">
        <v>23829</v>
      </c>
      <c r="E12803" t="str">
        <f>HYPERLINK("https://patents.google.com/patent/CN2215972Y/en")</f>
        <v>https://patents.google.com/patent/CN2215972Y/en</v>
      </c>
    </row>
    <row r="12804" spans="3:5" x14ac:dyDescent="0.25">
      <c r="C12804" t="s">
        <v>23830</v>
      </c>
      <c r="D12804" t="s">
        <v>23831</v>
      </c>
      <c r="E12804" t="str">
        <f>HYPERLINK("https://patents.google.com/patent/US6108460A/en")</f>
        <v>https://patents.google.com/patent/US6108460A/en</v>
      </c>
    </row>
    <row r="12805" spans="3:5" x14ac:dyDescent="0.25">
      <c r="C12805" t="s">
        <v>23519</v>
      </c>
      <c r="D12805" t="s">
        <v>23832</v>
      </c>
      <c r="E12805" t="str">
        <f>HYPERLINK("https://patents.google.com/patent/US5054332A/en")</f>
        <v>https://patents.google.com/patent/US5054332A/en</v>
      </c>
    </row>
    <row r="12806" spans="3:5" x14ac:dyDescent="0.25">
      <c r="C12806" t="s">
        <v>23833</v>
      </c>
      <c r="D12806" t="s">
        <v>23834</v>
      </c>
      <c r="E12806" t="str">
        <f>HYPERLINK("https://patents.google.com/patent/US9198714B2/en")</f>
        <v>https://patents.google.com/patent/US9198714B2/en</v>
      </c>
    </row>
    <row r="12807" spans="3:5" x14ac:dyDescent="0.25">
      <c r="C12807" t="s">
        <v>23835</v>
      </c>
      <c r="D12807" t="s">
        <v>23836</v>
      </c>
      <c r="E12807" t="str">
        <f>HYPERLINK("https://patents.google.com/patent/US6141862A/en")</f>
        <v>https://patents.google.com/patent/US6141862A/en</v>
      </c>
    </row>
    <row r="12808" spans="3:5" x14ac:dyDescent="0.25">
      <c r="C12808" t="s">
        <v>23837</v>
      </c>
      <c r="D12808" t="s">
        <v>23838</v>
      </c>
      <c r="E12808" t="str">
        <f>HYPERLINK("https://patents.google.com/patent/US20050228540A1/en")</f>
        <v>https://patents.google.com/patent/US20050228540A1/en</v>
      </c>
    </row>
    <row r="12809" spans="3:5" x14ac:dyDescent="0.25">
      <c r="C12809" t="s">
        <v>23839</v>
      </c>
      <c r="D12809" t="s">
        <v>23840</v>
      </c>
      <c r="E12809" t="str">
        <f>HYPERLINK("https://patents.google.com/patent/US5445235A/en")</f>
        <v>https://patents.google.com/patent/US5445235A/en</v>
      </c>
    </row>
    <row r="12810" spans="3:5" x14ac:dyDescent="0.25">
      <c r="C12810" t="s">
        <v>23841</v>
      </c>
      <c r="D12810" t="s">
        <v>23842</v>
      </c>
      <c r="E12810" t="str">
        <f>HYPERLINK("https://patents.google.com/patent/US6779217B2/en")</f>
        <v>https://patents.google.com/patent/US6779217B2/en</v>
      </c>
    </row>
    <row r="12811" spans="3:5" x14ac:dyDescent="0.25">
      <c r="C12811" t="s">
        <v>23843</v>
      </c>
      <c r="D12811" t="s">
        <v>23844</v>
      </c>
      <c r="E12811" t="str">
        <f>HYPERLINK("https://patents.google.com/patent/US4396344A/en")</f>
        <v>https://patents.google.com/patent/US4396344A/en</v>
      </c>
    </row>
    <row r="12812" spans="3:5" x14ac:dyDescent="0.25">
      <c r="C12812" t="s">
        <v>23845</v>
      </c>
      <c r="D12812" t="s">
        <v>23846</v>
      </c>
      <c r="E12812" t="str">
        <f>HYPERLINK("https://patents.google.com/patent/US4798250A/en")</f>
        <v>https://patents.google.com/patent/US4798250A/en</v>
      </c>
    </row>
    <row r="12813" spans="3:5" x14ac:dyDescent="0.25">
      <c r="C12813" t="s">
        <v>23847</v>
      </c>
      <c r="D12813" t="s">
        <v>23848</v>
      </c>
      <c r="E12813" t="str">
        <f>HYPERLINK("https://patents.google.com/patent/JP2004322283A/en")</f>
        <v>https://patents.google.com/patent/JP2004322283A/en</v>
      </c>
    </row>
    <row r="12814" spans="3:5" x14ac:dyDescent="0.25">
      <c r="C12814" t="s">
        <v>23849</v>
      </c>
      <c r="D12814" t="s">
        <v>23850</v>
      </c>
      <c r="E12814" t="str">
        <f>HYPERLINK("https://patents.google.com/patent/CN203102008U/en")</f>
        <v>https://patents.google.com/patent/CN203102008U/en</v>
      </c>
    </row>
    <row r="12815" spans="3:5" x14ac:dyDescent="0.25">
      <c r="C12815" t="s">
        <v>12467</v>
      </c>
      <c r="D12815" t="s">
        <v>23851</v>
      </c>
      <c r="E12815" t="str">
        <f>HYPERLINK("https://patents.google.com/patent/US7546891B2/en")</f>
        <v>https://patents.google.com/patent/US7546891B2/en</v>
      </c>
    </row>
    <row r="12816" spans="3:5" x14ac:dyDescent="0.25">
      <c r="C12816" t="s">
        <v>23852</v>
      </c>
      <c r="D12816" t="s">
        <v>23853</v>
      </c>
      <c r="E12816" t="str">
        <f>HYPERLINK("https://patents.google.com/patent/JP2010149214A/en")</f>
        <v>https://patents.google.com/patent/JP2010149214A/en</v>
      </c>
    </row>
    <row r="12817" spans="3:5" x14ac:dyDescent="0.25">
      <c r="C12817" t="s">
        <v>23854</v>
      </c>
      <c r="D12817" t="s">
        <v>23855</v>
      </c>
      <c r="E12817" t="str">
        <f>HYPERLINK("https://patents.google.com/patent/KR100823006B1/en")</f>
        <v>https://patents.google.com/patent/KR100823006B1/en</v>
      </c>
    </row>
    <row r="12818" spans="3:5" x14ac:dyDescent="0.25">
      <c r="C12818" t="s">
        <v>23856</v>
      </c>
      <c r="D12818" t="s">
        <v>23857</v>
      </c>
      <c r="E12818" t="str">
        <f>HYPERLINK("https://patents.google.com/patent/US20060012198A1/en")</f>
        <v>https://patents.google.com/patent/US20060012198A1/en</v>
      </c>
    </row>
    <row r="12819" spans="3:5" x14ac:dyDescent="0.25">
      <c r="C12819" t="s">
        <v>23858</v>
      </c>
      <c r="D12819" t="s">
        <v>23859</v>
      </c>
      <c r="E12819" t="str">
        <f>HYPERLINK("https://patents.google.com/patent/CN1664486A/en")</f>
        <v>https://patents.google.com/patent/CN1664486A/en</v>
      </c>
    </row>
    <row r="12820" spans="3:5" x14ac:dyDescent="0.25">
      <c r="C12820" t="s">
        <v>23860</v>
      </c>
      <c r="D12820" t="s">
        <v>23861</v>
      </c>
      <c r="E12820" t="str">
        <f>HYPERLINK("https://patents.google.com/patent/US7141213B1/en")</f>
        <v>https://patents.google.com/patent/US7141213B1/en</v>
      </c>
    </row>
    <row r="12821" spans="3:5" x14ac:dyDescent="0.25">
      <c r="C12821" t="s">
        <v>6848</v>
      </c>
      <c r="D12821" t="s">
        <v>23862</v>
      </c>
      <c r="E12821" t="str">
        <f>HYPERLINK("https://patents.google.com/patent/US8004229B2/en")</f>
        <v>https://patents.google.com/patent/US8004229B2/en</v>
      </c>
    </row>
    <row r="12822" spans="3:5" x14ac:dyDescent="0.25">
      <c r="C12822" t="s">
        <v>23863</v>
      </c>
      <c r="D12822" t="s">
        <v>23864</v>
      </c>
      <c r="E12822" t="str">
        <f>HYPERLINK("https://patents.google.com/patent/US7295892B2/en")</f>
        <v>https://patents.google.com/patent/US7295892B2/en</v>
      </c>
    </row>
    <row r="12823" spans="3:5" x14ac:dyDescent="0.25">
      <c r="C12823" t="s">
        <v>23865</v>
      </c>
      <c r="D12823" t="s">
        <v>23866</v>
      </c>
      <c r="E12823" t="str">
        <f>HYPERLINK("https://patents.google.com/patent/US20090055019A1/en")</f>
        <v>https://patents.google.com/patent/US20090055019A1/en</v>
      </c>
    </row>
    <row r="12824" spans="3:5" x14ac:dyDescent="0.25">
      <c r="C12824" t="s">
        <v>23867</v>
      </c>
      <c r="D12824" t="s">
        <v>23868</v>
      </c>
      <c r="E12824" t="str">
        <f>HYPERLINK("https://patents.google.com/patent/CN203266627U/en")</f>
        <v>https://patents.google.com/patent/CN203266627U/en</v>
      </c>
    </row>
    <row r="12825" spans="3:5" x14ac:dyDescent="0.25">
      <c r="C12825" t="s">
        <v>23571</v>
      </c>
      <c r="D12825" t="s">
        <v>23869</v>
      </c>
      <c r="E12825" t="str">
        <f>HYPERLINK("https://patents.google.com/patent/US20130079929A1/en")</f>
        <v>https://patents.google.com/patent/US20130079929A1/en</v>
      </c>
    </row>
    <row r="12826" spans="3:5" x14ac:dyDescent="0.25">
      <c r="C12826" t="s">
        <v>23870</v>
      </c>
      <c r="D12826" t="s">
        <v>23871</v>
      </c>
      <c r="E12826" t="str">
        <f>HYPERLINK("https://patents.google.com/patent/US5509847A/en")</f>
        <v>https://patents.google.com/patent/US5509847A/en</v>
      </c>
    </row>
    <row r="12827" spans="3:5" x14ac:dyDescent="0.25">
      <c r="C12827" t="s">
        <v>23872</v>
      </c>
      <c r="D12827" t="s">
        <v>23873</v>
      </c>
      <c r="E12827" t="str">
        <f>HYPERLINK("https://patents.google.com/patent/US6502165B1/en")</f>
        <v>https://patents.google.com/patent/US6502165B1/en</v>
      </c>
    </row>
    <row r="12828" spans="3:5" x14ac:dyDescent="0.25">
      <c r="C12828" t="s">
        <v>23874</v>
      </c>
      <c r="D12828" t="s">
        <v>23875</v>
      </c>
      <c r="E12828" t="str">
        <f>HYPERLINK("https://patents.google.com/patent/US9352470B1/en")</f>
        <v>https://patents.google.com/patent/US9352470B1/en</v>
      </c>
    </row>
    <row r="12829" spans="3:5" x14ac:dyDescent="0.25">
      <c r="C12829" t="s">
        <v>23876</v>
      </c>
      <c r="D12829" t="s">
        <v>23877</v>
      </c>
      <c r="E12829" t="str">
        <f>HYPERLINK("https://patents.google.com/patent/US20100176615A1/en")</f>
        <v>https://patents.google.com/patent/US20100176615A1/en</v>
      </c>
    </row>
    <row r="12830" spans="3:5" x14ac:dyDescent="0.25">
      <c r="C12830" t="s">
        <v>23878</v>
      </c>
      <c r="D12830" t="s">
        <v>23879</v>
      </c>
      <c r="E12830" t="str">
        <f>HYPERLINK("https://patents.google.com/patent/US20110022229A1/en")</f>
        <v>https://patents.google.com/patent/US20110022229A1/en</v>
      </c>
    </row>
    <row r="12831" spans="3:5" x14ac:dyDescent="0.25">
      <c r="C12831" t="s">
        <v>23880</v>
      </c>
      <c r="D12831" t="s">
        <v>23881</v>
      </c>
      <c r="E12831" t="str">
        <f>HYPERLINK("https://patents.google.com/patent/US5871248A/en")</f>
        <v>https://patents.google.com/patent/US5871248A/en</v>
      </c>
    </row>
    <row r="12832" spans="3:5" x14ac:dyDescent="0.25">
      <c r="C12832" t="s">
        <v>23882</v>
      </c>
      <c r="D12832" t="s">
        <v>23883</v>
      </c>
      <c r="E12832" t="str">
        <f>HYPERLINK("https://patents.google.com/patent/US7109678B2/en")</f>
        <v>https://patents.google.com/patent/US7109678B2/en</v>
      </c>
    </row>
    <row r="12833" spans="3:5" x14ac:dyDescent="0.25">
      <c r="C12833" t="s">
        <v>23884</v>
      </c>
      <c r="D12833" t="s">
        <v>23885</v>
      </c>
      <c r="E12833" t="str">
        <f>HYPERLINK("https://patents.google.com/patent/CN103610568A/en")</f>
        <v>https://patents.google.com/patent/CN103610568A/en</v>
      </c>
    </row>
    <row r="12834" spans="3:5" x14ac:dyDescent="0.25">
      <c r="C12834" t="s">
        <v>23886</v>
      </c>
      <c r="D12834" t="s">
        <v>23887</v>
      </c>
      <c r="E12834" t="str">
        <f>HYPERLINK("https://patents.google.com/patent/US20120043100A1/en")</f>
        <v>https://patents.google.com/patent/US20120043100A1/en</v>
      </c>
    </row>
    <row r="12835" spans="3:5" x14ac:dyDescent="0.25">
      <c r="C12835" t="s">
        <v>23888</v>
      </c>
      <c r="D12835" t="s">
        <v>23889</v>
      </c>
      <c r="E12835" t="str">
        <f>HYPERLINK("https://patents.google.com/patent/US20140102240A1/en")</f>
        <v>https://patents.google.com/patent/US20140102240A1/en</v>
      </c>
    </row>
    <row r="12836" spans="3:5" x14ac:dyDescent="0.25">
      <c r="C12836" t="s">
        <v>23890</v>
      </c>
      <c r="D12836" t="s">
        <v>23891</v>
      </c>
      <c r="E12836" t="str">
        <f>HYPERLINK("https://patents.google.com/patent/CN103707289A/en")</f>
        <v>https://patents.google.com/patent/CN103707289A/en</v>
      </c>
    </row>
    <row r="12837" spans="3:5" x14ac:dyDescent="0.25">
      <c r="C12837" t="s">
        <v>23892</v>
      </c>
      <c r="D12837" t="s">
        <v>23893</v>
      </c>
      <c r="E12837" t="str">
        <f>HYPERLINK("https://patents.google.com/patent/US20030105534A1/en")</f>
        <v>https://patents.google.com/patent/US20030105534A1/en</v>
      </c>
    </row>
    <row r="12838" spans="3:5" x14ac:dyDescent="0.25">
      <c r="C12838" t="s">
        <v>23894</v>
      </c>
      <c r="D12838" t="s">
        <v>23895</v>
      </c>
      <c r="E12838" t="str">
        <f>HYPERLINK("https://patents.google.com/patent/US20080114491A1/en")</f>
        <v>https://patents.google.com/patent/US20080114491A1/en</v>
      </c>
    </row>
    <row r="12839" spans="3:5" x14ac:dyDescent="0.25">
      <c r="C12839" t="s">
        <v>23896</v>
      </c>
      <c r="D12839" t="s">
        <v>23897</v>
      </c>
      <c r="E12839" t="str">
        <f>HYPERLINK("https://patents.google.com/patent/CN101444431A/en")</f>
        <v>https://patents.google.com/patent/CN101444431A/en</v>
      </c>
    </row>
    <row r="12840" spans="3:5" x14ac:dyDescent="0.25">
      <c r="C12840" t="s">
        <v>23898</v>
      </c>
      <c r="D12840" t="s">
        <v>23899</v>
      </c>
      <c r="E12840" t="str">
        <f>HYPERLINK("https://patents.google.com/patent/JPH09141580A/en")</f>
        <v>https://patents.google.com/patent/JPH09141580A/en</v>
      </c>
    </row>
    <row r="12841" spans="3:5" x14ac:dyDescent="0.25">
      <c r="C12841" t="s">
        <v>23900</v>
      </c>
      <c r="D12841" t="s">
        <v>23901</v>
      </c>
      <c r="E12841" t="str">
        <f>HYPERLINK("https://patents.google.com/patent/US6898485B2/en")</f>
        <v>https://patents.google.com/patent/US6898485B2/en</v>
      </c>
    </row>
    <row r="12842" spans="3:5" x14ac:dyDescent="0.25">
      <c r="C12842" t="s">
        <v>23902</v>
      </c>
      <c r="D12842" t="s">
        <v>23903</v>
      </c>
      <c r="E12842" t="str">
        <f>HYPERLINK("https://patents.google.com/patent/US7925377B2/en")</f>
        <v>https://patents.google.com/patent/US7925377B2/en</v>
      </c>
    </row>
    <row r="12843" spans="3:5" x14ac:dyDescent="0.25">
      <c r="C12843" t="s">
        <v>23904</v>
      </c>
      <c r="D12843" t="s">
        <v>23905</v>
      </c>
      <c r="E12843" t="str">
        <f>HYPERLINK("https://patents.google.com/patent/CN2902981Y/en")</f>
        <v>https://patents.google.com/patent/CN2902981Y/en</v>
      </c>
    </row>
    <row r="12844" spans="3:5" x14ac:dyDescent="0.25">
      <c r="C12844" t="s">
        <v>23906</v>
      </c>
      <c r="D12844" t="s">
        <v>23907</v>
      </c>
      <c r="E12844" t="str">
        <f>HYPERLINK("https://patents.google.com/patent/CN105260588A/en")</f>
        <v>https://patents.google.com/patent/CN105260588A/en</v>
      </c>
    </row>
    <row r="12845" spans="3:5" x14ac:dyDescent="0.25">
      <c r="C12845" t="s">
        <v>23908</v>
      </c>
      <c r="D12845" t="s">
        <v>23909</v>
      </c>
      <c r="E12845" t="str">
        <f>HYPERLINK("https://patents.google.com/patent/CN103481786A/en")</f>
        <v>https://patents.google.com/patent/CN103481786A/en</v>
      </c>
    </row>
    <row r="12846" spans="3:5" x14ac:dyDescent="0.25">
      <c r="C12846" t="s">
        <v>23910</v>
      </c>
      <c r="D12846" t="s">
        <v>23911</v>
      </c>
      <c r="E12846" t="str">
        <f>HYPERLINK("https://patents.google.com/patent/US6886415B1/en")</f>
        <v>https://patents.google.com/patent/US6886415B1/en</v>
      </c>
    </row>
    <row r="12847" spans="3:5" x14ac:dyDescent="0.25">
      <c r="C12847" t="s">
        <v>23912</v>
      </c>
      <c r="D12847" t="s">
        <v>23913</v>
      </c>
      <c r="E12847" t="str">
        <f>HYPERLINK("https://patents.google.com/patent/KR20110074170A/en")</f>
        <v>https://patents.google.com/patent/KR20110074170A/en</v>
      </c>
    </row>
    <row r="12848" spans="3:5" x14ac:dyDescent="0.25">
      <c r="C12848" t="s">
        <v>23914</v>
      </c>
      <c r="D12848" t="s">
        <v>23915</v>
      </c>
      <c r="E12848" t="str">
        <f>HYPERLINK("https://patents.google.com/patent/CN1824473A/en")</f>
        <v>https://patents.google.com/patent/CN1824473A/en</v>
      </c>
    </row>
    <row r="12849" spans="3:5" x14ac:dyDescent="0.25">
      <c r="C12849" t="s">
        <v>23916</v>
      </c>
      <c r="D12849" t="s">
        <v>23917</v>
      </c>
      <c r="E12849" t="str">
        <f>HYPERLINK("https://patents.google.com/patent/US5833432A/en")</f>
        <v>https://patents.google.com/patent/US5833432A/en</v>
      </c>
    </row>
    <row r="12850" spans="3:5" x14ac:dyDescent="0.25">
      <c r="C12850" t="s">
        <v>23918</v>
      </c>
      <c r="D12850" t="s">
        <v>23919</v>
      </c>
      <c r="E12850" t="str">
        <f>HYPERLINK("https://patents.google.com/patent/JP2003205480A/en")</f>
        <v>https://patents.google.com/patent/JP2003205480A/en</v>
      </c>
    </row>
    <row r="12851" spans="3:5" x14ac:dyDescent="0.25">
      <c r="C12851" t="s">
        <v>23920</v>
      </c>
      <c r="D12851" t="s">
        <v>23921</v>
      </c>
      <c r="E12851" t="str">
        <f>HYPERLINK("https://patents.google.com/patent/US6702050B1/en")</f>
        <v>https://patents.google.com/patent/US6702050B1/en</v>
      </c>
    </row>
    <row r="12852" spans="3:5" x14ac:dyDescent="0.25">
      <c r="C12852" t="s">
        <v>23922</v>
      </c>
      <c r="D12852" t="s">
        <v>23923</v>
      </c>
      <c r="E12852" t="str">
        <f>HYPERLINK("https://patents.google.com/patent/US7189049B1/en")</f>
        <v>https://patents.google.com/patent/US7189049B1/en</v>
      </c>
    </row>
    <row r="12853" spans="3:5" x14ac:dyDescent="0.25">
      <c r="C12853" t="s">
        <v>23924</v>
      </c>
      <c r="D12853" t="s">
        <v>23925</v>
      </c>
      <c r="E12853" t="str">
        <f>HYPERLINK("https://patents.google.com/patent/CN101476222A/en")</f>
        <v>https://patents.google.com/patent/CN101476222A/en</v>
      </c>
    </row>
    <row r="12854" spans="3:5" x14ac:dyDescent="0.25">
      <c r="C12854" t="s">
        <v>23926</v>
      </c>
      <c r="D12854" t="s">
        <v>23927</v>
      </c>
      <c r="E12854" t="str">
        <f>HYPERLINK("https://patents.google.com/patent/US6831436B2/en")</f>
        <v>https://patents.google.com/patent/US6831436B2/en</v>
      </c>
    </row>
    <row r="12855" spans="3:5" x14ac:dyDescent="0.25">
      <c r="C12855" t="s">
        <v>23928</v>
      </c>
      <c r="D12855" t="s">
        <v>23929</v>
      </c>
      <c r="E12855" t="str">
        <f>HYPERLINK("https://patents.google.com/patent/WO2005102618A1/en")</f>
        <v>https://patents.google.com/patent/WO2005102618A1/en</v>
      </c>
    </row>
    <row r="12856" spans="3:5" x14ac:dyDescent="0.25">
      <c r="C12856" t="s">
        <v>23930</v>
      </c>
      <c r="D12856" t="s">
        <v>23931</v>
      </c>
      <c r="E12856" t="str">
        <f>HYPERLINK("https://patents.google.com/patent/US20090127864A1/en")</f>
        <v>https://patents.google.com/patent/US20090127864A1/en</v>
      </c>
    </row>
    <row r="12857" spans="3:5" x14ac:dyDescent="0.25">
      <c r="C12857" t="s">
        <v>7196</v>
      </c>
      <c r="D12857" t="s">
        <v>23932</v>
      </c>
      <c r="E12857" t="str">
        <f>HYPERLINK("https://patents.google.com/patent/CN2767079Y/en")</f>
        <v>https://patents.google.com/patent/CN2767079Y/en</v>
      </c>
    </row>
    <row r="12858" spans="3:5" x14ac:dyDescent="0.25">
      <c r="C12858" t="s">
        <v>23933</v>
      </c>
      <c r="D12858" t="s">
        <v>23934</v>
      </c>
      <c r="E12858" t="str">
        <f>HYPERLINK("https://patents.google.com/patent/US6608733B2/en")</f>
        <v>https://patents.google.com/patent/US6608733B2/en</v>
      </c>
    </row>
    <row r="12859" spans="3:5" x14ac:dyDescent="0.25">
      <c r="C12859" t="s">
        <v>23935</v>
      </c>
      <c r="D12859" t="s">
        <v>23936</v>
      </c>
      <c r="E12859" t="str">
        <f>HYPERLINK("https://patents.google.com/patent/CN200974243Y/en")</f>
        <v>https://patents.google.com/patent/CN200974243Y/en</v>
      </c>
    </row>
    <row r="12860" spans="3:5" x14ac:dyDescent="0.25">
      <c r="C12860" t="s">
        <v>23937</v>
      </c>
      <c r="D12860" t="s">
        <v>23938</v>
      </c>
      <c r="E12860" t="str">
        <f>HYPERLINK("https://patents.google.com/patent/US20120072026A1/en")</f>
        <v>https://patents.google.com/patent/US20120072026A1/en</v>
      </c>
    </row>
    <row r="12861" spans="3:5" x14ac:dyDescent="0.25">
      <c r="C12861" t="s">
        <v>23939</v>
      </c>
      <c r="D12861" t="s">
        <v>23940</v>
      </c>
      <c r="E12861" t="str">
        <f>HYPERLINK("https://patents.google.com/patent/US7168553B2/en")</f>
        <v>https://patents.google.com/patent/US7168553B2/en</v>
      </c>
    </row>
    <row r="12862" spans="3:5" x14ac:dyDescent="0.25">
      <c r="C12862" t="s">
        <v>23941</v>
      </c>
      <c r="D12862" t="s">
        <v>23942</v>
      </c>
      <c r="E12862" t="str">
        <f>HYPERLINK("https://patents.google.com/patent/US5220849A/en")</f>
        <v>https://patents.google.com/patent/US5220849A/en</v>
      </c>
    </row>
    <row r="12863" spans="3:5" x14ac:dyDescent="0.25">
      <c r="C12863" t="s">
        <v>23943</v>
      </c>
      <c r="D12863" t="s">
        <v>23944</v>
      </c>
      <c r="E12863" t="str">
        <f>HYPERLINK("https://patents.google.com/patent/US8641726B2/en")</f>
        <v>https://patents.google.com/patent/US8641726B2/en</v>
      </c>
    </row>
    <row r="12864" spans="3:5" x14ac:dyDescent="0.25">
      <c r="C12864" t="s">
        <v>23945</v>
      </c>
      <c r="D12864" t="s">
        <v>23946</v>
      </c>
      <c r="E12864" t="str">
        <f>HYPERLINK("https://patents.google.com/patent/US20120221017A1/en")</f>
        <v>https://patents.google.com/patent/US20120221017A1/en</v>
      </c>
    </row>
    <row r="12865" spans="3:5" x14ac:dyDescent="0.25">
      <c r="C12865" t="s">
        <v>23947</v>
      </c>
      <c r="D12865" t="s">
        <v>23948</v>
      </c>
      <c r="E12865" t="str">
        <f>HYPERLINK("https://patents.google.com/patent/US20090204260A1/en")</f>
        <v>https://patents.google.com/patent/US20090204260A1/en</v>
      </c>
    </row>
    <row r="12866" spans="3:5" x14ac:dyDescent="0.25">
      <c r="C12866" t="s">
        <v>23949</v>
      </c>
      <c r="D12866" t="s">
        <v>23950</v>
      </c>
      <c r="E12866" t="str">
        <f>HYPERLINK("https://patents.google.com/patent/JP2008073824A/en")</f>
        <v>https://patents.google.com/patent/JP2008073824A/en</v>
      </c>
    </row>
    <row r="12867" spans="3:5" x14ac:dyDescent="0.25">
      <c r="C12867" t="s">
        <v>23951</v>
      </c>
      <c r="D12867" t="s">
        <v>23952</v>
      </c>
      <c r="E12867" t="str">
        <f>HYPERLINK("https://patents.google.com/patent/US20070151389A1/en")</f>
        <v>https://patents.google.com/patent/US20070151389A1/en</v>
      </c>
    </row>
    <row r="12868" spans="3:5" x14ac:dyDescent="0.25">
      <c r="C12868" t="s">
        <v>23953</v>
      </c>
      <c r="D12868" t="s">
        <v>23954</v>
      </c>
      <c r="E12868" t="str">
        <f>HYPERLINK("https://patents.google.com/patent/US5607642A/en")</f>
        <v>https://patents.google.com/patent/US5607642A/en</v>
      </c>
    </row>
    <row r="12869" spans="3:5" x14ac:dyDescent="0.25">
      <c r="C12869" t="s">
        <v>23955</v>
      </c>
      <c r="D12869" t="s">
        <v>23956</v>
      </c>
      <c r="E12869" t="str">
        <f>HYPERLINK("https://patents.google.com/patent/US20040158355A1/en")</f>
        <v>https://patents.google.com/patent/US20040158355A1/en</v>
      </c>
    </row>
    <row r="12870" spans="3:5" x14ac:dyDescent="0.25">
      <c r="C12870" t="s">
        <v>23957</v>
      </c>
      <c r="D12870" t="s">
        <v>23958</v>
      </c>
      <c r="E12870" t="str">
        <f>HYPERLINK("https://patents.google.com/patent/CN101887037A/en")</f>
        <v>https://patents.google.com/patent/CN101887037A/en</v>
      </c>
    </row>
    <row r="12871" spans="3:5" x14ac:dyDescent="0.25">
      <c r="C12871" t="s">
        <v>23959</v>
      </c>
      <c r="D12871" t="s">
        <v>23960</v>
      </c>
      <c r="E12871" t="str">
        <f>HYPERLINK("https://patents.google.com/patent/US4980838A/en")</f>
        <v>https://patents.google.com/patent/US4980838A/en</v>
      </c>
    </row>
    <row r="12872" spans="3:5" x14ac:dyDescent="0.25">
      <c r="C12872" t="s">
        <v>23961</v>
      </c>
      <c r="D12872" t="s">
        <v>23962</v>
      </c>
      <c r="E12872" t="str">
        <f>HYPERLINK("https://patents.google.com/patent/JP2003175484A/en")</f>
        <v>https://patents.google.com/patent/JP2003175484A/en</v>
      </c>
    </row>
    <row r="12873" spans="3:5" x14ac:dyDescent="0.25">
      <c r="C12873" t="s">
        <v>7276</v>
      </c>
      <c r="D12873" t="s">
        <v>23963</v>
      </c>
      <c r="E12873" t="str">
        <f>HYPERLINK("https://patents.google.com/patent/CN1155833A/en")</f>
        <v>https://patents.google.com/patent/CN1155833A/en</v>
      </c>
    </row>
    <row r="12874" spans="3:5" x14ac:dyDescent="0.25">
      <c r="C12874" t="s">
        <v>23964</v>
      </c>
      <c r="D12874" t="s">
        <v>23965</v>
      </c>
      <c r="E12874" t="str">
        <f>HYPERLINK("https://patents.google.com/patent/JPH05305579A/en")</f>
        <v>https://patents.google.com/patent/JPH05305579A/en</v>
      </c>
    </row>
    <row r="12875" spans="3:5" x14ac:dyDescent="0.25">
      <c r="C12875" t="s">
        <v>23966</v>
      </c>
      <c r="D12875" t="s">
        <v>23967</v>
      </c>
      <c r="E12875" t="str">
        <f>HYPERLINK("https://patents.google.com/patent/CN101104272A/en")</f>
        <v>https://patents.google.com/patent/CN101104272A/en</v>
      </c>
    </row>
    <row r="12876" spans="3:5" x14ac:dyDescent="0.25">
      <c r="C12876" t="s">
        <v>23968</v>
      </c>
      <c r="D12876" t="s">
        <v>23969</v>
      </c>
      <c r="E12876" t="str">
        <f>HYPERLINK("https://patents.google.com/patent/CN101428657A/en")</f>
        <v>https://patents.google.com/patent/CN101428657A/en</v>
      </c>
    </row>
    <row r="12877" spans="3:5" x14ac:dyDescent="0.25">
      <c r="C12877" t="s">
        <v>20138</v>
      </c>
      <c r="D12877" t="s">
        <v>23970</v>
      </c>
      <c r="E12877" t="str">
        <f>HYPERLINK("https://patents.google.com/patent/CN202045637U/en")</f>
        <v>https://patents.google.com/patent/CN202045637U/en</v>
      </c>
    </row>
    <row r="12878" spans="3:5" x14ac:dyDescent="0.25">
      <c r="C12878" t="s">
        <v>23971</v>
      </c>
      <c r="D12878" t="s">
        <v>23972</v>
      </c>
      <c r="E12878" t="str">
        <f>HYPERLINK("https://patents.google.com/patent/US20080051930A1/en")</f>
        <v>https://patents.google.com/patent/US20080051930A1/en</v>
      </c>
    </row>
    <row r="12879" spans="3:5" x14ac:dyDescent="0.25">
      <c r="C12879" t="s">
        <v>23964</v>
      </c>
      <c r="D12879" t="s">
        <v>23973</v>
      </c>
      <c r="E12879" t="str">
        <f>HYPERLINK("https://patents.google.com/patent/JPH05305585A/en")</f>
        <v>https://patents.google.com/patent/JPH05305585A/en</v>
      </c>
    </row>
    <row r="12880" spans="3:5" x14ac:dyDescent="0.25">
      <c r="C12880" t="s">
        <v>23974</v>
      </c>
      <c r="D12880" t="s">
        <v>23975</v>
      </c>
      <c r="E12880" t="str">
        <f>HYPERLINK("https://patents.google.com/patent/JP2001286578A/en")</f>
        <v>https://patents.google.com/patent/JP2001286578A/en</v>
      </c>
    </row>
    <row r="12881" spans="3:5" x14ac:dyDescent="0.25">
      <c r="C12881" t="s">
        <v>23976</v>
      </c>
      <c r="D12881" t="s">
        <v>23977</v>
      </c>
      <c r="E12881" t="str">
        <f>HYPERLINK("https://patents.google.com/patent/CN103737578A/en")</f>
        <v>https://patents.google.com/patent/CN103737578A/en</v>
      </c>
    </row>
    <row r="12882" spans="3:5" x14ac:dyDescent="0.25">
      <c r="C12882" t="s">
        <v>23668</v>
      </c>
      <c r="D12882" t="s">
        <v>23978</v>
      </c>
      <c r="E12882" t="str">
        <f>HYPERLINK("https://patents.google.com/patent/US20090321150A1/en")</f>
        <v>https://patents.google.com/patent/US20090321150A1/en</v>
      </c>
    </row>
    <row r="12883" spans="3:5" x14ac:dyDescent="0.25">
      <c r="C12883" t="s">
        <v>23979</v>
      </c>
      <c r="D12883" t="s">
        <v>23980</v>
      </c>
      <c r="E12883" t="str">
        <f>HYPERLINK("https://patents.google.com/patent/JP2008149444A/en")</f>
        <v>https://patents.google.com/patent/JP2008149444A/en</v>
      </c>
    </row>
    <row r="12884" spans="3:5" x14ac:dyDescent="0.25">
      <c r="C12884" t="s">
        <v>23981</v>
      </c>
      <c r="D12884" t="s">
        <v>23982</v>
      </c>
      <c r="E12884" t="str">
        <f>HYPERLINK("https://patents.google.com/patent/US20140129027A1/en")</f>
        <v>https://patents.google.com/patent/US20140129027A1/en</v>
      </c>
    </row>
    <row r="12885" spans="3:5" x14ac:dyDescent="0.25">
      <c r="C12885" t="s">
        <v>7258</v>
      </c>
      <c r="D12885" t="s">
        <v>23983</v>
      </c>
      <c r="E12885" t="str">
        <f>HYPERLINK("https://patents.google.com/patent/US8042627B2/en")</f>
        <v>https://patents.google.com/patent/US8042627B2/en</v>
      </c>
    </row>
    <row r="12886" spans="3:5" x14ac:dyDescent="0.25">
      <c r="C12886" t="s">
        <v>23984</v>
      </c>
      <c r="D12886" t="s">
        <v>23985</v>
      </c>
      <c r="E12886" t="str">
        <f>HYPERLINK("https://patents.google.com/patent/JP2013052192A/en")</f>
        <v>https://patents.google.com/patent/JP2013052192A/en</v>
      </c>
    </row>
    <row r="12887" spans="3:5" x14ac:dyDescent="0.25">
      <c r="C12887" t="s">
        <v>23986</v>
      </c>
      <c r="D12887" t="s">
        <v>23987</v>
      </c>
      <c r="E12887" t="str">
        <f>HYPERLINK("https://patents.google.com/patent/US4820114A/en")</f>
        <v>https://patents.google.com/patent/US4820114A/en</v>
      </c>
    </row>
    <row r="12888" spans="3:5" x14ac:dyDescent="0.25">
      <c r="C12888" t="s">
        <v>23988</v>
      </c>
      <c r="D12888" t="s">
        <v>23989</v>
      </c>
      <c r="E12888" t="str">
        <f>HYPERLINK("https://patents.google.com/patent/US20100057253A1/en")</f>
        <v>https://patents.google.com/patent/US20100057253A1/en</v>
      </c>
    </row>
    <row r="12889" spans="3:5" x14ac:dyDescent="0.25">
      <c r="C12889" t="s">
        <v>23990</v>
      </c>
      <c r="D12889" t="s">
        <v>23991</v>
      </c>
      <c r="E12889" t="str">
        <f>HYPERLINK("https://patents.google.com/patent/US20130325031A1/en")</f>
        <v>https://patents.google.com/patent/US20130325031A1/en</v>
      </c>
    </row>
    <row r="12890" spans="3:5" x14ac:dyDescent="0.25">
      <c r="C12890" t="s">
        <v>23992</v>
      </c>
      <c r="D12890" t="s">
        <v>23993</v>
      </c>
      <c r="E12890" t="str">
        <f>HYPERLINK("https://patents.google.com/patent/US7115090B2/en")</f>
        <v>https://patents.google.com/patent/US7115090B2/en</v>
      </c>
    </row>
    <row r="12891" spans="3:5" x14ac:dyDescent="0.25">
      <c r="C12891" t="s">
        <v>23994</v>
      </c>
      <c r="D12891" t="s">
        <v>23995</v>
      </c>
      <c r="E12891" t="str">
        <f>HYPERLINK("https://patents.google.com/patent/US20080188087A1/en")</f>
        <v>https://patents.google.com/patent/US20080188087A1/en</v>
      </c>
    </row>
    <row r="12892" spans="3:5" x14ac:dyDescent="0.25">
      <c r="C12892" t="s">
        <v>23996</v>
      </c>
      <c r="D12892" t="s">
        <v>23997</v>
      </c>
      <c r="E12892" t="str">
        <f>HYPERLINK("https://patents.google.com/patent/US20080058835A1/en")</f>
        <v>https://patents.google.com/patent/US20080058835A1/en</v>
      </c>
    </row>
    <row r="12893" spans="3:5" x14ac:dyDescent="0.25">
      <c r="C12893" t="s">
        <v>6200</v>
      </c>
      <c r="D12893" t="s">
        <v>23998</v>
      </c>
      <c r="E12893" t="str">
        <f>HYPERLINK("https://patents.google.com/patent/JP2006136962A/en")</f>
        <v>https://patents.google.com/patent/JP2006136962A/en</v>
      </c>
    </row>
    <row r="12894" spans="3:5" x14ac:dyDescent="0.25">
      <c r="C12894" t="s">
        <v>23999</v>
      </c>
      <c r="D12894" t="s">
        <v>24000</v>
      </c>
      <c r="E12894" t="str">
        <f>HYPERLINK("https://patents.google.com/patent/US5643094A/en")</f>
        <v>https://patents.google.com/patent/US5643094A/en</v>
      </c>
    </row>
    <row r="12895" spans="3:5" x14ac:dyDescent="0.25">
      <c r="C12895" t="s">
        <v>24001</v>
      </c>
      <c r="D12895" t="s">
        <v>24002</v>
      </c>
      <c r="E12895" t="str">
        <f>HYPERLINK("https://patents.google.com/patent/US20110029133A1/en")</f>
        <v>https://patents.google.com/patent/US20110029133A1/en</v>
      </c>
    </row>
    <row r="12896" spans="3:5" x14ac:dyDescent="0.25">
      <c r="C12896" t="s">
        <v>24003</v>
      </c>
      <c r="D12896" t="s">
        <v>24004</v>
      </c>
      <c r="E12896" t="str">
        <f>HYPERLINK("https://patents.google.com/patent/EP0443576A1/en")</f>
        <v>https://patents.google.com/patent/EP0443576A1/en</v>
      </c>
    </row>
    <row r="12897" spans="3:5" x14ac:dyDescent="0.25">
      <c r="C12897" t="s">
        <v>24005</v>
      </c>
      <c r="D12897" t="s">
        <v>24006</v>
      </c>
      <c r="E12897" t="str">
        <f>HYPERLINK("https://patents.google.com/patent/US6019606A/en")</f>
        <v>https://patents.google.com/patent/US6019606A/en</v>
      </c>
    </row>
    <row r="12898" spans="3:5" x14ac:dyDescent="0.25">
      <c r="C12898" t="s">
        <v>24007</v>
      </c>
      <c r="D12898" t="s">
        <v>24008</v>
      </c>
      <c r="E12898" t="str">
        <f>HYPERLINK("https://patents.google.com/patent/CN1666847A/en")</f>
        <v>https://patents.google.com/patent/CN1666847A/en</v>
      </c>
    </row>
    <row r="12899" spans="3:5" x14ac:dyDescent="0.25">
      <c r="C12899" t="s">
        <v>24009</v>
      </c>
      <c r="D12899" t="s">
        <v>24010</v>
      </c>
      <c r="E12899" t="str">
        <f>HYPERLINK("https://patents.google.com/patent/US20140212243A1/en")</f>
        <v>https://patents.google.com/patent/US20140212243A1/en</v>
      </c>
    </row>
    <row r="12900" spans="3:5" x14ac:dyDescent="0.25">
      <c r="C12900" t="s">
        <v>24011</v>
      </c>
      <c r="D12900" t="s">
        <v>24012</v>
      </c>
      <c r="E12900" t="str">
        <f>HYPERLINK("https://patents.google.com/patent/JP2001079113A/en")</f>
        <v>https://patents.google.com/patent/JP2001079113A/en</v>
      </c>
    </row>
    <row r="12901" spans="3:5" x14ac:dyDescent="0.25">
      <c r="C12901" t="s">
        <v>24013</v>
      </c>
      <c r="D12901" t="s">
        <v>24014</v>
      </c>
      <c r="E12901" t="str">
        <f>HYPERLINK("https://patents.google.com/patent/CN1052360A/en")</f>
        <v>https://patents.google.com/patent/CN1052360A/en</v>
      </c>
    </row>
    <row r="12902" spans="3:5" x14ac:dyDescent="0.25">
      <c r="C12902" t="s">
        <v>24015</v>
      </c>
      <c r="D12902" t="s">
        <v>24016</v>
      </c>
      <c r="E12902" t="str">
        <f>HYPERLINK("https://patents.google.com/patent/US20040140787A1/en")</f>
        <v>https://patents.google.com/patent/US20040140787A1/en</v>
      </c>
    </row>
    <row r="12903" spans="3:5" x14ac:dyDescent="0.25">
      <c r="C12903" t="s">
        <v>24017</v>
      </c>
      <c r="D12903" t="s">
        <v>24018</v>
      </c>
      <c r="E12903" t="str">
        <f>HYPERLINK("https://patents.google.com/patent/US6829522B1/en")</f>
        <v>https://patents.google.com/patent/US6829522B1/en</v>
      </c>
    </row>
    <row r="12904" spans="3:5" x14ac:dyDescent="0.25">
      <c r="C12904" t="s">
        <v>24019</v>
      </c>
      <c r="D12904" t="s">
        <v>24020</v>
      </c>
      <c r="E12904" t="str">
        <f>HYPERLINK("https://patents.google.com/patent/CN103091579A/en")</f>
        <v>https://patents.google.com/patent/CN103091579A/en</v>
      </c>
    </row>
    <row r="12905" spans="3:5" x14ac:dyDescent="0.25">
      <c r="C12905" t="s">
        <v>23994</v>
      </c>
      <c r="D12905" t="s">
        <v>24021</v>
      </c>
      <c r="E12905" t="str">
        <f>HYPERLINK("https://patents.google.com/patent/US20080185284A1/en")</f>
        <v>https://patents.google.com/patent/US20080185284A1/en</v>
      </c>
    </row>
    <row r="12906" spans="3:5" x14ac:dyDescent="0.25">
      <c r="C12906" t="s">
        <v>24022</v>
      </c>
      <c r="D12906" t="s">
        <v>24023</v>
      </c>
      <c r="E12906" t="str">
        <f>HYPERLINK("https://patents.google.com/patent/JP2005158826A/en")</f>
        <v>https://patents.google.com/patent/JP2005158826A/en</v>
      </c>
    </row>
    <row r="12907" spans="3:5" x14ac:dyDescent="0.25">
      <c r="C12907" t="s">
        <v>24024</v>
      </c>
      <c r="D12907" t="s">
        <v>24025</v>
      </c>
      <c r="E12907" t="str">
        <f>HYPERLINK("https://patents.google.com/patent/US20100298102A1/en")</f>
        <v>https://patents.google.com/patent/US20100298102A1/en</v>
      </c>
    </row>
    <row r="12908" spans="3:5" x14ac:dyDescent="0.25">
      <c r="C12908" t="s">
        <v>24026</v>
      </c>
      <c r="D12908" t="s">
        <v>24027</v>
      </c>
      <c r="E12908" t="str">
        <f>HYPERLINK("https://patents.google.com/patent/US20120078053A1/en")</f>
        <v>https://patents.google.com/patent/US20120078053A1/en</v>
      </c>
    </row>
    <row r="12909" spans="3:5" x14ac:dyDescent="0.25">
      <c r="C12909" t="s">
        <v>24028</v>
      </c>
      <c r="D12909" t="s">
        <v>24029</v>
      </c>
      <c r="E12909" t="str">
        <f>HYPERLINK("https://patents.google.com/patent/US20030139849A1/en")</f>
        <v>https://patents.google.com/patent/US20030139849A1/en</v>
      </c>
    </row>
    <row r="12910" spans="3:5" x14ac:dyDescent="0.25">
      <c r="C12910" t="s">
        <v>24030</v>
      </c>
      <c r="D12910" t="s">
        <v>24031</v>
      </c>
      <c r="E12910" t="str">
        <f>HYPERLINK("https://patents.google.com/patent/US20140067124A1/en")</f>
        <v>https://patents.google.com/patent/US20140067124A1/en</v>
      </c>
    </row>
    <row r="12911" spans="3:5" x14ac:dyDescent="0.25">
      <c r="C12911" t="s">
        <v>24032</v>
      </c>
      <c r="D12911" t="s">
        <v>24033</v>
      </c>
      <c r="E12911" t="str">
        <f>HYPERLINK("https://patents.google.com/patent/US20080232933A1/en")</f>
        <v>https://patents.google.com/patent/US20080232933A1/en</v>
      </c>
    </row>
    <row r="12912" spans="3:5" x14ac:dyDescent="0.25">
      <c r="C12912" t="s">
        <v>24034</v>
      </c>
      <c r="D12912" t="s">
        <v>24035</v>
      </c>
      <c r="E12912" t="str">
        <f>HYPERLINK("https://patents.google.com/patent/US5345540A/en")</f>
        <v>https://patents.google.com/patent/US5345540A/en</v>
      </c>
    </row>
    <row r="12913" spans="1:5" x14ac:dyDescent="0.25">
      <c r="C12913" t="s">
        <v>24036</v>
      </c>
      <c r="D12913" t="s">
        <v>24037</v>
      </c>
      <c r="E12913" t="str">
        <f>HYPERLINK("https://patents.google.com/patent/US7025714B2/en")</f>
        <v>https://patents.google.com/patent/US7025714B2/en</v>
      </c>
    </row>
    <row r="12914" spans="1:5" x14ac:dyDescent="0.25">
      <c r="C12914" t="s">
        <v>24038</v>
      </c>
      <c r="D12914" t="s">
        <v>24039</v>
      </c>
      <c r="E12914" t="str">
        <f>HYPERLINK("https://patents.google.com/patent/CN101786478A/en")</f>
        <v>https://patents.google.com/patent/CN101786478A/en</v>
      </c>
    </row>
    <row r="12915" spans="1:5" x14ac:dyDescent="0.25">
      <c r="C12915" t="s">
        <v>24040</v>
      </c>
      <c r="D12915" t="s">
        <v>24041</v>
      </c>
      <c r="E12915" t="str">
        <f>HYPERLINK("https://patents.google.com/patent/JP2001525567A/en")</f>
        <v>https://patents.google.com/patent/JP2001525567A/en</v>
      </c>
    </row>
    <row r="12916" spans="1:5" x14ac:dyDescent="0.25">
      <c r="C12916" t="s">
        <v>24042</v>
      </c>
      <c r="D12916" t="s">
        <v>24043</v>
      </c>
      <c r="E12916" t="str">
        <f>HYPERLINK("https://patents.google.com/patent/US3680487A/en")</f>
        <v>https://patents.google.com/patent/US3680487A/en</v>
      </c>
    </row>
    <row r="12917" spans="1:5" x14ac:dyDescent="0.25">
      <c r="C12917" t="s">
        <v>24044</v>
      </c>
      <c r="D12917" t="s">
        <v>24045</v>
      </c>
      <c r="E12917" t="str">
        <f>HYPERLINK("https://patents.google.com/patent/US5546508A/en")</f>
        <v>https://patents.google.com/patent/US5546508A/en</v>
      </c>
    </row>
    <row r="12918" spans="1:5" x14ac:dyDescent="0.25">
      <c r="C12918" t="s">
        <v>24046</v>
      </c>
      <c r="D12918" t="s">
        <v>24047</v>
      </c>
      <c r="E12918" t="str">
        <f>HYPERLINK("https://patents.google.com/patent/JP2009160685A/en")</f>
        <v>https://patents.google.com/patent/JP2009160685A/en</v>
      </c>
    </row>
    <row r="12919" spans="1:5" x14ac:dyDescent="0.25">
      <c r="C12919" t="s">
        <v>24048</v>
      </c>
      <c r="D12919" t="s">
        <v>24049</v>
      </c>
      <c r="E12919" t="str">
        <f>HYPERLINK("https://patents.google.com/patent/US5898285A/en")</f>
        <v>https://patents.google.com/patent/US5898285A/en</v>
      </c>
    </row>
    <row r="12920" spans="1:5" x14ac:dyDescent="0.25">
      <c r="C12920" t="s">
        <v>24050</v>
      </c>
      <c r="D12920" t="s">
        <v>24051</v>
      </c>
      <c r="E12920" t="str">
        <f>HYPERLINK("https://patents.google.com/patent/US4812104A/en")</f>
        <v>https://patents.google.com/patent/US4812104A/en</v>
      </c>
    </row>
    <row r="12921" spans="1:5" x14ac:dyDescent="0.25">
      <c r="C12921" t="s">
        <v>24052</v>
      </c>
      <c r="D12921" t="s">
        <v>24053</v>
      </c>
      <c r="E12921" t="str">
        <f>HYPERLINK("https://patents.google.com/patent/US6116966A/en")</f>
        <v>https://patents.google.com/patent/US6116966A/en</v>
      </c>
    </row>
    <row r="12922" spans="1:5" x14ac:dyDescent="0.25">
      <c r="A12922" t="s">
        <v>3919</v>
      </c>
      <c r="B12922">
        <v>679</v>
      </c>
    </row>
    <row r="12923" spans="1:5" x14ac:dyDescent="0.25">
      <c r="C12923" t="s">
        <v>24054</v>
      </c>
      <c r="D12923" t="s">
        <v>24055</v>
      </c>
      <c r="E12923" t="str">
        <f>HYPERLINK("https://patents.google.com/patent/US20100250001A1/en")</f>
        <v>https://patents.google.com/patent/US20100250001A1/en</v>
      </c>
    </row>
    <row r="12924" spans="1:5" x14ac:dyDescent="0.25">
      <c r="C12924" t="s">
        <v>24056</v>
      </c>
      <c r="D12924" t="s">
        <v>24057</v>
      </c>
      <c r="E12924" t="str">
        <f>HYPERLINK("https://patents.google.com/patent/US6210097B1/en")</f>
        <v>https://patents.google.com/patent/US6210097B1/en</v>
      </c>
    </row>
    <row r="12925" spans="1:5" x14ac:dyDescent="0.25">
      <c r="C12925" t="s">
        <v>24058</v>
      </c>
      <c r="D12925" t="s">
        <v>24059</v>
      </c>
      <c r="E12925" t="str">
        <f>HYPERLINK("https://patents.google.com/patent/US6408225B1/en")</f>
        <v>https://patents.google.com/patent/US6408225B1/en</v>
      </c>
    </row>
    <row r="12926" spans="1:5" x14ac:dyDescent="0.25">
      <c r="C12926" t="s">
        <v>24060</v>
      </c>
      <c r="D12926" t="s">
        <v>24061</v>
      </c>
      <c r="E12926" t="str">
        <f>HYPERLINK("https://patents.google.com/patent/JP5991857B2/en")</f>
        <v>https://patents.google.com/patent/JP5991857B2/en</v>
      </c>
    </row>
    <row r="12927" spans="1:5" x14ac:dyDescent="0.25">
      <c r="C12927" t="s">
        <v>24062</v>
      </c>
      <c r="D12927" t="s">
        <v>24063</v>
      </c>
      <c r="E12927" t="str">
        <f>HYPERLINK("https://patents.google.com/patent/US4904150A/en")</f>
        <v>https://patents.google.com/patent/US4904150A/en</v>
      </c>
    </row>
    <row r="12928" spans="1:5" x14ac:dyDescent="0.25">
      <c r="C12928" t="s">
        <v>24064</v>
      </c>
      <c r="D12928" t="s">
        <v>24065</v>
      </c>
      <c r="E12928" t="str">
        <f>HYPERLINK("https://patents.google.com/patent/JP2005319550A/en")</f>
        <v>https://patents.google.com/patent/JP2005319550A/en</v>
      </c>
    </row>
    <row r="12929" spans="3:5" x14ac:dyDescent="0.25">
      <c r="C12929" t="s">
        <v>24066</v>
      </c>
      <c r="D12929" t="s">
        <v>24067</v>
      </c>
      <c r="E12929" t="str">
        <f>HYPERLINK("https://patents.google.com/patent/EP1419857A1/en")</f>
        <v>https://patents.google.com/patent/EP1419857A1/en</v>
      </c>
    </row>
    <row r="12930" spans="3:5" x14ac:dyDescent="0.25">
      <c r="C12930" t="s">
        <v>24068</v>
      </c>
      <c r="D12930" t="s">
        <v>24069</v>
      </c>
      <c r="E12930" t="str">
        <f>HYPERLINK("https://patents.google.com/patent/FR2880575A1/en")</f>
        <v>https://patents.google.com/patent/FR2880575A1/en</v>
      </c>
    </row>
    <row r="12931" spans="3:5" x14ac:dyDescent="0.25">
      <c r="C12931" t="s">
        <v>24070</v>
      </c>
      <c r="D12931" t="s">
        <v>24071</v>
      </c>
      <c r="E12931" t="str">
        <f>HYPERLINK("https://patents.google.com/patent/US4455120A/en")</f>
        <v>https://patents.google.com/patent/US4455120A/en</v>
      </c>
    </row>
    <row r="12932" spans="3:5" x14ac:dyDescent="0.25">
      <c r="C12932" t="s">
        <v>24072</v>
      </c>
      <c r="D12932" t="s">
        <v>24073</v>
      </c>
      <c r="E12932" t="str">
        <f>HYPERLINK("https://patents.google.com/patent/KR101668390B1/en")</f>
        <v>https://patents.google.com/patent/KR101668390B1/en</v>
      </c>
    </row>
    <row r="12933" spans="3:5" x14ac:dyDescent="0.25">
      <c r="C12933" t="s">
        <v>24074</v>
      </c>
      <c r="D12933" t="s">
        <v>24075</v>
      </c>
      <c r="E12933" t="str">
        <f>HYPERLINK("https://patents.google.com/patent/CN204123408U/en")</f>
        <v>https://patents.google.com/patent/CN204123408U/en</v>
      </c>
    </row>
    <row r="12934" spans="3:5" x14ac:dyDescent="0.25">
      <c r="C12934" t="s">
        <v>24076</v>
      </c>
      <c r="D12934" t="s">
        <v>24077</v>
      </c>
      <c r="E12934" t="str">
        <f>HYPERLINK("https://patents.google.com/patent/JPH10193292A/en")</f>
        <v>https://patents.google.com/patent/JPH10193292A/en</v>
      </c>
    </row>
    <row r="12935" spans="3:5" x14ac:dyDescent="0.25">
      <c r="C12935" t="s">
        <v>24078</v>
      </c>
      <c r="D12935" t="s">
        <v>24079</v>
      </c>
      <c r="E12935" t="str">
        <f>HYPERLINK("https://patents.google.com/patent/CN102161206A/en")</f>
        <v>https://patents.google.com/patent/CN102161206A/en</v>
      </c>
    </row>
    <row r="12936" spans="3:5" x14ac:dyDescent="0.25">
      <c r="C12936" t="s">
        <v>24080</v>
      </c>
      <c r="D12936" t="s">
        <v>24081</v>
      </c>
      <c r="E12936" t="str">
        <f>HYPERLINK("https://patents.google.com/patent/KR20080098465A/en")</f>
        <v>https://patents.google.com/patent/KR20080098465A/en</v>
      </c>
    </row>
    <row r="12937" spans="3:5" x14ac:dyDescent="0.25">
      <c r="C12937" t="s">
        <v>24082</v>
      </c>
      <c r="D12937" t="s">
        <v>24083</v>
      </c>
      <c r="E12937" t="str">
        <f>HYPERLINK("https://patents.google.com/patent/FR2533284A1/en")</f>
        <v>https://patents.google.com/patent/FR2533284A1/en</v>
      </c>
    </row>
    <row r="12938" spans="3:5" x14ac:dyDescent="0.25">
      <c r="C12938" t="s">
        <v>24084</v>
      </c>
      <c r="D12938" t="s">
        <v>24085</v>
      </c>
      <c r="E12938" t="str">
        <f>HYPERLINK("https://patents.google.com/patent/EP0914911B1/en")</f>
        <v>https://patents.google.com/patent/EP0914911B1/en</v>
      </c>
    </row>
    <row r="12939" spans="3:5" x14ac:dyDescent="0.25">
      <c r="C12939" t="s">
        <v>24086</v>
      </c>
      <c r="D12939" t="s">
        <v>24087</v>
      </c>
      <c r="E12939" t="str">
        <f>HYPERLINK("https://patents.google.com/patent/JPS57132988A/en")</f>
        <v>https://patents.google.com/patent/JPS57132988A/en</v>
      </c>
    </row>
    <row r="12940" spans="3:5" x14ac:dyDescent="0.25">
      <c r="C12940" t="s">
        <v>24088</v>
      </c>
      <c r="D12940" t="s">
        <v>24089</v>
      </c>
      <c r="E12940" t="str">
        <f>HYPERLINK("https://patents.google.com/patent/JPS51122254A/en")</f>
        <v>https://patents.google.com/patent/JPS51122254A/en</v>
      </c>
    </row>
    <row r="12941" spans="3:5" x14ac:dyDescent="0.25">
      <c r="C12941" t="s">
        <v>24090</v>
      </c>
      <c r="D12941" t="s">
        <v>24091</v>
      </c>
      <c r="E12941" t="str">
        <f>HYPERLINK("https://patents.google.com/patent/JPH0890484A/en")</f>
        <v>https://patents.google.com/patent/JPH0890484A/en</v>
      </c>
    </row>
    <row r="12942" spans="3:5" x14ac:dyDescent="0.25">
      <c r="C12942" t="s">
        <v>24092</v>
      </c>
      <c r="D12942" t="s">
        <v>24093</v>
      </c>
      <c r="E12942" t="str">
        <f>HYPERLINK("https://patents.google.com/patent/EP0143134A1/en")</f>
        <v>https://patents.google.com/patent/EP0143134A1/en</v>
      </c>
    </row>
    <row r="12943" spans="3:5" x14ac:dyDescent="0.25">
      <c r="C12943" t="s">
        <v>24094</v>
      </c>
      <c r="D12943" t="s">
        <v>24095</v>
      </c>
      <c r="E12943" t="str">
        <f>HYPERLINK("https://patents.google.com/patent/CN202620119U/en")</f>
        <v>https://patents.google.com/patent/CN202620119U/en</v>
      </c>
    </row>
    <row r="12944" spans="3:5" x14ac:dyDescent="0.25">
      <c r="C12944" t="s">
        <v>24096</v>
      </c>
      <c r="D12944" t="s">
        <v>24097</v>
      </c>
      <c r="E12944" t="str">
        <f>HYPERLINK("https://patents.google.com/patent/CN207087913U/en")</f>
        <v>https://patents.google.com/patent/CN207087913U/en</v>
      </c>
    </row>
    <row r="12945" spans="3:5" x14ac:dyDescent="0.25">
      <c r="C12945" t="s">
        <v>24098</v>
      </c>
      <c r="D12945" t="s">
        <v>24099</v>
      </c>
      <c r="E12945" t="str">
        <f>HYPERLINK("https://patents.google.com/patent/EP3282407A1/en")</f>
        <v>https://patents.google.com/patent/EP3282407A1/en</v>
      </c>
    </row>
    <row r="12946" spans="3:5" x14ac:dyDescent="0.25">
      <c r="C12946" t="s">
        <v>24100</v>
      </c>
      <c r="D12946" t="s">
        <v>24101</v>
      </c>
      <c r="E12946" t="str">
        <f>HYPERLINK("https://patents.google.com/patent/JPH05329792A/en")</f>
        <v>https://patents.google.com/patent/JPH05329792A/en</v>
      </c>
    </row>
    <row r="12947" spans="3:5" x14ac:dyDescent="0.25">
      <c r="C12947" t="s">
        <v>24102</v>
      </c>
      <c r="D12947" t="s">
        <v>24103</v>
      </c>
      <c r="E12947" t="str">
        <f>HYPERLINK("https://patents.google.com/patent/CN204300230U/en")</f>
        <v>https://patents.google.com/patent/CN204300230U/en</v>
      </c>
    </row>
    <row r="12948" spans="3:5" x14ac:dyDescent="0.25">
      <c r="C12948" t="s">
        <v>24104</v>
      </c>
      <c r="D12948" t="s">
        <v>24105</v>
      </c>
      <c r="E12948" t="str">
        <f>HYPERLINK("https://patents.google.com/patent/JP2017030099A/en")</f>
        <v>https://patents.google.com/patent/JP2017030099A/en</v>
      </c>
    </row>
    <row r="12949" spans="3:5" x14ac:dyDescent="0.25">
      <c r="C12949" t="s">
        <v>24106</v>
      </c>
      <c r="D12949" t="s">
        <v>24107</v>
      </c>
      <c r="E12949" t="str">
        <f>HYPERLINK("https://patents.google.com/patent/CN204505298U/en")</f>
        <v>https://patents.google.com/patent/CN204505298U/en</v>
      </c>
    </row>
    <row r="12950" spans="3:5" x14ac:dyDescent="0.25">
      <c r="C12950" t="s">
        <v>24108</v>
      </c>
      <c r="D12950" t="s">
        <v>24109</v>
      </c>
      <c r="E12950" t="str">
        <f>HYPERLINK("https://patents.google.com/patent/JP4222918B2/en")</f>
        <v>https://patents.google.com/patent/JP4222918B2/en</v>
      </c>
    </row>
    <row r="12951" spans="3:5" x14ac:dyDescent="0.25">
      <c r="C12951" t="s">
        <v>24110</v>
      </c>
      <c r="D12951" t="s">
        <v>24111</v>
      </c>
      <c r="E12951" t="str">
        <f>HYPERLINK("https://patents.google.com/patent/CN207630071U/en")</f>
        <v>https://patents.google.com/patent/CN207630071U/en</v>
      </c>
    </row>
    <row r="12952" spans="3:5" x14ac:dyDescent="0.25">
      <c r="C12952" t="s">
        <v>24112</v>
      </c>
      <c r="D12952" t="s">
        <v>24113</v>
      </c>
      <c r="E12952" t="str">
        <f>HYPERLINK("https://patents.google.com/patent/US20090039819A1/en")</f>
        <v>https://patents.google.com/patent/US20090039819A1/en</v>
      </c>
    </row>
    <row r="12953" spans="3:5" x14ac:dyDescent="0.25">
      <c r="C12953" t="s">
        <v>24114</v>
      </c>
      <c r="D12953" t="s">
        <v>24115</v>
      </c>
      <c r="E12953" t="str">
        <f>HYPERLINK("https://patents.google.com/patent/DE102006020886A1/en")</f>
        <v>https://patents.google.com/patent/DE102006020886A1/en</v>
      </c>
    </row>
    <row r="12954" spans="3:5" x14ac:dyDescent="0.25">
      <c r="C12954" t="s">
        <v>24116</v>
      </c>
      <c r="D12954" t="s">
        <v>24117</v>
      </c>
      <c r="E12954" t="str">
        <f>HYPERLINK("https://patents.google.com/patent/CN204054079U/en")</f>
        <v>https://patents.google.com/patent/CN204054079U/en</v>
      </c>
    </row>
    <row r="12955" spans="3:5" x14ac:dyDescent="0.25">
      <c r="C12955" t="s">
        <v>24118</v>
      </c>
      <c r="D12955" t="s">
        <v>24119</v>
      </c>
      <c r="E12955" t="str">
        <f>HYPERLINK("https://patents.google.com/patent/CN104890647A/en")</f>
        <v>https://patents.google.com/patent/CN104890647A/en</v>
      </c>
    </row>
    <row r="12956" spans="3:5" x14ac:dyDescent="0.25">
      <c r="C12956" t="s">
        <v>24120</v>
      </c>
      <c r="D12956" t="s">
        <v>24121</v>
      </c>
      <c r="E12956" t="str">
        <f>HYPERLINK("https://patents.google.com/patent/CN202955055U/en")</f>
        <v>https://patents.google.com/patent/CN202955055U/en</v>
      </c>
    </row>
    <row r="12957" spans="3:5" x14ac:dyDescent="0.25">
      <c r="C12957" t="s">
        <v>24122</v>
      </c>
      <c r="D12957" t="s">
        <v>24123</v>
      </c>
      <c r="E12957" t="str">
        <f>HYPERLINK("https://patents.google.com/patent/CN101284552A/en")</f>
        <v>https://patents.google.com/patent/CN101284552A/en</v>
      </c>
    </row>
    <row r="12958" spans="3:5" x14ac:dyDescent="0.25">
      <c r="C12958" t="s">
        <v>24124</v>
      </c>
      <c r="D12958" t="s">
        <v>24125</v>
      </c>
      <c r="E12958" t="str">
        <f>HYPERLINK("https://patents.google.com/patent/CN201218316Y/en")</f>
        <v>https://patents.google.com/patent/CN201218316Y/en</v>
      </c>
    </row>
    <row r="12959" spans="3:5" x14ac:dyDescent="0.25">
      <c r="C12959" t="s">
        <v>24126</v>
      </c>
      <c r="D12959" t="s">
        <v>24127</v>
      </c>
      <c r="E12959" t="str">
        <f>HYPERLINK("https://patents.google.com/patent/CN101585304A/en")</f>
        <v>https://patents.google.com/patent/CN101585304A/en</v>
      </c>
    </row>
    <row r="12960" spans="3:5" x14ac:dyDescent="0.25">
      <c r="C12960" t="s">
        <v>24128</v>
      </c>
      <c r="D12960" t="s">
        <v>24129</v>
      </c>
      <c r="E12960" t="str">
        <f>HYPERLINK("https://patents.google.com/patent/CN104526716A/en")</f>
        <v>https://patents.google.com/patent/CN104526716A/en</v>
      </c>
    </row>
    <row r="12961" spans="3:5" x14ac:dyDescent="0.25">
      <c r="C12961" t="s">
        <v>24130</v>
      </c>
      <c r="D12961" t="s">
        <v>24131</v>
      </c>
      <c r="E12961" t="str">
        <f>HYPERLINK("https://patents.google.com/patent/CN204921841U/en")</f>
        <v>https://patents.google.com/patent/CN204921841U/en</v>
      </c>
    </row>
    <row r="12962" spans="3:5" x14ac:dyDescent="0.25">
      <c r="C12962" t="s">
        <v>24132</v>
      </c>
      <c r="D12962" t="s">
        <v>24133</v>
      </c>
      <c r="E12962" t="str">
        <f>HYPERLINK("https://patents.google.com/patent/CN201012495Y/en")</f>
        <v>https://patents.google.com/patent/CN201012495Y/en</v>
      </c>
    </row>
    <row r="12963" spans="3:5" x14ac:dyDescent="0.25">
      <c r="C12963" t="s">
        <v>24134</v>
      </c>
      <c r="D12963" t="s">
        <v>24135</v>
      </c>
      <c r="E12963" t="str">
        <f>HYPERLINK("https://patents.google.com/patent/CN101823262A/en")</f>
        <v>https://patents.google.com/patent/CN101823262A/en</v>
      </c>
    </row>
    <row r="12964" spans="3:5" x14ac:dyDescent="0.25">
      <c r="C12964" t="s">
        <v>24136</v>
      </c>
      <c r="D12964" t="s">
        <v>24137</v>
      </c>
      <c r="E12964" t="str">
        <f>HYPERLINK("https://patents.google.com/patent/US5100284A/en")</f>
        <v>https://patents.google.com/patent/US5100284A/en</v>
      </c>
    </row>
    <row r="12965" spans="3:5" x14ac:dyDescent="0.25">
      <c r="C12965" t="s">
        <v>24138</v>
      </c>
      <c r="D12965" t="s">
        <v>24139</v>
      </c>
      <c r="E12965" t="str">
        <f>HYPERLINK("https://patents.google.com/patent/US4608651A/en")</f>
        <v>https://patents.google.com/patent/US4608651A/en</v>
      </c>
    </row>
    <row r="12966" spans="3:5" x14ac:dyDescent="0.25">
      <c r="C12966" t="s">
        <v>24140</v>
      </c>
      <c r="D12966" t="s">
        <v>24141</v>
      </c>
      <c r="E12966" t="str">
        <f>HYPERLINK("https://patents.google.com/patent/JPH05200690A/en")</f>
        <v>https://patents.google.com/patent/JPH05200690A/en</v>
      </c>
    </row>
    <row r="12967" spans="3:5" x14ac:dyDescent="0.25">
      <c r="C12967" t="s">
        <v>24142</v>
      </c>
      <c r="D12967" t="s">
        <v>24143</v>
      </c>
      <c r="E12967" t="str">
        <f>HYPERLINK("https://patents.google.com/patent/KR200220822Y1/en")</f>
        <v>https://patents.google.com/patent/KR200220822Y1/en</v>
      </c>
    </row>
    <row r="12968" spans="3:5" x14ac:dyDescent="0.25">
      <c r="C12968" t="s">
        <v>24144</v>
      </c>
      <c r="D12968" t="s">
        <v>24145</v>
      </c>
      <c r="E12968" t="str">
        <f>HYPERLINK("https://patents.google.com/patent/CN201693559U/en")</f>
        <v>https://patents.google.com/patent/CN201693559U/en</v>
      </c>
    </row>
    <row r="12969" spans="3:5" x14ac:dyDescent="0.25">
      <c r="C12969" t="s">
        <v>24146</v>
      </c>
      <c r="D12969" t="s">
        <v>24147</v>
      </c>
      <c r="E12969" t="str">
        <f>HYPERLINK("https://patents.google.com/patent/KR101228187B1/en")</f>
        <v>https://patents.google.com/patent/KR101228187B1/en</v>
      </c>
    </row>
    <row r="12970" spans="3:5" x14ac:dyDescent="0.25">
      <c r="C12970" t="s">
        <v>24148</v>
      </c>
      <c r="D12970" t="s">
        <v>24149</v>
      </c>
      <c r="E12970" t="str">
        <f>HYPERLINK("https://patents.google.com/patent/EP0034959A1/en")</f>
        <v>https://patents.google.com/patent/EP0034959A1/en</v>
      </c>
    </row>
    <row r="12971" spans="3:5" x14ac:dyDescent="0.25">
      <c r="C12971" t="s">
        <v>24150</v>
      </c>
      <c r="D12971" t="s">
        <v>24151</v>
      </c>
      <c r="E12971" t="str">
        <f>HYPERLINK("https://patents.google.com/patent/JP2007319946A/en")</f>
        <v>https://patents.google.com/patent/JP2007319946A/en</v>
      </c>
    </row>
    <row r="12972" spans="3:5" x14ac:dyDescent="0.25">
      <c r="C12972" t="s">
        <v>24152</v>
      </c>
      <c r="D12972" t="s">
        <v>24153</v>
      </c>
      <c r="E12972" t="str">
        <f>HYPERLINK("https://patents.google.com/patent/WO2011102630A2/en")</f>
        <v>https://patents.google.com/patent/WO2011102630A2/en</v>
      </c>
    </row>
    <row r="12973" spans="3:5" x14ac:dyDescent="0.25">
      <c r="C12973" t="s">
        <v>24154</v>
      </c>
      <c r="D12973" t="s">
        <v>24155</v>
      </c>
      <c r="E12973" t="str">
        <f>HYPERLINK("https://patents.google.com/patent/CN202240141U/en")</f>
        <v>https://patents.google.com/patent/CN202240141U/en</v>
      </c>
    </row>
    <row r="12974" spans="3:5" x14ac:dyDescent="0.25">
      <c r="C12974" t="s">
        <v>24156</v>
      </c>
      <c r="D12974" t="s">
        <v>24157</v>
      </c>
      <c r="E12974" t="str">
        <f>HYPERLINK("https://patents.google.com/patent/KR101287593B1/en")</f>
        <v>https://patents.google.com/patent/KR101287593B1/en</v>
      </c>
    </row>
    <row r="12975" spans="3:5" x14ac:dyDescent="0.25">
      <c r="C12975" t="s">
        <v>24158</v>
      </c>
      <c r="D12975" t="s">
        <v>24159</v>
      </c>
      <c r="E12975" t="str">
        <f>HYPERLINK("https://patents.google.com/patent/EP0195085B1/en")</f>
        <v>https://patents.google.com/patent/EP0195085B1/en</v>
      </c>
    </row>
    <row r="12976" spans="3:5" x14ac:dyDescent="0.25">
      <c r="C12976" t="s">
        <v>24160</v>
      </c>
      <c r="D12976" t="s">
        <v>24161</v>
      </c>
      <c r="E12976" t="str">
        <f>HYPERLINK("https://patents.google.com/patent/CN205043806U/en")</f>
        <v>https://patents.google.com/patent/CN205043806U/en</v>
      </c>
    </row>
    <row r="12977" spans="3:5" x14ac:dyDescent="0.25">
      <c r="C12977" t="s">
        <v>24162</v>
      </c>
      <c r="D12977" t="s">
        <v>24163</v>
      </c>
      <c r="E12977" t="str">
        <f>HYPERLINK("https://patents.google.com/patent/CN204711977U/en")</f>
        <v>https://patents.google.com/patent/CN204711977U/en</v>
      </c>
    </row>
    <row r="12978" spans="3:5" x14ac:dyDescent="0.25">
      <c r="C12978" t="s">
        <v>24164</v>
      </c>
      <c r="D12978" t="s">
        <v>24165</v>
      </c>
      <c r="E12978" t="str">
        <f>HYPERLINK("https://patents.google.com/patent/JPH1158287A/en")</f>
        <v>https://patents.google.com/patent/JPH1158287A/en</v>
      </c>
    </row>
    <row r="12979" spans="3:5" x14ac:dyDescent="0.25">
      <c r="C12979" t="s">
        <v>24166</v>
      </c>
      <c r="D12979" t="s">
        <v>24167</v>
      </c>
      <c r="E12979" t="str">
        <f>HYPERLINK("https://patents.google.com/patent/KR101413608B1/en")</f>
        <v>https://patents.google.com/patent/KR101413608B1/en</v>
      </c>
    </row>
    <row r="12980" spans="3:5" x14ac:dyDescent="0.25">
      <c r="C12980" t="s">
        <v>24168</v>
      </c>
      <c r="D12980" t="s">
        <v>24169</v>
      </c>
      <c r="E12980" t="str">
        <f>HYPERLINK("https://patents.google.com/patent/KR101507368B1/en")</f>
        <v>https://patents.google.com/patent/KR101507368B1/en</v>
      </c>
    </row>
    <row r="12981" spans="3:5" x14ac:dyDescent="0.25">
      <c r="C12981" t="s">
        <v>24170</v>
      </c>
      <c r="D12981" t="s">
        <v>24171</v>
      </c>
      <c r="E12981" t="str">
        <f>HYPERLINK("https://patents.google.com/patent/EP1138449B1/en")</f>
        <v>https://patents.google.com/patent/EP1138449B1/en</v>
      </c>
    </row>
    <row r="12982" spans="3:5" x14ac:dyDescent="0.25">
      <c r="C12982" t="s">
        <v>24172</v>
      </c>
      <c r="D12982" t="s">
        <v>24173</v>
      </c>
      <c r="E12982" t="str">
        <f>HYPERLINK("https://patents.google.com/patent/CN104890010B/en")</f>
        <v>https://patents.google.com/patent/CN104890010B/en</v>
      </c>
    </row>
    <row r="12983" spans="3:5" x14ac:dyDescent="0.25">
      <c r="C12983" t="s">
        <v>24174</v>
      </c>
      <c r="D12983" t="s">
        <v>24175</v>
      </c>
      <c r="E12983" t="str">
        <f>HYPERLINK("https://patents.google.com/patent/CN207845992U/en")</f>
        <v>https://patents.google.com/patent/CN207845992U/en</v>
      </c>
    </row>
    <row r="12984" spans="3:5" x14ac:dyDescent="0.25">
      <c r="C12984" t="s">
        <v>24176</v>
      </c>
      <c r="D12984" t="s">
        <v>24177</v>
      </c>
      <c r="E12984" t="str">
        <f>HYPERLINK("https://patents.google.com/patent/US20060212169A1/en")</f>
        <v>https://patents.google.com/patent/US20060212169A1/en</v>
      </c>
    </row>
    <row r="12985" spans="3:5" x14ac:dyDescent="0.25">
      <c r="C12985" t="s">
        <v>24178</v>
      </c>
      <c r="D12985" t="s">
        <v>24179</v>
      </c>
      <c r="E12985" t="str">
        <f>HYPERLINK("https://patents.google.com/patent/CN103991090B/en")</f>
        <v>https://patents.google.com/patent/CN103991090B/en</v>
      </c>
    </row>
    <row r="12986" spans="3:5" x14ac:dyDescent="0.25">
      <c r="C12986" t="s">
        <v>24180</v>
      </c>
      <c r="D12986" t="s">
        <v>24181</v>
      </c>
      <c r="E12986" t="str">
        <f>HYPERLINK("https://patents.google.com/patent/JP2520185Y2/en")</f>
        <v>https://patents.google.com/patent/JP2520185Y2/en</v>
      </c>
    </row>
    <row r="12987" spans="3:5" x14ac:dyDescent="0.25">
      <c r="C12987" t="s">
        <v>24182</v>
      </c>
      <c r="D12987" t="s">
        <v>24183</v>
      </c>
      <c r="E12987" t="str">
        <f>HYPERLINK("https://patents.google.com/patent/CN105591452A/en")</f>
        <v>https://patents.google.com/patent/CN105591452A/en</v>
      </c>
    </row>
    <row r="12988" spans="3:5" x14ac:dyDescent="0.25">
      <c r="C12988" t="s">
        <v>24184</v>
      </c>
      <c r="D12988" t="s">
        <v>24185</v>
      </c>
      <c r="E12988" t="str">
        <f>HYPERLINK("https://patents.google.com/patent/US20030141155A1/en")</f>
        <v>https://patents.google.com/patent/US20030141155A1/en</v>
      </c>
    </row>
    <row r="12989" spans="3:5" x14ac:dyDescent="0.25">
      <c r="C12989" t="s">
        <v>24186</v>
      </c>
      <c r="D12989" t="s">
        <v>24187</v>
      </c>
      <c r="E12989" t="str">
        <f>HYPERLINK("https://patents.google.com/patent/US6199444B1/en")</f>
        <v>https://patents.google.com/patent/US6199444B1/en</v>
      </c>
    </row>
    <row r="12990" spans="3:5" x14ac:dyDescent="0.25">
      <c r="C12990" t="s">
        <v>24188</v>
      </c>
      <c r="D12990" t="s">
        <v>24189</v>
      </c>
      <c r="E12990" t="str">
        <f>HYPERLINK("https://patents.google.com/patent/EP1650116A1/en")</f>
        <v>https://patents.google.com/patent/EP1650116A1/en</v>
      </c>
    </row>
    <row r="12991" spans="3:5" x14ac:dyDescent="0.25">
      <c r="C12991" t="s">
        <v>23317</v>
      </c>
      <c r="D12991" t="s">
        <v>24190</v>
      </c>
      <c r="E12991" t="str">
        <f>HYPERLINK("https://patents.google.com/patent/JP2003326483A/en")</f>
        <v>https://patents.google.com/patent/JP2003326483A/en</v>
      </c>
    </row>
    <row r="12992" spans="3:5" x14ac:dyDescent="0.25">
      <c r="C12992" t="s">
        <v>24191</v>
      </c>
      <c r="D12992" t="s">
        <v>24192</v>
      </c>
      <c r="E12992" t="str">
        <f>HYPERLINK("https://patents.google.com/patent/US20040078109A1/en")</f>
        <v>https://patents.google.com/patent/US20040078109A1/en</v>
      </c>
    </row>
    <row r="12993" spans="3:5" x14ac:dyDescent="0.25">
      <c r="C12993" t="s">
        <v>24193</v>
      </c>
      <c r="D12993" t="s">
        <v>24194</v>
      </c>
      <c r="E12993" t="str">
        <f>HYPERLINK("https://patents.google.com/patent/EP0060483A1/en")</f>
        <v>https://patents.google.com/patent/EP0060483A1/en</v>
      </c>
    </row>
    <row r="12994" spans="3:5" x14ac:dyDescent="0.25">
      <c r="C12994" t="s">
        <v>24195</v>
      </c>
      <c r="D12994" t="s">
        <v>24196</v>
      </c>
      <c r="E12994" t="str">
        <f>HYPERLINK("https://patents.google.com/patent/US20100234996A1/en")</f>
        <v>https://patents.google.com/patent/US20100234996A1/en</v>
      </c>
    </row>
    <row r="12995" spans="3:5" x14ac:dyDescent="0.25">
      <c r="C12995" t="s">
        <v>24197</v>
      </c>
      <c r="D12995" t="s">
        <v>24198</v>
      </c>
      <c r="E12995" t="str">
        <f>HYPERLINK("https://patents.google.com/patent/US20090114053A1/en")</f>
        <v>https://patents.google.com/patent/US20090114053A1/en</v>
      </c>
    </row>
    <row r="12996" spans="3:5" x14ac:dyDescent="0.25">
      <c r="C12996" t="s">
        <v>24199</v>
      </c>
      <c r="D12996" t="s">
        <v>24200</v>
      </c>
      <c r="E12996" t="str">
        <f>HYPERLINK("https://patents.google.com/patent/JP2001225293A/en")</f>
        <v>https://patents.google.com/patent/JP2001225293A/en</v>
      </c>
    </row>
    <row r="12997" spans="3:5" x14ac:dyDescent="0.25">
      <c r="C12997" t="s">
        <v>24201</v>
      </c>
      <c r="D12997" t="s">
        <v>24202</v>
      </c>
      <c r="E12997" t="str">
        <f>HYPERLINK("https://patents.google.com/patent/JPH1044071A/en")</f>
        <v>https://patents.google.com/patent/JPH1044071A/en</v>
      </c>
    </row>
    <row r="12998" spans="3:5" x14ac:dyDescent="0.25">
      <c r="C12998" t="s">
        <v>24203</v>
      </c>
      <c r="D12998" t="s">
        <v>24204</v>
      </c>
      <c r="E12998" t="str">
        <f>HYPERLINK("https://patents.google.com/patent/US5981118A/en")</f>
        <v>https://patents.google.com/patent/US5981118A/en</v>
      </c>
    </row>
    <row r="12999" spans="3:5" x14ac:dyDescent="0.25">
      <c r="C12999" t="s">
        <v>24205</v>
      </c>
      <c r="D12999" t="s">
        <v>24206</v>
      </c>
      <c r="E12999" t="str">
        <f>HYPERLINK("https://patents.google.com/patent/US4733576A/en")</f>
        <v>https://patents.google.com/patent/US4733576A/en</v>
      </c>
    </row>
    <row r="13000" spans="3:5" x14ac:dyDescent="0.25">
      <c r="C13000" t="s">
        <v>24207</v>
      </c>
      <c r="D13000" t="s">
        <v>24208</v>
      </c>
      <c r="E13000" t="str">
        <f>HYPERLINK("https://patents.google.com/patent/US4842474A/en")</f>
        <v>https://patents.google.com/patent/US4842474A/en</v>
      </c>
    </row>
    <row r="13001" spans="3:5" x14ac:dyDescent="0.25">
      <c r="C13001" t="s">
        <v>24209</v>
      </c>
      <c r="D13001" t="s">
        <v>24210</v>
      </c>
      <c r="E13001" t="str">
        <f>HYPERLINK("https://patents.google.com/patent/WO2006035259A1/en")</f>
        <v>https://patents.google.com/patent/WO2006035259A1/en</v>
      </c>
    </row>
    <row r="13002" spans="3:5" x14ac:dyDescent="0.25">
      <c r="C13002" t="s">
        <v>24211</v>
      </c>
      <c r="D13002" t="s">
        <v>24212</v>
      </c>
      <c r="E13002" t="str">
        <f>HYPERLINK("https://patents.google.com/patent/US4803895A/en")</f>
        <v>https://patents.google.com/patent/US4803895A/en</v>
      </c>
    </row>
    <row r="13003" spans="3:5" x14ac:dyDescent="0.25">
      <c r="C13003" t="s">
        <v>24213</v>
      </c>
      <c r="D13003" t="s">
        <v>24214</v>
      </c>
      <c r="E13003" t="str">
        <f>HYPERLINK("https://patents.google.com/patent/CN104057442A/en")</f>
        <v>https://patents.google.com/patent/CN104057442A/en</v>
      </c>
    </row>
    <row r="13004" spans="3:5" x14ac:dyDescent="0.25">
      <c r="C13004" t="s">
        <v>24215</v>
      </c>
      <c r="D13004" t="s">
        <v>24216</v>
      </c>
      <c r="E13004" t="str">
        <f>HYPERLINK("https://patents.google.com/patent/US4455838A/en")</f>
        <v>https://patents.google.com/patent/US4455838A/en</v>
      </c>
    </row>
    <row r="13005" spans="3:5" x14ac:dyDescent="0.25">
      <c r="C13005" t="s">
        <v>24217</v>
      </c>
      <c r="D13005" t="s">
        <v>24218</v>
      </c>
      <c r="E13005" t="str">
        <f>HYPERLINK("https://patents.google.com/patent/DE19801652A1/en")</f>
        <v>https://patents.google.com/patent/DE19801652A1/en</v>
      </c>
    </row>
    <row r="13006" spans="3:5" x14ac:dyDescent="0.25">
      <c r="C13006" t="s">
        <v>24219</v>
      </c>
      <c r="D13006" t="s">
        <v>24220</v>
      </c>
      <c r="E13006" t="str">
        <f>HYPERLINK("https://patents.google.com/patent/EP1111362A2/en")</f>
        <v>https://patents.google.com/patent/EP1111362A2/en</v>
      </c>
    </row>
    <row r="13007" spans="3:5" x14ac:dyDescent="0.25">
      <c r="C13007" t="s">
        <v>24221</v>
      </c>
      <c r="D13007" t="s">
        <v>24222</v>
      </c>
      <c r="E13007" t="str">
        <f>HYPERLINK("https://patents.google.com/patent/US6257821B1/en")</f>
        <v>https://patents.google.com/patent/US6257821B1/en</v>
      </c>
    </row>
    <row r="13008" spans="3:5" x14ac:dyDescent="0.25">
      <c r="C13008" t="s">
        <v>24223</v>
      </c>
      <c r="D13008" t="s">
        <v>24224</v>
      </c>
      <c r="E13008" t="str">
        <f>HYPERLINK("https://patents.google.com/patent/CN104873360A/en")</f>
        <v>https://patents.google.com/patent/CN104873360A/en</v>
      </c>
    </row>
    <row r="13009" spans="3:5" x14ac:dyDescent="0.25">
      <c r="C13009" t="s">
        <v>24225</v>
      </c>
      <c r="D13009" t="s">
        <v>24226</v>
      </c>
      <c r="E13009" t="str">
        <f>HYPERLINK("https://patents.google.com/patent/US6764266B2/en")</f>
        <v>https://patents.google.com/patent/US6764266B2/en</v>
      </c>
    </row>
    <row r="13010" spans="3:5" x14ac:dyDescent="0.25">
      <c r="C13010" t="s">
        <v>24227</v>
      </c>
      <c r="D13010" t="s">
        <v>24228</v>
      </c>
      <c r="E13010" t="str">
        <f>HYPERLINK("https://patents.google.com/patent/US20110196532A1/en")</f>
        <v>https://patents.google.com/patent/US20110196532A1/en</v>
      </c>
    </row>
    <row r="13011" spans="3:5" x14ac:dyDescent="0.25">
      <c r="C13011" t="s">
        <v>24229</v>
      </c>
      <c r="D13011" t="s">
        <v>24230</v>
      </c>
      <c r="E13011" t="str">
        <f>HYPERLINK("https://patents.google.com/patent/CN103287557A/en")</f>
        <v>https://patents.google.com/patent/CN103287557A/en</v>
      </c>
    </row>
    <row r="13012" spans="3:5" x14ac:dyDescent="0.25">
      <c r="C13012" t="s">
        <v>24231</v>
      </c>
      <c r="D13012" t="s">
        <v>24232</v>
      </c>
      <c r="E13012" t="str">
        <f>HYPERLINK("https://patents.google.com/patent/CN2592510Y/en")</f>
        <v>https://patents.google.com/patent/CN2592510Y/en</v>
      </c>
    </row>
    <row r="13013" spans="3:5" x14ac:dyDescent="0.25">
      <c r="C13013" t="s">
        <v>23589</v>
      </c>
      <c r="D13013" t="s">
        <v>24233</v>
      </c>
      <c r="E13013" t="str">
        <f>HYPERLINK("https://patents.google.com/patent/US20120158175A1/en")</f>
        <v>https://patents.google.com/patent/US20120158175A1/en</v>
      </c>
    </row>
    <row r="13014" spans="3:5" x14ac:dyDescent="0.25">
      <c r="C13014" t="s">
        <v>24234</v>
      </c>
      <c r="D13014" t="s">
        <v>24235</v>
      </c>
      <c r="E13014" t="str">
        <f>HYPERLINK("https://patents.google.com/patent/CN103273490A/en")</f>
        <v>https://patents.google.com/patent/CN103273490A/en</v>
      </c>
    </row>
    <row r="13015" spans="3:5" x14ac:dyDescent="0.25">
      <c r="C13015" t="s">
        <v>23668</v>
      </c>
      <c r="D13015" t="s">
        <v>24236</v>
      </c>
      <c r="E13015" t="str">
        <f>HYPERLINK("https://patents.google.com/patent/US20110172824A1/en")</f>
        <v>https://patents.google.com/patent/US20110172824A1/en</v>
      </c>
    </row>
    <row r="13016" spans="3:5" x14ac:dyDescent="0.25">
      <c r="C13016" t="s">
        <v>24237</v>
      </c>
      <c r="D13016" t="s">
        <v>24238</v>
      </c>
      <c r="E13016" t="str">
        <f>HYPERLINK("https://patents.google.com/patent/CN2499185Y/en")</f>
        <v>https://patents.google.com/patent/CN2499185Y/en</v>
      </c>
    </row>
    <row r="13017" spans="3:5" x14ac:dyDescent="0.25">
      <c r="C13017" t="s">
        <v>24239</v>
      </c>
      <c r="D13017" t="s">
        <v>24240</v>
      </c>
      <c r="E13017" t="str">
        <f>HYPERLINK("https://patents.google.com/patent/US20130110128A1/en")</f>
        <v>https://patents.google.com/patent/US20130110128A1/en</v>
      </c>
    </row>
    <row r="13018" spans="3:5" x14ac:dyDescent="0.25">
      <c r="C13018" t="s">
        <v>24241</v>
      </c>
      <c r="D13018" t="s">
        <v>24242</v>
      </c>
      <c r="E13018" t="str">
        <f>HYPERLINK("https://patents.google.com/patent/US20020040891A1/en")</f>
        <v>https://patents.google.com/patent/US20020040891A1/en</v>
      </c>
    </row>
    <row r="13019" spans="3:5" x14ac:dyDescent="0.25">
      <c r="C13019" t="s">
        <v>24243</v>
      </c>
      <c r="D13019" t="s">
        <v>24244</v>
      </c>
      <c r="E13019" t="str">
        <f>HYPERLINK("https://patents.google.com/patent/CN101402198A/en")</f>
        <v>https://patents.google.com/patent/CN101402198A/en</v>
      </c>
    </row>
    <row r="13020" spans="3:5" x14ac:dyDescent="0.25">
      <c r="C13020" t="s">
        <v>24225</v>
      </c>
      <c r="D13020" t="s">
        <v>24245</v>
      </c>
      <c r="E13020" t="str">
        <f>HYPERLINK("https://patents.google.com/patent/US20050095094A1/en")</f>
        <v>https://patents.google.com/patent/US20050095094A1/en</v>
      </c>
    </row>
    <row r="13021" spans="3:5" x14ac:dyDescent="0.25">
      <c r="C13021" t="s">
        <v>24246</v>
      </c>
      <c r="D13021" t="s">
        <v>24247</v>
      </c>
      <c r="E13021" t="str">
        <f>HYPERLINK("https://patents.google.com/patent/CN104162890A/en")</f>
        <v>https://patents.google.com/patent/CN104162890A/en</v>
      </c>
    </row>
    <row r="13022" spans="3:5" x14ac:dyDescent="0.25">
      <c r="C13022" t="s">
        <v>24248</v>
      </c>
      <c r="D13022" t="s">
        <v>24249</v>
      </c>
      <c r="E13022" t="str">
        <f>HYPERLINK("https://patents.google.com/patent/WO2012165887A2/en")</f>
        <v>https://patents.google.com/patent/WO2012165887A2/en</v>
      </c>
    </row>
    <row r="13023" spans="3:5" x14ac:dyDescent="0.25">
      <c r="C13023" t="s">
        <v>24250</v>
      </c>
      <c r="D13023" t="s">
        <v>24251</v>
      </c>
      <c r="E13023" t="str">
        <f>HYPERLINK("https://patents.google.com/patent/DE20214970U1/en")</f>
        <v>https://patents.google.com/patent/DE20214970U1/en</v>
      </c>
    </row>
    <row r="13024" spans="3:5" x14ac:dyDescent="0.25">
      <c r="C13024" t="s">
        <v>24252</v>
      </c>
      <c r="D13024" t="s">
        <v>24253</v>
      </c>
      <c r="E13024" t="str">
        <f>HYPERLINK("https://patents.google.com/patent/US3546814A/en")</f>
        <v>https://patents.google.com/patent/US3546814A/en</v>
      </c>
    </row>
    <row r="13025" spans="3:5" x14ac:dyDescent="0.25">
      <c r="C13025" t="s">
        <v>24254</v>
      </c>
      <c r="D13025" t="s">
        <v>24255</v>
      </c>
      <c r="E13025" t="str">
        <f>HYPERLINK("https://patents.google.com/patent/EP0410833A1/en")</f>
        <v>https://patents.google.com/patent/EP0410833A1/en</v>
      </c>
    </row>
    <row r="13026" spans="3:5" x14ac:dyDescent="0.25">
      <c r="C13026" t="s">
        <v>24256</v>
      </c>
      <c r="D13026" t="s">
        <v>24257</v>
      </c>
      <c r="E13026" t="str">
        <f>HYPERLINK("https://patents.google.com/patent/US4688983A/en")</f>
        <v>https://patents.google.com/patent/US4688983A/en</v>
      </c>
    </row>
    <row r="13027" spans="3:5" x14ac:dyDescent="0.25">
      <c r="C13027" t="s">
        <v>24258</v>
      </c>
      <c r="D13027" t="s">
        <v>24259</v>
      </c>
      <c r="E13027" t="str">
        <f>HYPERLINK("https://patents.google.com/patent/US5423648A/en")</f>
        <v>https://patents.google.com/patent/US5423648A/en</v>
      </c>
    </row>
    <row r="13028" spans="3:5" x14ac:dyDescent="0.25">
      <c r="C13028" t="s">
        <v>24260</v>
      </c>
      <c r="D13028" t="s">
        <v>24261</v>
      </c>
      <c r="E13028" t="str">
        <f>HYPERLINK("https://patents.google.com/patent/US5506999A/en")</f>
        <v>https://patents.google.com/patent/US5506999A/en</v>
      </c>
    </row>
    <row r="13029" spans="3:5" x14ac:dyDescent="0.25">
      <c r="C13029" t="s">
        <v>24262</v>
      </c>
      <c r="D13029" t="s">
        <v>24263</v>
      </c>
      <c r="E13029" t="str">
        <f>HYPERLINK("https://patents.google.com/patent/US6678572B1/en")</f>
        <v>https://patents.google.com/patent/US6678572B1/en</v>
      </c>
    </row>
    <row r="13030" spans="3:5" x14ac:dyDescent="0.25">
      <c r="C13030" t="s">
        <v>24264</v>
      </c>
      <c r="D13030" t="s">
        <v>24265</v>
      </c>
      <c r="E13030" t="str">
        <f>HYPERLINK("https://patents.google.com/patent/US20090271034A1/en")</f>
        <v>https://patents.google.com/patent/US20090271034A1/en</v>
      </c>
    </row>
    <row r="13031" spans="3:5" x14ac:dyDescent="0.25">
      <c r="C13031" t="s">
        <v>7322</v>
      </c>
      <c r="D13031" t="s">
        <v>24266</v>
      </c>
      <c r="E13031" t="str">
        <f>HYPERLINK("https://patents.google.com/patent/US5132601A/en")</f>
        <v>https://patents.google.com/patent/US5132601A/en</v>
      </c>
    </row>
    <row r="13032" spans="3:5" x14ac:dyDescent="0.25">
      <c r="C13032" t="s">
        <v>24267</v>
      </c>
      <c r="D13032" t="s">
        <v>24268</v>
      </c>
      <c r="E13032" t="str">
        <f>HYPERLINK("https://patents.google.com/patent/US6060022A/en")</f>
        <v>https://patents.google.com/patent/US6060022A/en</v>
      </c>
    </row>
    <row r="13033" spans="3:5" x14ac:dyDescent="0.25">
      <c r="C13033" t="s">
        <v>24269</v>
      </c>
      <c r="D13033" t="s">
        <v>24270</v>
      </c>
      <c r="E13033" t="str">
        <f>HYPERLINK("https://patents.google.com/patent/US20110061951A1/en")</f>
        <v>https://patents.google.com/patent/US20110061951A1/en</v>
      </c>
    </row>
    <row r="13034" spans="3:5" x14ac:dyDescent="0.25">
      <c r="C13034" t="s">
        <v>6986</v>
      </c>
      <c r="D13034" t="s">
        <v>24271</v>
      </c>
      <c r="E13034" t="str">
        <f>HYPERLINK("https://patents.google.com/patent/US5402690A/en")</f>
        <v>https://patents.google.com/patent/US5402690A/en</v>
      </c>
    </row>
    <row r="13035" spans="3:5" x14ac:dyDescent="0.25">
      <c r="C13035" t="s">
        <v>24272</v>
      </c>
      <c r="D13035" t="s">
        <v>24273</v>
      </c>
      <c r="E13035" t="str">
        <f>HYPERLINK("https://patents.google.com/patent/US5388944A/en")</f>
        <v>https://patents.google.com/patent/US5388944A/en</v>
      </c>
    </row>
    <row r="13036" spans="3:5" x14ac:dyDescent="0.25">
      <c r="C13036" t="s">
        <v>24274</v>
      </c>
      <c r="D13036" t="s">
        <v>24275</v>
      </c>
      <c r="E13036" t="str">
        <f>HYPERLINK("https://patents.google.com/patent/EP0194217B1/en")</f>
        <v>https://patents.google.com/patent/EP0194217B1/en</v>
      </c>
    </row>
    <row r="13037" spans="3:5" x14ac:dyDescent="0.25">
      <c r="C13037" t="s">
        <v>24276</v>
      </c>
      <c r="D13037" t="s">
        <v>24277</v>
      </c>
      <c r="E13037" t="str">
        <f>HYPERLINK("https://patents.google.com/patent/US5796229A/en")</f>
        <v>https://patents.google.com/patent/US5796229A/en</v>
      </c>
    </row>
    <row r="13038" spans="3:5" x14ac:dyDescent="0.25">
      <c r="C13038" t="s">
        <v>24278</v>
      </c>
      <c r="D13038" t="s">
        <v>24279</v>
      </c>
      <c r="E13038" t="str">
        <f>HYPERLINK("https://patents.google.com/patent/US6337456B1/en")</f>
        <v>https://patents.google.com/patent/US6337456B1/en</v>
      </c>
    </row>
    <row r="13039" spans="3:5" x14ac:dyDescent="0.25">
      <c r="C13039" t="s">
        <v>24280</v>
      </c>
      <c r="D13039" t="s">
        <v>24281</v>
      </c>
      <c r="E13039" t="str">
        <f>HYPERLINK("https://patents.google.com/patent/JP2002144278A/en")</f>
        <v>https://patents.google.com/patent/JP2002144278A/en</v>
      </c>
    </row>
    <row r="13040" spans="3:5" x14ac:dyDescent="0.25">
      <c r="C13040" t="s">
        <v>24282</v>
      </c>
      <c r="D13040" t="s">
        <v>24283</v>
      </c>
      <c r="E13040" t="str">
        <f>HYPERLINK("https://patents.google.com/patent/US7651306B2/en")</f>
        <v>https://patents.google.com/patent/US7651306B2/en</v>
      </c>
    </row>
    <row r="13041" spans="3:5" x14ac:dyDescent="0.25">
      <c r="C13041" t="s">
        <v>24284</v>
      </c>
      <c r="D13041" t="s">
        <v>24285</v>
      </c>
      <c r="E13041" t="str">
        <f>HYPERLINK("https://patents.google.com/patent/US6247738B1/en")</f>
        <v>https://patents.google.com/patent/US6247738B1/en</v>
      </c>
    </row>
    <row r="13042" spans="3:5" x14ac:dyDescent="0.25">
      <c r="C13042" t="s">
        <v>24286</v>
      </c>
      <c r="D13042" t="s">
        <v>24287</v>
      </c>
      <c r="E13042" t="str">
        <f>HYPERLINK("https://patents.google.com/patent/US20140230168A1/en")</f>
        <v>https://patents.google.com/patent/US20140230168A1/en</v>
      </c>
    </row>
    <row r="13043" spans="3:5" x14ac:dyDescent="0.25">
      <c r="C13043" t="s">
        <v>7322</v>
      </c>
      <c r="D13043" t="s">
        <v>24288</v>
      </c>
      <c r="E13043" t="str">
        <f>HYPERLINK("https://patents.google.com/patent/US5901613A/en")</f>
        <v>https://patents.google.com/patent/US5901613A/en</v>
      </c>
    </row>
    <row r="13044" spans="3:5" x14ac:dyDescent="0.25">
      <c r="C13044" t="s">
        <v>24289</v>
      </c>
      <c r="D13044" t="s">
        <v>24290</v>
      </c>
      <c r="E13044" t="str">
        <f>HYPERLINK("https://patents.google.com/patent/JP2005096068A/en")</f>
        <v>https://patents.google.com/patent/JP2005096068A/en</v>
      </c>
    </row>
    <row r="13045" spans="3:5" x14ac:dyDescent="0.25">
      <c r="C13045" t="s">
        <v>24291</v>
      </c>
      <c r="D13045" t="s">
        <v>24292</v>
      </c>
      <c r="E13045" t="str">
        <f>HYPERLINK("https://patents.google.com/patent/US6418356B1/en")</f>
        <v>https://patents.google.com/patent/US6418356B1/en</v>
      </c>
    </row>
    <row r="13046" spans="3:5" x14ac:dyDescent="0.25">
      <c r="C13046" t="s">
        <v>24293</v>
      </c>
      <c r="D13046" t="s">
        <v>24294</v>
      </c>
      <c r="E13046" t="str">
        <f>HYPERLINK("https://patents.google.com/patent/CN103035161A/en")</f>
        <v>https://patents.google.com/patent/CN103035161A/en</v>
      </c>
    </row>
    <row r="13047" spans="3:5" x14ac:dyDescent="0.25">
      <c r="C13047" t="s">
        <v>24295</v>
      </c>
      <c r="D13047" t="s">
        <v>24296</v>
      </c>
      <c r="E13047" t="str">
        <f>HYPERLINK("https://patents.google.com/patent/US20110126660A1/en")</f>
        <v>https://patents.google.com/patent/US20110126660A1/en</v>
      </c>
    </row>
    <row r="13048" spans="3:5" x14ac:dyDescent="0.25">
      <c r="C13048" t="s">
        <v>24297</v>
      </c>
      <c r="D13048" t="s">
        <v>24298</v>
      </c>
      <c r="E13048" t="str">
        <f>HYPERLINK("https://patents.google.com/patent/US7066025B1/en")</f>
        <v>https://patents.google.com/patent/US7066025B1/en</v>
      </c>
    </row>
    <row r="13049" spans="3:5" x14ac:dyDescent="0.25">
      <c r="C13049" t="s">
        <v>24299</v>
      </c>
      <c r="D13049" t="s">
        <v>24300</v>
      </c>
      <c r="E13049" t="str">
        <f>HYPERLINK("https://patents.google.com/patent/US20090120584A1/en")</f>
        <v>https://patents.google.com/patent/US20090120584A1/en</v>
      </c>
    </row>
    <row r="13050" spans="3:5" x14ac:dyDescent="0.25">
      <c r="C13050" t="s">
        <v>23964</v>
      </c>
      <c r="D13050" t="s">
        <v>24301</v>
      </c>
      <c r="E13050" t="str">
        <f>HYPERLINK("https://patents.google.com/patent/JPH05305586A/en")</f>
        <v>https://patents.google.com/patent/JPH05305586A/en</v>
      </c>
    </row>
    <row r="13051" spans="3:5" x14ac:dyDescent="0.25">
      <c r="C13051" t="s">
        <v>24302</v>
      </c>
      <c r="D13051" t="s">
        <v>24303</v>
      </c>
      <c r="E13051" t="str">
        <f>HYPERLINK("https://patents.google.com/patent/US20160307448A1/en")</f>
        <v>https://patents.google.com/patent/US20160307448A1/en</v>
      </c>
    </row>
    <row r="13052" spans="3:5" x14ac:dyDescent="0.25">
      <c r="C13052" t="s">
        <v>24304</v>
      </c>
      <c r="D13052" t="s">
        <v>24305</v>
      </c>
      <c r="E13052" t="str">
        <f>HYPERLINK("https://patents.google.com/patent/US20060263177A1/en")</f>
        <v>https://patents.google.com/patent/US20060263177A1/en</v>
      </c>
    </row>
    <row r="13053" spans="3:5" x14ac:dyDescent="0.25">
      <c r="C13053" t="s">
        <v>24306</v>
      </c>
      <c r="D13053" t="s">
        <v>24307</v>
      </c>
      <c r="E13053" t="str">
        <f>HYPERLINK("https://patents.google.com/patent/WO2012020858A1/en")</f>
        <v>https://patents.google.com/patent/WO2012020858A1/en</v>
      </c>
    </row>
    <row r="13054" spans="3:5" x14ac:dyDescent="0.25">
      <c r="C13054" t="s">
        <v>24308</v>
      </c>
      <c r="D13054" t="s">
        <v>24309</v>
      </c>
      <c r="E13054" t="str">
        <f>HYPERLINK("https://patents.google.com/patent/US20070156122A1/en")</f>
        <v>https://patents.google.com/patent/US20070156122A1/en</v>
      </c>
    </row>
    <row r="13055" spans="3:5" x14ac:dyDescent="0.25">
      <c r="C13055" t="s">
        <v>24310</v>
      </c>
      <c r="D13055" t="s">
        <v>24311</v>
      </c>
      <c r="E13055" t="str">
        <f>HYPERLINK("https://patents.google.com/patent/WO2013034399A1/en")</f>
        <v>https://patents.google.com/patent/WO2013034399A1/en</v>
      </c>
    </row>
    <row r="13056" spans="3:5" x14ac:dyDescent="0.25">
      <c r="C13056" t="s">
        <v>24312</v>
      </c>
      <c r="D13056" t="s">
        <v>24313</v>
      </c>
      <c r="E13056" t="str">
        <f>HYPERLINK("https://patents.google.com/patent/EP0308348A1/en")</f>
        <v>https://patents.google.com/patent/EP0308348A1/en</v>
      </c>
    </row>
    <row r="13057" spans="3:5" x14ac:dyDescent="0.25">
      <c r="C13057" t="s">
        <v>24314</v>
      </c>
      <c r="D13057" t="s">
        <v>24315</v>
      </c>
      <c r="E13057" t="str">
        <f>HYPERLINK("https://patents.google.com/patent/US20040211603A1/en")</f>
        <v>https://patents.google.com/patent/US20040211603A1/en</v>
      </c>
    </row>
    <row r="13058" spans="3:5" x14ac:dyDescent="0.25">
      <c r="C13058" t="s">
        <v>24316</v>
      </c>
      <c r="D13058" t="s">
        <v>24317</v>
      </c>
      <c r="E13058" t="str">
        <f>HYPERLINK("https://patents.google.com/patent/FR2809048A1/en")</f>
        <v>https://patents.google.com/patent/FR2809048A1/en</v>
      </c>
    </row>
    <row r="13059" spans="3:5" x14ac:dyDescent="0.25">
      <c r="C13059" t="s">
        <v>24318</v>
      </c>
      <c r="D13059" t="s">
        <v>24319</v>
      </c>
      <c r="E13059" t="str">
        <f>HYPERLINK("https://patents.google.com/patent/US4217724A/en")</f>
        <v>https://patents.google.com/patent/US4217724A/en</v>
      </c>
    </row>
    <row r="13060" spans="3:5" x14ac:dyDescent="0.25">
      <c r="C13060" t="s">
        <v>24320</v>
      </c>
      <c r="D13060" t="s">
        <v>24321</v>
      </c>
      <c r="E13060" t="str">
        <f>HYPERLINK("https://patents.google.com/patent/US20130090194A1/en")</f>
        <v>https://patents.google.com/patent/US20130090194A1/en</v>
      </c>
    </row>
    <row r="13061" spans="3:5" x14ac:dyDescent="0.25">
      <c r="C13061" t="s">
        <v>23971</v>
      </c>
      <c r="D13061" t="s">
        <v>24322</v>
      </c>
      <c r="E13061" t="str">
        <f>HYPERLINK("https://patents.google.com/patent/US20080014058A1/en")</f>
        <v>https://patents.google.com/patent/US20080014058A1/en</v>
      </c>
    </row>
    <row r="13062" spans="3:5" x14ac:dyDescent="0.25">
      <c r="C13062" t="s">
        <v>23971</v>
      </c>
      <c r="D13062" t="s">
        <v>24323</v>
      </c>
      <c r="E13062" t="str">
        <f>HYPERLINK("https://patents.google.com/patent/US20080051929A1/en")</f>
        <v>https://patents.google.com/patent/US20080051929A1/en</v>
      </c>
    </row>
    <row r="13063" spans="3:5" x14ac:dyDescent="0.25">
      <c r="C13063" t="s">
        <v>24324</v>
      </c>
      <c r="D13063" t="s">
        <v>24325</v>
      </c>
      <c r="E13063" t="str">
        <f>HYPERLINK("https://patents.google.com/patent/CN103144104A/en")</f>
        <v>https://patents.google.com/patent/CN103144104A/en</v>
      </c>
    </row>
    <row r="13064" spans="3:5" x14ac:dyDescent="0.25">
      <c r="C13064" t="s">
        <v>24326</v>
      </c>
      <c r="D13064" t="s">
        <v>24327</v>
      </c>
      <c r="E13064" t="str">
        <f>HYPERLINK("https://patents.google.com/patent/CN102430906A/en")</f>
        <v>https://patents.google.com/patent/CN102430906A/en</v>
      </c>
    </row>
    <row r="13065" spans="3:5" x14ac:dyDescent="0.25">
      <c r="C13065" t="s">
        <v>24328</v>
      </c>
      <c r="D13065" t="s">
        <v>24329</v>
      </c>
      <c r="E13065" t="str">
        <f>HYPERLINK("https://patents.google.com/patent/US7603744B2/en")</f>
        <v>https://patents.google.com/patent/US7603744B2/en</v>
      </c>
    </row>
    <row r="13066" spans="3:5" x14ac:dyDescent="0.25">
      <c r="C13066" t="s">
        <v>24330</v>
      </c>
      <c r="D13066" t="s">
        <v>24331</v>
      </c>
      <c r="E13066" t="str">
        <f>HYPERLINK("https://patents.google.com/patent/CN101050670A/en")</f>
        <v>https://patents.google.com/patent/CN101050670A/en</v>
      </c>
    </row>
    <row r="13067" spans="3:5" x14ac:dyDescent="0.25">
      <c r="C13067" t="s">
        <v>24291</v>
      </c>
      <c r="D13067" t="s">
        <v>24332</v>
      </c>
      <c r="E13067" t="str">
        <f>HYPERLINK("https://patents.google.com/patent/US6768930B2/en")</f>
        <v>https://patents.google.com/patent/US6768930B2/en</v>
      </c>
    </row>
    <row r="13068" spans="3:5" x14ac:dyDescent="0.25">
      <c r="C13068" t="s">
        <v>24333</v>
      </c>
      <c r="D13068" t="s">
        <v>24334</v>
      </c>
      <c r="E13068" t="str">
        <f>HYPERLINK("https://patents.google.com/patent/US20060182535A1/en")</f>
        <v>https://patents.google.com/patent/US20060182535A1/en</v>
      </c>
    </row>
    <row r="13069" spans="3:5" x14ac:dyDescent="0.25">
      <c r="C13069" t="s">
        <v>24335</v>
      </c>
      <c r="D13069" t="s">
        <v>24336</v>
      </c>
      <c r="E13069" t="str">
        <f>HYPERLINK("https://patents.google.com/patent/US6770078B2/en")</f>
        <v>https://patents.google.com/patent/US6770078B2/en</v>
      </c>
    </row>
    <row r="13070" spans="3:5" x14ac:dyDescent="0.25">
      <c r="C13070" t="s">
        <v>24337</v>
      </c>
      <c r="D13070" t="s">
        <v>24338</v>
      </c>
      <c r="E13070" t="str">
        <f>HYPERLINK("https://patents.google.com/patent/US7146353B2/en")</f>
        <v>https://patents.google.com/patent/US7146353B2/en</v>
      </c>
    </row>
    <row r="13071" spans="3:5" x14ac:dyDescent="0.25">
      <c r="C13071" t="s">
        <v>24339</v>
      </c>
      <c r="D13071" t="s">
        <v>24340</v>
      </c>
      <c r="E13071" t="str">
        <f>HYPERLINK("https://patents.google.com/patent/US6702821B2/en")</f>
        <v>https://patents.google.com/patent/US6702821B2/en</v>
      </c>
    </row>
    <row r="13072" spans="3:5" x14ac:dyDescent="0.25">
      <c r="C13072" t="s">
        <v>24341</v>
      </c>
      <c r="D13072" t="s">
        <v>24342</v>
      </c>
      <c r="E13072" t="str">
        <f>HYPERLINK("https://patents.google.com/patent/US7104996B2/en")</f>
        <v>https://patents.google.com/patent/US7104996B2/en</v>
      </c>
    </row>
    <row r="13073" spans="3:5" x14ac:dyDescent="0.25">
      <c r="C13073" t="s">
        <v>24343</v>
      </c>
      <c r="D13073" t="s">
        <v>24344</v>
      </c>
      <c r="E13073" t="str">
        <f>HYPERLINK("https://patents.google.com/patent/US6012216A/en")</f>
        <v>https://patents.google.com/patent/US6012216A/en</v>
      </c>
    </row>
    <row r="13074" spans="3:5" x14ac:dyDescent="0.25">
      <c r="C13074" t="s">
        <v>24345</v>
      </c>
      <c r="D13074" t="s">
        <v>24346</v>
      </c>
      <c r="E13074" t="str">
        <f>HYPERLINK("https://patents.google.com/patent/US6859661B2/en")</f>
        <v>https://patents.google.com/patent/US6859661B2/en</v>
      </c>
    </row>
    <row r="13075" spans="3:5" x14ac:dyDescent="0.25">
      <c r="C13075" t="s">
        <v>24347</v>
      </c>
      <c r="D13075" t="s">
        <v>24348</v>
      </c>
      <c r="E13075" t="str">
        <f>HYPERLINK("https://patents.google.com/patent/US5436613A/en")</f>
        <v>https://patents.google.com/patent/US5436613A/en</v>
      </c>
    </row>
    <row r="13076" spans="3:5" x14ac:dyDescent="0.25">
      <c r="C13076" t="s">
        <v>24349</v>
      </c>
      <c r="D13076" t="s">
        <v>24350</v>
      </c>
      <c r="E13076" t="str">
        <f>HYPERLINK("https://patents.google.com/patent/US5357439A/en")</f>
        <v>https://patents.google.com/patent/US5357439A/en</v>
      </c>
    </row>
    <row r="13077" spans="3:5" x14ac:dyDescent="0.25">
      <c r="C13077" t="s">
        <v>24351</v>
      </c>
      <c r="D13077" t="s">
        <v>24352</v>
      </c>
      <c r="E13077" t="str">
        <f>HYPERLINK("https://patents.google.com/patent/US20070108109A1/en")</f>
        <v>https://patents.google.com/patent/US20070108109A1/en</v>
      </c>
    </row>
    <row r="13078" spans="3:5" x14ac:dyDescent="0.25">
      <c r="C13078" t="s">
        <v>24353</v>
      </c>
      <c r="D13078" t="s">
        <v>24354</v>
      </c>
      <c r="E13078" t="str">
        <f>HYPERLINK("https://patents.google.com/patent/US5441629A/en")</f>
        <v>https://patents.google.com/patent/US5441629A/en</v>
      </c>
    </row>
    <row r="13079" spans="3:5" x14ac:dyDescent="0.25">
      <c r="C13079" t="s">
        <v>24355</v>
      </c>
      <c r="D13079" t="s">
        <v>24356</v>
      </c>
      <c r="E13079" t="str">
        <f>HYPERLINK("https://patents.google.com/patent/US20070147976A1/en")</f>
        <v>https://patents.google.com/patent/US20070147976A1/en</v>
      </c>
    </row>
    <row r="13080" spans="3:5" x14ac:dyDescent="0.25">
      <c r="C13080" t="s">
        <v>24357</v>
      </c>
      <c r="D13080" t="s">
        <v>24358</v>
      </c>
      <c r="E13080" t="str">
        <f>HYPERLINK("https://patents.google.com/patent/US6564194B1/en")</f>
        <v>https://patents.google.com/patent/US6564194B1/en</v>
      </c>
    </row>
    <row r="13081" spans="3:5" x14ac:dyDescent="0.25">
      <c r="C13081" t="s">
        <v>24359</v>
      </c>
      <c r="D13081" t="s">
        <v>24360</v>
      </c>
      <c r="E13081" t="str">
        <f>HYPERLINK("https://patents.google.com/patent/US5956465A/en")</f>
        <v>https://patents.google.com/patent/US5956465A/en</v>
      </c>
    </row>
    <row r="13082" spans="3:5" x14ac:dyDescent="0.25">
      <c r="C13082" t="s">
        <v>24361</v>
      </c>
      <c r="D13082" t="s">
        <v>24362</v>
      </c>
      <c r="E13082" t="str">
        <f>HYPERLINK("https://patents.google.com/patent/US20120155775A1/en")</f>
        <v>https://patents.google.com/patent/US20120155775A1/en</v>
      </c>
    </row>
    <row r="13083" spans="3:5" x14ac:dyDescent="0.25">
      <c r="C13083" t="s">
        <v>24363</v>
      </c>
      <c r="D13083" t="s">
        <v>24364</v>
      </c>
      <c r="E13083" t="str">
        <f>HYPERLINK("https://patents.google.com/patent/WO1997025239A1/en")</f>
        <v>https://patents.google.com/patent/WO1997025239A1/en</v>
      </c>
    </row>
    <row r="13084" spans="3:5" x14ac:dyDescent="0.25">
      <c r="C13084" t="s">
        <v>24365</v>
      </c>
      <c r="D13084" t="s">
        <v>24366</v>
      </c>
      <c r="E13084" t="str">
        <f>HYPERLINK("https://patents.google.com/patent/US20070147979A1/en")</f>
        <v>https://patents.google.com/patent/US20070147979A1/en</v>
      </c>
    </row>
    <row r="13085" spans="3:5" x14ac:dyDescent="0.25">
      <c r="C13085" t="s">
        <v>24367</v>
      </c>
      <c r="D13085" t="s">
        <v>24368</v>
      </c>
      <c r="E13085" t="str">
        <f>HYPERLINK("https://patents.google.com/patent/CN101475055A/en")</f>
        <v>https://patents.google.com/patent/CN101475055A/en</v>
      </c>
    </row>
    <row r="13086" spans="3:5" x14ac:dyDescent="0.25">
      <c r="C13086" t="s">
        <v>24369</v>
      </c>
      <c r="D13086" t="s">
        <v>24370</v>
      </c>
      <c r="E13086" t="str">
        <f>HYPERLINK("https://patents.google.com/patent/CN2556639Y/en")</f>
        <v>https://patents.google.com/patent/CN2556639Y/en</v>
      </c>
    </row>
    <row r="13087" spans="3:5" x14ac:dyDescent="0.25">
      <c r="C13087" t="s">
        <v>24371</v>
      </c>
      <c r="D13087" t="s">
        <v>24372</v>
      </c>
      <c r="E13087" t="str">
        <f>HYPERLINK("https://patents.google.com/patent/US6081981A/en")</f>
        <v>https://patents.google.com/patent/US6081981A/en</v>
      </c>
    </row>
    <row r="13088" spans="3:5" x14ac:dyDescent="0.25">
      <c r="C13088" t="s">
        <v>24373</v>
      </c>
      <c r="D13088" t="s">
        <v>24374</v>
      </c>
      <c r="E13088" t="str">
        <f>HYPERLINK("https://patents.google.com/patent/US6691392B2/en")</f>
        <v>https://patents.google.com/patent/US6691392B2/en</v>
      </c>
    </row>
    <row r="13089" spans="3:5" x14ac:dyDescent="0.25">
      <c r="C13089" t="s">
        <v>24375</v>
      </c>
      <c r="D13089" t="s">
        <v>24376</v>
      </c>
      <c r="E13089" t="str">
        <f>HYPERLINK("https://patents.google.com/patent/US8282983B1/en")</f>
        <v>https://patents.google.com/patent/US8282983B1/en</v>
      </c>
    </row>
    <row r="13090" spans="3:5" x14ac:dyDescent="0.25">
      <c r="C13090" t="s">
        <v>24377</v>
      </c>
      <c r="D13090" t="s">
        <v>24378</v>
      </c>
      <c r="E13090" t="str">
        <f>HYPERLINK("https://patents.google.com/patent/CN101612997A/en")</f>
        <v>https://patents.google.com/patent/CN101612997A/en</v>
      </c>
    </row>
    <row r="13091" spans="3:5" x14ac:dyDescent="0.25">
      <c r="C13091" t="s">
        <v>24379</v>
      </c>
      <c r="D13091" t="s">
        <v>24380</v>
      </c>
      <c r="E13091" t="str">
        <f>HYPERLINK("https://patents.google.com/patent/US20090088912A1/en")</f>
        <v>https://patents.google.com/patent/US20090088912A1/en</v>
      </c>
    </row>
    <row r="13092" spans="3:5" x14ac:dyDescent="0.25">
      <c r="C13092" t="s">
        <v>24381</v>
      </c>
      <c r="D13092" t="s">
        <v>24382</v>
      </c>
      <c r="E13092" t="str">
        <f>HYPERLINK("https://patents.google.com/patent/CN104552230A/en")</f>
        <v>https://patents.google.com/patent/CN104552230A/en</v>
      </c>
    </row>
    <row r="13093" spans="3:5" x14ac:dyDescent="0.25">
      <c r="C13093" t="s">
        <v>24383</v>
      </c>
      <c r="D13093" t="s">
        <v>24384</v>
      </c>
      <c r="E13093" t="str">
        <f>HYPERLINK("https://patents.google.com/patent/US6721615B2/en")</f>
        <v>https://patents.google.com/patent/US6721615B2/en</v>
      </c>
    </row>
    <row r="13094" spans="3:5" x14ac:dyDescent="0.25">
      <c r="C13094" t="s">
        <v>24385</v>
      </c>
      <c r="D13094" t="s">
        <v>24386</v>
      </c>
      <c r="E13094" t="str">
        <f>HYPERLINK("https://patents.google.com/patent/US6032343A/en")</f>
        <v>https://patents.google.com/patent/US6032343A/en</v>
      </c>
    </row>
    <row r="13095" spans="3:5" x14ac:dyDescent="0.25">
      <c r="C13095" t="s">
        <v>24387</v>
      </c>
      <c r="D13095" t="s">
        <v>24388</v>
      </c>
      <c r="E13095" t="str">
        <f>HYPERLINK("https://patents.google.com/patent/US5774632A/en")</f>
        <v>https://patents.google.com/patent/US5774632A/en</v>
      </c>
    </row>
    <row r="13096" spans="3:5" x14ac:dyDescent="0.25">
      <c r="C13096" t="s">
        <v>24389</v>
      </c>
      <c r="D13096" t="s">
        <v>24390</v>
      </c>
      <c r="E13096" t="str">
        <f>HYPERLINK("https://patents.google.com/patent/US7959635B1/en")</f>
        <v>https://patents.google.com/patent/US7959635B1/en</v>
      </c>
    </row>
    <row r="13097" spans="3:5" x14ac:dyDescent="0.25">
      <c r="C13097" t="s">
        <v>24391</v>
      </c>
      <c r="D13097" t="s">
        <v>24392</v>
      </c>
      <c r="E13097" t="str">
        <f>HYPERLINK("https://patents.google.com/patent/US20100169098A1/en")</f>
        <v>https://patents.google.com/patent/US20100169098A1/en</v>
      </c>
    </row>
    <row r="13098" spans="3:5" x14ac:dyDescent="0.25">
      <c r="C13098" t="s">
        <v>24393</v>
      </c>
      <c r="D13098" t="s">
        <v>24394</v>
      </c>
      <c r="E13098" t="str">
        <f>HYPERLINK("https://patents.google.com/patent/US20140139616A1/en")</f>
        <v>https://patents.google.com/patent/US20140139616A1/en</v>
      </c>
    </row>
    <row r="13099" spans="3:5" x14ac:dyDescent="0.25">
      <c r="C13099" t="s">
        <v>24395</v>
      </c>
      <c r="D13099" t="s">
        <v>24396</v>
      </c>
      <c r="E13099" t="str">
        <f>HYPERLINK("https://patents.google.com/patent/US20130227078A1/en")</f>
        <v>https://patents.google.com/patent/US20130227078A1/en</v>
      </c>
    </row>
    <row r="13100" spans="3:5" x14ac:dyDescent="0.25">
      <c r="C13100" t="s">
        <v>24397</v>
      </c>
      <c r="D13100" t="s">
        <v>24398</v>
      </c>
      <c r="E13100" t="str">
        <f>HYPERLINK("https://patents.google.com/patent/US20080300886A1/en")</f>
        <v>https://patents.google.com/patent/US20080300886A1/en</v>
      </c>
    </row>
    <row r="13101" spans="3:5" x14ac:dyDescent="0.25">
      <c r="C13101" t="s">
        <v>24399</v>
      </c>
      <c r="D13101" t="s">
        <v>24400</v>
      </c>
      <c r="E13101" t="str">
        <f>HYPERLINK("https://patents.google.com/patent/US5640750A/en")</f>
        <v>https://patents.google.com/patent/US5640750A/en</v>
      </c>
    </row>
    <row r="13102" spans="3:5" x14ac:dyDescent="0.25">
      <c r="C13102" t="s">
        <v>24401</v>
      </c>
      <c r="D13102" t="s">
        <v>24402</v>
      </c>
      <c r="E13102" t="str">
        <f>HYPERLINK("https://patents.google.com/patent/US20140039681A1/en")</f>
        <v>https://patents.google.com/patent/US20140039681A1/en</v>
      </c>
    </row>
    <row r="13103" spans="3:5" x14ac:dyDescent="0.25">
      <c r="C13103" t="s">
        <v>24403</v>
      </c>
      <c r="D13103" t="s">
        <v>24404</v>
      </c>
      <c r="E13103" t="str">
        <f>HYPERLINK("https://patents.google.com/patent/US20080158377A1/en")</f>
        <v>https://patents.google.com/patent/US20080158377A1/en</v>
      </c>
    </row>
    <row r="13104" spans="3:5" x14ac:dyDescent="0.25">
      <c r="C13104" t="s">
        <v>24405</v>
      </c>
      <c r="D13104" t="s">
        <v>24406</v>
      </c>
      <c r="E13104" t="str">
        <f>HYPERLINK("https://patents.google.com/patent/US6203639B1/en")</f>
        <v>https://patents.google.com/patent/US6203639B1/en</v>
      </c>
    </row>
    <row r="13105" spans="1:5" x14ac:dyDescent="0.25">
      <c r="C13105" t="s">
        <v>24407</v>
      </c>
      <c r="D13105" t="s">
        <v>24408</v>
      </c>
      <c r="E13105" t="str">
        <f>HYPERLINK("https://patents.google.com/patent/US20140039517A1/en")</f>
        <v>https://patents.google.com/patent/US20140039517A1/en</v>
      </c>
    </row>
    <row r="13106" spans="1:5" x14ac:dyDescent="0.25">
      <c r="C13106" t="s">
        <v>24409</v>
      </c>
      <c r="D13106" t="s">
        <v>24410</v>
      </c>
      <c r="E13106" t="str">
        <f>HYPERLINK("https://patents.google.com/patent/US20090173573A1/en")</f>
        <v>https://patents.google.com/patent/US20090173573A1/en</v>
      </c>
    </row>
    <row r="13107" spans="1:5" x14ac:dyDescent="0.25">
      <c r="C13107" t="s">
        <v>24411</v>
      </c>
      <c r="D13107" t="s">
        <v>24412</v>
      </c>
      <c r="E13107" t="str">
        <f>HYPERLINK("https://patents.google.com/patent/US4841632A/en")</f>
        <v>https://patents.google.com/patent/US4841632A/en</v>
      </c>
    </row>
    <row r="13108" spans="1:5" x14ac:dyDescent="0.25">
      <c r="C13108" t="s">
        <v>24373</v>
      </c>
      <c r="D13108" t="s">
        <v>24413</v>
      </c>
      <c r="E13108" t="str">
        <f>HYPERLINK("https://patents.google.com/patent/US7143494B2/en")</f>
        <v>https://patents.google.com/patent/US7143494B2/en</v>
      </c>
    </row>
    <row r="13109" spans="1:5" x14ac:dyDescent="0.25">
      <c r="C13109" t="s">
        <v>24401</v>
      </c>
      <c r="D13109" t="s">
        <v>24414</v>
      </c>
      <c r="E13109" t="str">
        <f>HYPERLINK("https://patents.google.com/patent/US20140222207A1/en")</f>
        <v>https://patents.google.com/patent/US20140222207A1/en</v>
      </c>
    </row>
    <row r="13110" spans="1:5" x14ac:dyDescent="0.25">
      <c r="C13110" t="s">
        <v>24415</v>
      </c>
      <c r="D13110" t="s">
        <v>24416</v>
      </c>
      <c r="E13110" t="str">
        <f>HYPERLINK("https://patents.google.com/patent/US20120280573A1/en")</f>
        <v>https://patents.google.com/patent/US20120280573A1/en</v>
      </c>
    </row>
    <row r="13111" spans="1:5" x14ac:dyDescent="0.25">
      <c r="C13111" t="s">
        <v>24417</v>
      </c>
      <c r="D13111" t="s">
        <v>24418</v>
      </c>
      <c r="E13111" t="str">
        <f>HYPERLINK("https://patents.google.com/patent/US4909105A/en")</f>
        <v>https://patents.google.com/patent/US4909105A/en</v>
      </c>
    </row>
    <row r="13112" spans="1:5" x14ac:dyDescent="0.25">
      <c r="A13112" t="s">
        <v>4292</v>
      </c>
      <c r="B13112">
        <v>696</v>
      </c>
    </row>
    <row r="13113" spans="1:5" x14ac:dyDescent="0.25">
      <c r="C13113" t="s">
        <v>24419</v>
      </c>
      <c r="D13113" t="s">
        <v>24420</v>
      </c>
      <c r="E13113" t="str">
        <f>HYPERLINK("https://patents.google.com/patent/CN206509340U/en")</f>
        <v>https://patents.google.com/patent/CN206509340U/en</v>
      </c>
    </row>
    <row r="13114" spans="1:5" x14ac:dyDescent="0.25">
      <c r="C13114" t="s">
        <v>24421</v>
      </c>
      <c r="D13114" t="s">
        <v>24422</v>
      </c>
      <c r="E13114" t="str">
        <f>HYPERLINK("https://patents.google.com/patent/CN205912088U/en")</f>
        <v>https://patents.google.com/patent/CN205912088U/en</v>
      </c>
    </row>
    <row r="13115" spans="1:5" x14ac:dyDescent="0.25">
      <c r="C13115" t="s">
        <v>24423</v>
      </c>
      <c r="D13115" t="s">
        <v>24424</v>
      </c>
      <c r="E13115" t="str">
        <f>HYPERLINK("https://patents.google.com/patent/CN205428428U/en")</f>
        <v>https://patents.google.com/patent/CN205428428U/en</v>
      </c>
    </row>
    <row r="13116" spans="1:5" x14ac:dyDescent="0.25">
      <c r="C13116" t="s">
        <v>18319</v>
      </c>
      <c r="D13116" t="s">
        <v>24425</v>
      </c>
      <c r="E13116" t="str">
        <f>HYPERLINK("https://patents.google.com/patent/US3539189A/en")</f>
        <v>https://patents.google.com/patent/US3539189A/en</v>
      </c>
    </row>
    <row r="13117" spans="1:5" x14ac:dyDescent="0.25">
      <c r="C13117" t="s">
        <v>24426</v>
      </c>
      <c r="D13117" t="s">
        <v>24427</v>
      </c>
      <c r="E13117" t="str">
        <f>HYPERLINK("https://patents.google.com/patent/US3212528A/en")</f>
        <v>https://patents.google.com/patent/US3212528A/en</v>
      </c>
    </row>
    <row r="13118" spans="1:5" x14ac:dyDescent="0.25">
      <c r="C13118" t="s">
        <v>24428</v>
      </c>
      <c r="D13118" t="s">
        <v>24429</v>
      </c>
      <c r="E13118" t="str">
        <f>HYPERLINK("https://patents.google.com/patent/US3400625A/en")</f>
        <v>https://patents.google.com/patent/US3400625A/en</v>
      </c>
    </row>
    <row r="13119" spans="1:5" x14ac:dyDescent="0.25">
      <c r="C13119" t="s">
        <v>24430</v>
      </c>
      <c r="D13119" t="s">
        <v>24431</v>
      </c>
      <c r="E13119" t="str">
        <f>HYPERLINK("https://patents.google.com/patent/US3347011A/en")</f>
        <v>https://patents.google.com/patent/US3347011A/en</v>
      </c>
    </row>
    <row r="13120" spans="1:5" x14ac:dyDescent="0.25">
      <c r="C13120" t="s">
        <v>24432</v>
      </c>
      <c r="D13120" t="s">
        <v>24433</v>
      </c>
      <c r="E13120" t="str">
        <f>HYPERLINK("https://patents.google.com/patent/US5909559A/en")</f>
        <v>https://patents.google.com/patent/US5909559A/en</v>
      </c>
    </row>
    <row r="13121" spans="3:5" x14ac:dyDescent="0.25">
      <c r="C13121" t="s">
        <v>19534</v>
      </c>
      <c r="D13121" t="s">
        <v>24434</v>
      </c>
      <c r="E13121" t="str">
        <f>HYPERLINK("https://patents.google.com/patent/US5778187A/en")</f>
        <v>https://patents.google.com/patent/US5778187A/en</v>
      </c>
    </row>
    <row r="13122" spans="3:5" x14ac:dyDescent="0.25">
      <c r="C13122" t="s">
        <v>24435</v>
      </c>
      <c r="D13122" t="s">
        <v>24436</v>
      </c>
      <c r="E13122" t="str">
        <f>HYPERLINK("https://patents.google.com/patent/US6609658B1/en")</f>
        <v>https://patents.google.com/patent/US6609658B1/en</v>
      </c>
    </row>
    <row r="13123" spans="3:5" x14ac:dyDescent="0.25">
      <c r="C13123" t="s">
        <v>24437</v>
      </c>
      <c r="D13123" t="s">
        <v>24438</v>
      </c>
      <c r="E13123" t="str">
        <f>HYPERLINK("https://patents.google.com/patent/US5683309A/en")</f>
        <v>https://patents.google.com/patent/US5683309A/en</v>
      </c>
    </row>
    <row r="13124" spans="3:5" x14ac:dyDescent="0.25">
      <c r="C13124" t="s">
        <v>24439</v>
      </c>
      <c r="D13124" t="s">
        <v>24440</v>
      </c>
      <c r="E13124" t="str">
        <f>HYPERLINK("https://patents.google.com/patent/US6179489B1/en")</f>
        <v>https://patents.google.com/patent/US6179489B1/en</v>
      </c>
    </row>
    <row r="13125" spans="3:5" x14ac:dyDescent="0.25">
      <c r="C13125" t="s">
        <v>24437</v>
      </c>
      <c r="D13125" t="s">
        <v>24441</v>
      </c>
      <c r="E13125" t="str">
        <f>HYPERLINK("https://patents.google.com/patent/US5916042A/en")</f>
        <v>https://patents.google.com/patent/US5916042A/en</v>
      </c>
    </row>
    <row r="13126" spans="3:5" x14ac:dyDescent="0.25">
      <c r="C13126" t="s">
        <v>24442</v>
      </c>
      <c r="D13126" t="s">
        <v>24443</v>
      </c>
      <c r="E13126" t="str">
        <f>HYPERLINK("https://patents.google.com/patent/US5918213A/en")</f>
        <v>https://patents.google.com/patent/US5918213A/en</v>
      </c>
    </row>
    <row r="13127" spans="3:5" x14ac:dyDescent="0.25">
      <c r="C13127" t="s">
        <v>24444</v>
      </c>
      <c r="D13127" t="s">
        <v>24445</v>
      </c>
      <c r="E13127" t="str">
        <f>HYPERLINK("https://patents.google.com/patent/US6298370B1/en")</f>
        <v>https://patents.google.com/patent/US6298370B1/en</v>
      </c>
    </row>
    <row r="13128" spans="3:5" x14ac:dyDescent="0.25">
      <c r="C13128" t="s">
        <v>24446</v>
      </c>
      <c r="D13128" t="s">
        <v>24447</v>
      </c>
      <c r="E13128" t="str">
        <f>HYPERLINK("https://patents.google.com/patent/US6105119A/en")</f>
        <v>https://patents.google.com/patent/US6105119A/en</v>
      </c>
    </row>
    <row r="13129" spans="3:5" x14ac:dyDescent="0.25">
      <c r="C13129" t="s">
        <v>24448</v>
      </c>
      <c r="D13129" t="s">
        <v>24449</v>
      </c>
      <c r="E13129" t="str">
        <f>HYPERLINK("https://patents.google.com/patent/US6980940B1/en")</f>
        <v>https://patents.google.com/patent/US6980940B1/en</v>
      </c>
    </row>
    <row r="13130" spans="3:5" x14ac:dyDescent="0.25">
      <c r="C13130" t="s">
        <v>24450</v>
      </c>
      <c r="D13130" t="s">
        <v>24451</v>
      </c>
      <c r="E13130" t="str">
        <f>HYPERLINK("https://patents.google.com/patent/US2405242A/en")</f>
        <v>https://patents.google.com/patent/US2405242A/en</v>
      </c>
    </row>
    <row r="13131" spans="3:5" x14ac:dyDescent="0.25">
      <c r="C13131" t="s">
        <v>24452</v>
      </c>
      <c r="D13131" t="s">
        <v>24453</v>
      </c>
      <c r="E13131" t="str">
        <f>HYPERLINK("https://patents.google.com/patent/US6351775B1/en")</f>
        <v>https://patents.google.com/patent/US6351775B1/en</v>
      </c>
    </row>
    <row r="13132" spans="3:5" x14ac:dyDescent="0.25">
      <c r="C13132" t="s">
        <v>24454</v>
      </c>
      <c r="D13132" t="s">
        <v>24455</v>
      </c>
      <c r="E13132" t="str">
        <f>HYPERLINK("https://patents.google.com/patent/US6174325B1/en")</f>
        <v>https://patents.google.com/patent/US6174325B1/en</v>
      </c>
    </row>
    <row r="13133" spans="3:5" x14ac:dyDescent="0.25">
      <c r="C13133" t="s">
        <v>24456</v>
      </c>
      <c r="D13133" t="s">
        <v>24457</v>
      </c>
      <c r="E13133" t="str">
        <f>HYPERLINK("https://patents.google.com/patent/US5841775A/en")</f>
        <v>https://patents.google.com/patent/US5841775A/en</v>
      </c>
    </row>
    <row r="13134" spans="3:5" x14ac:dyDescent="0.25">
      <c r="C13134" t="s">
        <v>24458</v>
      </c>
      <c r="D13134" t="s">
        <v>24459</v>
      </c>
      <c r="E13134" t="str">
        <f>HYPERLINK("https://patents.google.com/patent/US6874152B2/en")</f>
        <v>https://patents.google.com/patent/US6874152B2/en</v>
      </c>
    </row>
    <row r="13135" spans="3:5" x14ac:dyDescent="0.25">
      <c r="C13135" t="s">
        <v>24460</v>
      </c>
      <c r="D13135" t="s">
        <v>24461</v>
      </c>
      <c r="E13135" t="str">
        <f>HYPERLINK("https://patents.google.com/patent/US5944793A/en")</f>
        <v>https://patents.google.com/patent/US5944793A/en</v>
      </c>
    </row>
    <row r="13136" spans="3:5" x14ac:dyDescent="0.25">
      <c r="C13136" t="s">
        <v>24462</v>
      </c>
      <c r="D13136" t="s">
        <v>24463</v>
      </c>
      <c r="E13136" t="str">
        <f>HYPERLINK("https://patents.google.com/patent/US6965869B1/en")</f>
        <v>https://patents.google.com/patent/US6965869B1/en</v>
      </c>
    </row>
    <row r="13137" spans="3:5" x14ac:dyDescent="0.25">
      <c r="C13137" t="s">
        <v>24464</v>
      </c>
      <c r="D13137" t="s">
        <v>24465</v>
      </c>
      <c r="E13137" t="str">
        <f>HYPERLINK("https://patents.google.com/patent/CN106375381A/en")</f>
        <v>https://patents.google.com/patent/CN106375381A/en</v>
      </c>
    </row>
    <row r="13138" spans="3:5" x14ac:dyDescent="0.25">
      <c r="C13138" t="s">
        <v>24466</v>
      </c>
      <c r="D13138" t="s">
        <v>24467</v>
      </c>
      <c r="E13138" t="str">
        <f>HYPERLINK("https://patents.google.com/patent/US2531222A/en")</f>
        <v>https://patents.google.com/patent/US2531222A/en</v>
      </c>
    </row>
    <row r="13139" spans="3:5" x14ac:dyDescent="0.25">
      <c r="C13139" t="s">
        <v>24468</v>
      </c>
      <c r="D13139" t="s">
        <v>24469</v>
      </c>
      <c r="E13139" t="str">
        <f>HYPERLINK("https://patents.google.com/patent/US6338117B1/en")</f>
        <v>https://patents.google.com/patent/US6338117B1/en</v>
      </c>
    </row>
    <row r="13140" spans="3:5" x14ac:dyDescent="0.25">
      <c r="C13140" t="s">
        <v>24470</v>
      </c>
      <c r="D13140" t="s">
        <v>24471</v>
      </c>
      <c r="E13140" t="str">
        <f>HYPERLINK("https://patents.google.com/patent/US8751271B2/en")</f>
        <v>https://patents.google.com/patent/US8751271B2/en</v>
      </c>
    </row>
    <row r="13141" spans="3:5" x14ac:dyDescent="0.25">
      <c r="C13141" t="s">
        <v>24472</v>
      </c>
      <c r="D13141" t="s">
        <v>24473</v>
      </c>
      <c r="E13141" t="str">
        <f>HYPERLINK("https://patents.google.com/patent/CN204317841U/en")</f>
        <v>https://patents.google.com/patent/CN204317841U/en</v>
      </c>
    </row>
    <row r="13142" spans="3:5" x14ac:dyDescent="0.25">
      <c r="C13142" t="s">
        <v>24474</v>
      </c>
      <c r="D13142" t="s">
        <v>24475</v>
      </c>
      <c r="E13142" t="str">
        <f>HYPERLINK("https://patents.google.com/patent/KR20030094525A/en")</f>
        <v>https://patents.google.com/patent/KR20030094525A/en</v>
      </c>
    </row>
    <row r="13143" spans="3:5" x14ac:dyDescent="0.25">
      <c r="C13143" t="s">
        <v>24476</v>
      </c>
      <c r="D13143" t="s">
        <v>24477</v>
      </c>
      <c r="E13143" t="str">
        <f>HYPERLINK("https://patents.google.com/patent/US6000555A/en")</f>
        <v>https://patents.google.com/patent/US6000555A/en</v>
      </c>
    </row>
    <row r="13144" spans="3:5" x14ac:dyDescent="0.25">
      <c r="C13144" t="s">
        <v>24478</v>
      </c>
      <c r="D13144" t="s">
        <v>24479</v>
      </c>
      <c r="E13144" t="str">
        <f>HYPERLINK("https://patents.google.com/patent/US7552208B2/en")</f>
        <v>https://patents.google.com/patent/US7552208B2/en</v>
      </c>
    </row>
    <row r="13145" spans="3:5" x14ac:dyDescent="0.25">
      <c r="C13145" t="s">
        <v>24480</v>
      </c>
      <c r="D13145" t="s">
        <v>24481</v>
      </c>
      <c r="E13145" t="str">
        <f>HYPERLINK("https://patents.google.com/patent/US20010042037A1/en")</f>
        <v>https://patents.google.com/patent/US20010042037A1/en</v>
      </c>
    </row>
    <row r="13146" spans="3:5" x14ac:dyDescent="0.25">
      <c r="C13146" t="s">
        <v>24482</v>
      </c>
      <c r="D13146" t="s">
        <v>24483</v>
      </c>
      <c r="E13146" t="str">
        <f>HYPERLINK("https://patents.google.com/patent/US20060148551A1/en")</f>
        <v>https://patents.google.com/patent/US20060148551A1/en</v>
      </c>
    </row>
    <row r="13147" spans="3:5" x14ac:dyDescent="0.25">
      <c r="C13147" t="s">
        <v>24484</v>
      </c>
      <c r="D13147" t="s">
        <v>24485</v>
      </c>
      <c r="E13147" t="str">
        <f>HYPERLINK("https://patents.google.com/patent/US20060259923A1/en")</f>
        <v>https://patents.google.com/patent/US20060259923A1/en</v>
      </c>
    </row>
    <row r="13148" spans="3:5" x14ac:dyDescent="0.25">
      <c r="C13148" t="s">
        <v>24486</v>
      </c>
      <c r="D13148" t="s">
        <v>24487</v>
      </c>
      <c r="E13148" t="str">
        <f>HYPERLINK("https://patents.google.com/patent/US20060195508A1/en")</f>
        <v>https://patents.google.com/patent/US20060195508A1/en</v>
      </c>
    </row>
    <row r="13149" spans="3:5" x14ac:dyDescent="0.25">
      <c r="C13149" t="s">
        <v>24488</v>
      </c>
      <c r="D13149" t="s">
        <v>24489</v>
      </c>
      <c r="E13149" t="str">
        <f>HYPERLINK("https://patents.google.com/patent/US20100261526A1/en")</f>
        <v>https://patents.google.com/patent/US20100261526A1/en</v>
      </c>
    </row>
    <row r="13150" spans="3:5" x14ac:dyDescent="0.25">
      <c r="C13150" t="s">
        <v>24490</v>
      </c>
      <c r="D13150" t="s">
        <v>24491</v>
      </c>
      <c r="E13150" t="str">
        <f>HYPERLINK("https://patents.google.com/patent/US20110060994A1/en")</f>
        <v>https://patents.google.com/patent/US20110060994A1/en</v>
      </c>
    </row>
    <row r="13151" spans="3:5" x14ac:dyDescent="0.25">
      <c r="C13151" t="s">
        <v>24492</v>
      </c>
      <c r="D13151" t="s">
        <v>24493</v>
      </c>
      <c r="E13151" t="str">
        <f>HYPERLINK("https://patents.google.com/patent/US20060213980A1/en")</f>
        <v>https://patents.google.com/patent/US20060213980A1/en</v>
      </c>
    </row>
    <row r="13152" spans="3:5" x14ac:dyDescent="0.25">
      <c r="C13152" t="s">
        <v>24494</v>
      </c>
      <c r="D13152" t="s">
        <v>24495</v>
      </c>
      <c r="E13152" t="str">
        <f>HYPERLINK("https://patents.google.com/patent/US20090012878A1/en")</f>
        <v>https://patents.google.com/patent/US20090012878A1/en</v>
      </c>
    </row>
    <row r="13153" spans="3:5" x14ac:dyDescent="0.25">
      <c r="C13153" t="s">
        <v>24496</v>
      </c>
      <c r="D13153" t="s">
        <v>24497</v>
      </c>
      <c r="E13153" t="str">
        <f>HYPERLINK("https://patents.google.com/patent/US20060213979A1/en")</f>
        <v>https://patents.google.com/patent/US20060213979A1/en</v>
      </c>
    </row>
    <row r="13154" spans="3:5" x14ac:dyDescent="0.25">
      <c r="C13154" t="s">
        <v>24498</v>
      </c>
      <c r="D13154" t="s">
        <v>24499</v>
      </c>
      <c r="E13154" t="str">
        <f>HYPERLINK("https://patents.google.com/patent/US20060156330A1/en")</f>
        <v>https://patents.google.com/patent/US20060156330A1/en</v>
      </c>
    </row>
    <row r="13155" spans="3:5" x14ac:dyDescent="0.25">
      <c r="C13155" t="s">
        <v>24500</v>
      </c>
      <c r="D13155" t="s">
        <v>24501</v>
      </c>
      <c r="E13155" t="str">
        <f>HYPERLINK("https://patents.google.com/patent/US20090149158A1/en")</f>
        <v>https://patents.google.com/patent/US20090149158A1/en</v>
      </c>
    </row>
    <row r="13156" spans="3:5" x14ac:dyDescent="0.25">
      <c r="C13156" t="s">
        <v>24502</v>
      </c>
      <c r="D13156" t="s">
        <v>24503</v>
      </c>
      <c r="E13156" t="str">
        <f>HYPERLINK("https://patents.google.com/patent/US20120323382A1/en")</f>
        <v>https://patents.google.com/patent/US20120323382A1/en</v>
      </c>
    </row>
    <row r="13157" spans="3:5" x14ac:dyDescent="0.25">
      <c r="C13157" t="s">
        <v>24504</v>
      </c>
      <c r="D13157" t="s">
        <v>24505</v>
      </c>
      <c r="E13157" t="str">
        <f>HYPERLINK("https://patents.google.com/patent/CN206736722U/en")</f>
        <v>https://patents.google.com/patent/CN206736722U/en</v>
      </c>
    </row>
    <row r="13158" spans="3:5" x14ac:dyDescent="0.25">
      <c r="C13158" t="s">
        <v>24506</v>
      </c>
      <c r="D13158" t="s">
        <v>24507</v>
      </c>
      <c r="E13158" t="str">
        <f>HYPERLINK("https://patents.google.com/patent/US20050208995A1/en")</f>
        <v>https://patents.google.com/patent/US20050208995A1/en</v>
      </c>
    </row>
    <row r="13159" spans="3:5" x14ac:dyDescent="0.25">
      <c r="C13159" t="s">
        <v>24508</v>
      </c>
      <c r="D13159" t="s">
        <v>24509</v>
      </c>
      <c r="E13159" t="str">
        <f>HYPERLINK("https://patents.google.com/patent/US20040107141A1/en")</f>
        <v>https://patents.google.com/patent/US20040107141A1/en</v>
      </c>
    </row>
    <row r="13160" spans="3:5" x14ac:dyDescent="0.25">
      <c r="C13160" t="s">
        <v>24510</v>
      </c>
      <c r="D13160" t="s">
        <v>24511</v>
      </c>
      <c r="E13160" t="str">
        <f>HYPERLINK("https://patents.google.com/patent/CN207321492U/en")</f>
        <v>https://patents.google.com/patent/CN207321492U/en</v>
      </c>
    </row>
    <row r="13161" spans="3:5" x14ac:dyDescent="0.25">
      <c r="C13161" t="s">
        <v>24512</v>
      </c>
      <c r="D13161" t="s">
        <v>24513</v>
      </c>
      <c r="E13161" t="str">
        <f>HYPERLINK("https://patents.google.com/patent/US20090171559A1/en")</f>
        <v>https://patents.google.com/patent/US20090171559A1/en</v>
      </c>
    </row>
    <row r="13162" spans="3:5" x14ac:dyDescent="0.25">
      <c r="C13162" t="s">
        <v>24514</v>
      </c>
      <c r="D13162" t="s">
        <v>24515</v>
      </c>
      <c r="E13162" t="str">
        <f>HYPERLINK("https://patents.google.com/patent/US4030774A/en")</f>
        <v>https://patents.google.com/patent/US4030774A/en</v>
      </c>
    </row>
    <row r="13163" spans="3:5" x14ac:dyDescent="0.25">
      <c r="C13163" t="s">
        <v>24516</v>
      </c>
      <c r="D13163" t="s">
        <v>24517</v>
      </c>
      <c r="E13163" t="str">
        <f>HYPERLINK("https://patents.google.com/patent/US20110251033A1/en")</f>
        <v>https://patents.google.com/patent/US20110251033A1/en</v>
      </c>
    </row>
    <row r="13164" spans="3:5" x14ac:dyDescent="0.25">
      <c r="C13164" t="s">
        <v>24518</v>
      </c>
      <c r="D13164" t="s">
        <v>24519</v>
      </c>
      <c r="E13164" t="str">
        <f>HYPERLINK("https://patents.google.com/patent/US20060080200A1/en")</f>
        <v>https://patents.google.com/patent/US20060080200A1/en</v>
      </c>
    </row>
    <row r="13165" spans="3:5" x14ac:dyDescent="0.25">
      <c r="C13165" t="s">
        <v>24520</v>
      </c>
      <c r="D13165" t="s">
        <v>24521</v>
      </c>
      <c r="E13165" t="str">
        <f>HYPERLINK("https://patents.google.com/patent/US20090216547A1/en")</f>
        <v>https://patents.google.com/patent/US20090216547A1/en</v>
      </c>
    </row>
    <row r="13166" spans="3:5" x14ac:dyDescent="0.25">
      <c r="C13166" t="s">
        <v>24522</v>
      </c>
      <c r="D13166" t="s">
        <v>24523</v>
      </c>
      <c r="E13166" t="str">
        <f>HYPERLINK("https://patents.google.com/patent/US7136658B2/en")</f>
        <v>https://patents.google.com/patent/US7136658B2/en</v>
      </c>
    </row>
    <row r="13167" spans="3:5" x14ac:dyDescent="0.25">
      <c r="C13167" t="s">
        <v>8150</v>
      </c>
      <c r="D13167" t="s">
        <v>24524</v>
      </c>
      <c r="E13167" t="str">
        <f>HYPERLINK("https://patents.google.com/patent/US20120044571A1/en")</f>
        <v>https://patents.google.com/patent/US20120044571A1/en</v>
      </c>
    </row>
    <row r="13168" spans="3:5" x14ac:dyDescent="0.25">
      <c r="C13168" t="s">
        <v>24525</v>
      </c>
      <c r="D13168" t="s">
        <v>24526</v>
      </c>
      <c r="E13168" t="str">
        <f>HYPERLINK("https://patents.google.com/patent/US7356518B2/en")</f>
        <v>https://patents.google.com/patent/US7356518B2/en</v>
      </c>
    </row>
    <row r="13169" spans="3:5" x14ac:dyDescent="0.25">
      <c r="C13169" t="s">
        <v>24527</v>
      </c>
      <c r="D13169" t="s">
        <v>24528</v>
      </c>
      <c r="E13169" t="str">
        <f>HYPERLINK("https://patents.google.com/patent/US7014595B2/en")</f>
        <v>https://patents.google.com/patent/US7014595B2/en</v>
      </c>
    </row>
    <row r="13170" spans="3:5" x14ac:dyDescent="0.25">
      <c r="C13170" t="s">
        <v>24529</v>
      </c>
      <c r="D13170" t="s">
        <v>24530</v>
      </c>
      <c r="E13170" t="str">
        <f>HYPERLINK("https://patents.google.com/patent/US3782662A/en")</f>
        <v>https://patents.google.com/patent/US3782662A/en</v>
      </c>
    </row>
    <row r="13171" spans="3:5" x14ac:dyDescent="0.25">
      <c r="C13171" t="s">
        <v>24531</v>
      </c>
      <c r="D13171" t="s">
        <v>24532</v>
      </c>
      <c r="E13171" t="str">
        <f>HYPERLINK("https://patents.google.com/patent/US20120136793A1/en")</f>
        <v>https://patents.google.com/patent/US20120136793A1/en</v>
      </c>
    </row>
    <row r="13172" spans="3:5" x14ac:dyDescent="0.25">
      <c r="C13172" t="s">
        <v>24533</v>
      </c>
      <c r="D13172" t="s">
        <v>24534</v>
      </c>
      <c r="E13172" t="str">
        <f>HYPERLINK("https://patents.google.com/patent/US20120127308A1/en")</f>
        <v>https://patents.google.com/patent/US20120127308A1/en</v>
      </c>
    </row>
    <row r="13173" spans="3:5" x14ac:dyDescent="0.25">
      <c r="C13173" t="s">
        <v>24535</v>
      </c>
      <c r="D13173" t="s">
        <v>24536</v>
      </c>
      <c r="E13173" t="str">
        <f>HYPERLINK("https://patents.google.com/patent/WO2002101644A2/en")</f>
        <v>https://patents.google.com/patent/WO2002101644A2/en</v>
      </c>
    </row>
    <row r="13174" spans="3:5" x14ac:dyDescent="0.25">
      <c r="C13174" t="s">
        <v>24537</v>
      </c>
      <c r="D13174" t="s">
        <v>24538</v>
      </c>
      <c r="E13174" t="str">
        <f>HYPERLINK("https://patents.google.com/patent/US3319581A/en")</f>
        <v>https://patents.google.com/patent/US3319581A/en</v>
      </c>
    </row>
    <row r="13175" spans="3:5" x14ac:dyDescent="0.25">
      <c r="C13175" t="s">
        <v>24539</v>
      </c>
      <c r="D13175" t="s">
        <v>24540</v>
      </c>
      <c r="E13175" t="str">
        <f>HYPERLINK("https://patents.google.com/patent/US2547392A/en")</f>
        <v>https://patents.google.com/patent/US2547392A/en</v>
      </c>
    </row>
    <row r="13176" spans="3:5" x14ac:dyDescent="0.25">
      <c r="C13176" t="s">
        <v>24541</v>
      </c>
      <c r="D13176" t="s">
        <v>24542</v>
      </c>
      <c r="E13176" t="str">
        <f>HYPERLINK("https://patents.google.com/patent/US4357908A/en")</f>
        <v>https://patents.google.com/patent/US4357908A/en</v>
      </c>
    </row>
    <row r="13177" spans="3:5" x14ac:dyDescent="0.25">
      <c r="C13177" t="s">
        <v>24543</v>
      </c>
      <c r="D13177" t="s">
        <v>24544</v>
      </c>
      <c r="E13177" t="str">
        <f>HYPERLINK("https://patents.google.com/patent/US1914128A/en")</f>
        <v>https://patents.google.com/patent/US1914128A/en</v>
      </c>
    </row>
    <row r="13178" spans="3:5" x14ac:dyDescent="0.25">
      <c r="C13178" t="s">
        <v>24545</v>
      </c>
      <c r="D13178" t="s">
        <v>24546</v>
      </c>
      <c r="E13178" t="str">
        <f>HYPERLINK("https://patents.google.com/patent/US2521760A/en")</f>
        <v>https://patents.google.com/patent/US2521760A/en</v>
      </c>
    </row>
    <row r="13179" spans="3:5" x14ac:dyDescent="0.25">
      <c r="C13179" t="s">
        <v>24547</v>
      </c>
      <c r="D13179" t="s">
        <v>24548</v>
      </c>
      <c r="E13179" t="str">
        <f>HYPERLINK("https://patents.google.com/patent/DE102006021741A1/en")</f>
        <v>https://patents.google.com/patent/DE102006021741A1/en</v>
      </c>
    </row>
    <row r="13180" spans="3:5" x14ac:dyDescent="0.25">
      <c r="C13180" t="s">
        <v>24549</v>
      </c>
      <c r="D13180" t="s">
        <v>24550</v>
      </c>
      <c r="E13180" t="str">
        <f>HYPERLINK("https://patents.google.com/patent/WO2012024809A1/en")</f>
        <v>https://patents.google.com/patent/WO2012024809A1/en</v>
      </c>
    </row>
    <row r="13181" spans="3:5" x14ac:dyDescent="0.25">
      <c r="C13181" t="s">
        <v>24551</v>
      </c>
      <c r="D13181" t="s">
        <v>24552</v>
      </c>
      <c r="E13181" t="str">
        <f>HYPERLINK("https://patents.google.com/patent/US8439389B2/en")</f>
        <v>https://patents.google.com/patent/US8439389B2/en</v>
      </c>
    </row>
    <row r="13182" spans="3:5" x14ac:dyDescent="0.25">
      <c r="C13182" t="s">
        <v>24553</v>
      </c>
      <c r="D13182" t="s">
        <v>24554</v>
      </c>
      <c r="E13182" t="str">
        <f>HYPERLINK("https://patents.google.com/patent/WO2012167174A1/en")</f>
        <v>https://patents.google.com/patent/WO2012167174A1/en</v>
      </c>
    </row>
    <row r="13183" spans="3:5" x14ac:dyDescent="0.25">
      <c r="C13183" t="s">
        <v>24555</v>
      </c>
      <c r="D13183" t="s">
        <v>24556</v>
      </c>
      <c r="E13183" t="str">
        <f>HYPERLINK("https://patents.google.com/patent/JP2003079599A/en")</f>
        <v>https://patents.google.com/patent/JP2003079599A/en</v>
      </c>
    </row>
    <row r="13184" spans="3:5" x14ac:dyDescent="0.25">
      <c r="C13184" t="s">
        <v>24557</v>
      </c>
      <c r="D13184" t="s">
        <v>24558</v>
      </c>
      <c r="E13184" t="str">
        <f>HYPERLINK("https://patents.google.com/patent/US2397933A/en")</f>
        <v>https://patents.google.com/patent/US2397933A/en</v>
      </c>
    </row>
    <row r="13185" spans="3:5" x14ac:dyDescent="0.25">
      <c r="C13185" t="s">
        <v>24559</v>
      </c>
      <c r="D13185" t="s">
        <v>24560</v>
      </c>
      <c r="E13185" t="str">
        <f>HYPERLINK("https://patents.google.com/patent/US2644193A/en")</f>
        <v>https://patents.google.com/patent/US2644193A/en</v>
      </c>
    </row>
    <row r="13186" spans="3:5" x14ac:dyDescent="0.25">
      <c r="C13186" t="s">
        <v>24561</v>
      </c>
      <c r="D13186" t="s">
        <v>24562</v>
      </c>
      <c r="E13186" t="str">
        <f>HYPERLINK("https://patents.google.com/patent/US20140223776A1/en")</f>
        <v>https://patents.google.com/patent/US20140223776A1/en</v>
      </c>
    </row>
    <row r="13187" spans="3:5" x14ac:dyDescent="0.25">
      <c r="C13187" t="s">
        <v>24563</v>
      </c>
      <c r="D13187" t="s">
        <v>24564</v>
      </c>
      <c r="E13187" t="str">
        <f>HYPERLINK("https://patents.google.com/patent/EP0091331A1/en")</f>
        <v>https://patents.google.com/patent/EP0091331A1/en</v>
      </c>
    </row>
    <row r="13188" spans="3:5" x14ac:dyDescent="0.25">
      <c r="C13188" t="s">
        <v>24565</v>
      </c>
      <c r="D13188" t="s">
        <v>24566</v>
      </c>
      <c r="E13188" t="str">
        <f>HYPERLINK("https://patents.google.com/patent/WO2010054852A2/en")</f>
        <v>https://patents.google.com/patent/WO2010054852A2/en</v>
      </c>
    </row>
    <row r="13189" spans="3:5" x14ac:dyDescent="0.25">
      <c r="C13189" t="s">
        <v>24567</v>
      </c>
      <c r="D13189" t="s">
        <v>24568</v>
      </c>
      <c r="E13189" t="str">
        <f>HYPERLINK("https://patents.google.com/patent/US20090115855A1/en")</f>
        <v>https://patents.google.com/patent/US20090115855A1/en</v>
      </c>
    </row>
    <row r="13190" spans="3:5" x14ac:dyDescent="0.25">
      <c r="C13190" t="s">
        <v>24569</v>
      </c>
      <c r="D13190" t="s">
        <v>24570</v>
      </c>
      <c r="E13190" t="str">
        <f>HYPERLINK("https://patents.google.com/patent/US20100091965A1/en")</f>
        <v>https://patents.google.com/patent/US20100091965A1/en</v>
      </c>
    </row>
    <row r="13191" spans="3:5" x14ac:dyDescent="0.25">
      <c r="C13191" t="s">
        <v>24571</v>
      </c>
      <c r="D13191" t="s">
        <v>24572</v>
      </c>
      <c r="E13191" t="str">
        <f>HYPERLINK("https://patents.google.com/patent/US20140282871A1/en")</f>
        <v>https://patents.google.com/patent/US20140282871A1/en</v>
      </c>
    </row>
    <row r="13192" spans="3:5" x14ac:dyDescent="0.25">
      <c r="C13192" t="s">
        <v>24573</v>
      </c>
      <c r="D13192" t="s">
        <v>24574</v>
      </c>
      <c r="E13192" t="str">
        <f>HYPERLINK("https://patents.google.com/patent/US3090617A/en")</f>
        <v>https://patents.google.com/patent/US3090617A/en</v>
      </c>
    </row>
    <row r="13193" spans="3:5" x14ac:dyDescent="0.25">
      <c r="C13193" t="s">
        <v>24575</v>
      </c>
      <c r="D13193" t="s">
        <v>24576</v>
      </c>
      <c r="E13193" t="str">
        <f>HYPERLINK("https://patents.google.com/patent/JPH07172716A/en")</f>
        <v>https://patents.google.com/patent/JPH07172716A/en</v>
      </c>
    </row>
    <row r="13194" spans="3:5" x14ac:dyDescent="0.25">
      <c r="C13194" t="s">
        <v>24577</v>
      </c>
      <c r="D13194" t="s">
        <v>24578</v>
      </c>
      <c r="E13194" t="str">
        <f>HYPERLINK("https://patents.google.com/patent/EP0199098B1/en")</f>
        <v>https://patents.google.com/patent/EP0199098B1/en</v>
      </c>
    </row>
    <row r="13195" spans="3:5" x14ac:dyDescent="0.25">
      <c r="C13195" t="s">
        <v>24579</v>
      </c>
      <c r="D13195" t="s">
        <v>24580</v>
      </c>
      <c r="E13195" t="str">
        <f>HYPERLINK("https://patents.google.com/patent/US3792787A/en")</f>
        <v>https://patents.google.com/patent/US3792787A/en</v>
      </c>
    </row>
    <row r="13196" spans="3:5" x14ac:dyDescent="0.25">
      <c r="C13196" t="s">
        <v>24581</v>
      </c>
      <c r="D13196" t="s">
        <v>24582</v>
      </c>
      <c r="E13196" t="str">
        <f>HYPERLINK("https://patents.google.com/patent/US20140188009A1/en")</f>
        <v>https://patents.google.com/patent/US20140188009A1/en</v>
      </c>
    </row>
    <row r="13197" spans="3:5" x14ac:dyDescent="0.25">
      <c r="C13197" t="s">
        <v>24583</v>
      </c>
      <c r="D13197" t="s">
        <v>24584</v>
      </c>
      <c r="E13197" t="str">
        <f>HYPERLINK("https://patents.google.com/patent/US20050106536A1/en")</f>
        <v>https://patents.google.com/patent/US20050106536A1/en</v>
      </c>
    </row>
    <row r="13198" spans="3:5" x14ac:dyDescent="0.25">
      <c r="C13198" t="s">
        <v>24506</v>
      </c>
      <c r="D13198" t="s">
        <v>24585</v>
      </c>
      <c r="E13198" t="str">
        <f>HYPERLINK("https://patents.google.com/patent/EP1628270A1/en")</f>
        <v>https://patents.google.com/patent/EP1628270A1/en</v>
      </c>
    </row>
    <row r="13199" spans="3:5" x14ac:dyDescent="0.25">
      <c r="C13199" t="s">
        <v>24586</v>
      </c>
      <c r="D13199" t="s">
        <v>24587</v>
      </c>
      <c r="E13199" t="str">
        <f>HYPERLINK("https://patents.google.com/patent/WO2008110241A2/en")</f>
        <v>https://patents.google.com/patent/WO2008110241A2/en</v>
      </c>
    </row>
    <row r="13200" spans="3:5" x14ac:dyDescent="0.25">
      <c r="C13200" t="s">
        <v>24588</v>
      </c>
      <c r="D13200" t="s">
        <v>24589</v>
      </c>
      <c r="E13200" t="str">
        <f>HYPERLINK("https://patents.google.com/patent/CN104062204A/en")</f>
        <v>https://patents.google.com/patent/CN104062204A/en</v>
      </c>
    </row>
    <row r="13201" spans="3:5" x14ac:dyDescent="0.25">
      <c r="C13201" t="s">
        <v>24590</v>
      </c>
      <c r="D13201" t="s">
        <v>24591</v>
      </c>
      <c r="E13201" t="str">
        <f>HYPERLINK("https://patents.google.com/patent/US2313246A/en")</f>
        <v>https://patents.google.com/patent/US2313246A/en</v>
      </c>
    </row>
    <row r="13202" spans="3:5" x14ac:dyDescent="0.25">
      <c r="C13202" t="s">
        <v>24592</v>
      </c>
      <c r="D13202" t="s">
        <v>24593</v>
      </c>
      <c r="E13202" t="str">
        <f>HYPERLINK("https://patents.google.com/patent/US2639325A/en")</f>
        <v>https://patents.google.com/patent/US2639325A/en</v>
      </c>
    </row>
    <row r="13203" spans="3:5" x14ac:dyDescent="0.25">
      <c r="C13203" t="s">
        <v>24594</v>
      </c>
      <c r="D13203" t="s">
        <v>24595</v>
      </c>
      <c r="E13203" t="str">
        <f>HYPERLINK("https://patents.google.com/patent/RU2248453C2/en")</f>
        <v>https://patents.google.com/patent/RU2248453C2/en</v>
      </c>
    </row>
    <row r="13204" spans="3:5" x14ac:dyDescent="0.25">
      <c r="C13204" t="s">
        <v>24596</v>
      </c>
      <c r="D13204" t="s">
        <v>24597</v>
      </c>
      <c r="E13204" t="str">
        <f>HYPERLINK("https://patents.google.com/patent/US20020002939A1/en")</f>
        <v>https://patents.google.com/patent/US20020002939A1/en</v>
      </c>
    </row>
    <row r="13205" spans="3:5" x14ac:dyDescent="0.25">
      <c r="C13205" t="s">
        <v>24598</v>
      </c>
      <c r="D13205" t="s">
        <v>24599</v>
      </c>
      <c r="E13205" t="str">
        <f>HYPERLINK("https://patents.google.com/patent/US3101622A/en")</f>
        <v>https://patents.google.com/patent/US3101622A/en</v>
      </c>
    </row>
    <row r="13206" spans="3:5" x14ac:dyDescent="0.25">
      <c r="C13206" t="s">
        <v>24600</v>
      </c>
      <c r="D13206" t="s">
        <v>24601</v>
      </c>
      <c r="E13206" t="str">
        <f>HYPERLINK("https://patents.google.com/patent/KR20020037435A/en")</f>
        <v>https://patents.google.com/patent/KR20020037435A/en</v>
      </c>
    </row>
    <row r="13207" spans="3:5" x14ac:dyDescent="0.25">
      <c r="C13207" t="s">
        <v>24602</v>
      </c>
      <c r="D13207" t="s">
        <v>24603</v>
      </c>
      <c r="E13207" t="str">
        <f>HYPERLINK("https://patents.google.com/patent/US2157875A/en")</f>
        <v>https://patents.google.com/patent/US2157875A/en</v>
      </c>
    </row>
    <row r="13208" spans="3:5" x14ac:dyDescent="0.25">
      <c r="C13208" t="s">
        <v>24604</v>
      </c>
      <c r="D13208" t="s">
        <v>24605</v>
      </c>
      <c r="E13208" t="str">
        <f>HYPERLINK("https://patents.google.com/patent/US1710744A/en")</f>
        <v>https://patents.google.com/patent/US1710744A/en</v>
      </c>
    </row>
    <row r="13209" spans="3:5" x14ac:dyDescent="0.25">
      <c r="C13209" t="s">
        <v>24606</v>
      </c>
      <c r="D13209" t="s">
        <v>24607</v>
      </c>
      <c r="E13209" t="str">
        <f>HYPERLINK("https://patents.google.com/patent/CN201003485Y/en")</f>
        <v>https://patents.google.com/patent/CN201003485Y/en</v>
      </c>
    </row>
    <row r="13210" spans="3:5" x14ac:dyDescent="0.25">
      <c r="C13210" t="s">
        <v>24608</v>
      </c>
      <c r="D13210" t="s">
        <v>24609</v>
      </c>
      <c r="E13210" t="str">
        <f>HYPERLINK("https://patents.google.com/patent/CN101654145A/en")</f>
        <v>https://patents.google.com/patent/CN101654145A/en</v>
      </c>
    </row>
    <row r="13211" spans="3:5" x14ac:dyDescent="0.25">
      <c r="C13211" t="s">
        <v>24610</v>
      </c>
      <c r="D13211" t="s">
        <v>24611</v>
      </c>
      <c r="E13211" t="str">
        <f>HYPERLINK("https://patents.google.com/patent/CN102024206A/en")</f>
        <v>https://patents.google.com/patent/CN102024206A/en</v>
      </c>
    </row>
    <row r="13212" spans="3:5" x14ac:dyDescent="0.25">
      <c r="C13212" t="s">
        <v>24612</v>
      </c>
      <c r="D13212" t="s">
        <v>24613</v>
      </c>
      <c r="E13212" t="str">
        <f>HYPERLINK("https://patents.google.com/patent/US4171824A/en")</f>
        <v>https://patents.google.com/patent/US4171824A/en</v>
      </c>
    </row>
    <row r="13213" spans="3:5" x14ac:dyDescent="0.25">
      <c r="C13213" t="s">
        <v>24614</v>
      </c>
      <c r="D13213" t="s">
        <v>24615</v>
      </c>
      <c r="E13213" t="str">
        <f>HYPERLINK("https://patents.google.com/patent/US2307503A/en")</f>
        <v>https://patents.google.com/patent/US2307503A/en</v>
      </c>
    </row>
    <row r="13214" spans="3:5" x14ac:dyDescent="0.25">
      <c r="C13214" t="s">
        <v>24616</v>
      </c>
      <c r="D13214" t="s">
        <v>24617</v>
      </c>
      <c r="E13214" t="str">
        <f>HYPERLINK("https://patents.google.com/patent/WO1997011440A2/en")</f>
        <v>https://patents.google.com/patent/WO1997011440A2/en</v>
      </c>
    </row>
    <row r="13215" spans="3:5" x14ac:dyDescent="0.25">
      <c r="C13215" t="s">
        <v>24618</v>
      </c>
      <c r="D13215" t="s">
        <v>24619</v>
      </c>
      <c r="E13215" t="str">
        <f>HYPERLINK("https://patents.google.com/patent/US2656218A/en")</f>
        <v>https://patents.google.com/patent/US2656218A/en</v>
      </c>
    </row>
    <row r="13216" spans="3:5" x14ac:dyDescent="0.25">
      <c r="C13216" t="s">
        <v>24620</v>
      </c>
      <c r="D13216" t="s">
        <v>24621</v>
      </c>
      <c r="E13216" t="str">
        <f>HYPERLINK("https://patents.google.com/patent/JP2012147918A/en")</f>
        <v>https://patents.google.com/patent/JP2012147918A/en</v>
      </c>
    </row>
    <row r="13217" spans="3:5" x14ac:dyDescent="0.25">
      <c r="C13217" t="s">
        <v>24622</v>
      </c>
      <c r="D13217" t="s">
        <v>24623</v>
      </c>
      <c r="E13217" t="str">
        <f>HYPERLINK("https://patents.google.com/patent/WO2000037804A1/en")</f>
        <v>https://patents.google.com/patent/WO2000037804A1/en</v>
      </c>
    </row>
    <row r="13218" spans="3:5" x14ac:dyDescent="0.25">
      <c r="C13218" t="s">
        <v>24624</v>
      </c>
      <c r="D13218" t="s">
        <v>24625</v>
      </c>
      <c r="E13218" t="str">
        <f>HYPERLINK("https://patents.google.com/patent/CN101623196A/en")</f>
        <v>https://patents.google.com/patent/CN101623196A/en</v>
      </c>
    </row>
    <row r="13219" spans="3:5" x14ac:dyDescent="0.25">
      <c r="C13219" t="s">
        <v>24626</v>
      </c>
      <c r="D13219" t="s">
        <v>24627</v>
      </c>
      <c r="E13219" t="str">
        <f>HYPERLINK("https://patents.google.com/patent/US2245784A/en")</f>
        <v>https://patents.google.com/patent/US2245784A/en</v>
      </c>
    </row>
    <row r="13220" spans="3:5" x14ac:dyDescent="0.25">
      <c r="C13220" t="s">
        <v>24628</v>
      </c>
      <c r="D13220" t="s">
        <v>24629</v>
      </c>
      <c r="E13220" t="str">
        <f>HYPERLINK("https://patents.google.com/patent/CN2799902Y/en")</f>
        <v>https://patents.google.com/patent/CN2799902Y/en</v>
      </c>
    </row>
    <row r="13221" spans="3:5" x14ac:dyDescent="0.25">
      <c r="C13221" t="s">
        <v>24630</v>
      </c>
      <c r="D13221" t="s">
        <v>24631</v>
      </c>
      <c r="E13221" t="str">
        <f>HYPERLINK("https://patents.google.com/patent/CN103279391A/en")</f>
        <v>https://patents.google.com/patent/CN103279391A/en</v>
      </c>
    </row>
    <row r="13222" spans="3:5" x14ac:dyDescent="0.25">
      <c r="C13222" t="s">
        <v>24632</v>
      </c>
      <c r="D13222" t="s">
        <v>24633</v>
      </c>
      <c r="E13222" t="str">
        <f>HYPERLINK("https://patents.google.com/patent/FR2536690A1/en")</f>
        <v>https://patents.google.com/patent/FR2536690A1/en</v>
      </c>
    </row>
    <row r="13223" spans="3:5" x14ac:dyDescent="0.25">
      <c r="C13223" t="s">
        <v>24634</v>
      </c>
      <c r="D13223" t="s">
        <v>24635</v>
      </c>
      <c r="E13223" t="str">
        <f>HYPERLINK("https://patents.google.com/patent/US6547683B1/en")</f>
        <v>https://patents.google.com/patent/US6547683B1/en</v>
      </c>
    </row>
    <row r="13224" spans="3:5" x14ac:dyDescent="0.25">
      <c r="C13224" t="s">
        <v>24636</v>
      </c>
      <c r="D13224" t="s">
        <v>24637</v>
      </c>
      <c r="E13224" t="str">
        <f>HYPERLINK("https://patents.google.com/patent/US2018912A/en")</f>
        <v>https://patents.google.com/patent/US2018912A/en</v>
      </c>
    </row>
    <row r="13225" spans="3:5" x14ac:dyDescent="0.25">
      <c r="C13225" t="s">
        <v>24638</v>
      </c>
      <c r="D13225" t="s">
        <v>24639</v>
      </c>
      <c r="E13225" t="str">
        <f>HYPERLINK("https://patents.google.com/patent/US2811085A/en")</f>
        <v>https://patents.google.com/patent/US2811085A/en</v>
      </c>
    </row>
    <row r="13226" spans="3:5" x14ac:dyDescent="0.25">
      <c r="C13226" t="s">
        <v>24640</v>
      </c>
      <c r="D13226" t="s">
        <v>24641</v>
      </c>
      <c r="E13226" t="str">
        <f>HYPERLINK("https://patents.google.com/patent/US20040092328A1/en")</f>
        <v>https://patents.google.com/patent/US20040092328A1/en</v>
      </c>
    </row>
    <row r="13227" spans="3:5" x14ac:dyDescent="0.25">
      <c r="C13227" t="s">
        <v>24642</v>
      </c>
      <c r="D13227" t="s">
        <v>24643</v>
      </c>
      <c r="E13227" t="str">
        <f>HYPERLINK("https://patents.google.com/patent/WO2004029571A1/en")</f>
        <v>https://patents.google.com/patent/WO2004029571A1/en</v>
      </c>
    </row>
    <row r="13228" spans="3:5" x14ac:dyDescent="0.25">
      <c r="C13228" t="s">
        <v>24644</v>
      </c>
      <c r="D13228" t="s">
        <v>24645</v>
      </c>
      <c r="E13228" t="str">
        <f>HYPERLINK("https://patents.google.com/patent/US20120073383A1/en")</f>
        <v>https://patents.google.com/patent/US20120073383A1/en</v>
      </c>
    </row>
    <row r="13229" spans="3:5" x14ac:dyDescent="0.25">
      <c r="C13229" t="s">
        <v>24646</v>
      </c>
      <c r="D13229" t="s">
        <v>24647</v>
      </c>
      <c r="E13229" t="str">
        <f>HYPERLINK("https://patents.google.com/patent/US1866534A/en")</f>
        <v>https://patents.google.com/patent/US1866534A/en</v>
      </c>
    </row>
    <row r="13230" spans="3:5" x14ac:dyDescent="0.25">
      <c r="C13230" t="s">
        <v>24648</v>
      </c>
      <c r="D13230" t="s">
        <v>24649</v>
      </c>
      <c r="E13230" t="str">
        <f>HYPERLINK("https://patents.google.com/patent/US1774718A/en")</f>
        <v>https://patents.google.com/patent/US1774718A/en</v>
      </c>
    </row>
    <row r="13231" spans="3:5" x14ac:dyDescent="0.25">
      <c r="C13231" t="s">
        <v>24650</v>
      </c>
      <c r="D13231" t="s">
        <v>24651</v>
      </c>
      <c r="E13231" t="str">
        <f>HYPERLINK("https://patents.google.com/patent/CN101636413A/en")</f>
        <v>https://patents.google.com/patent/CN101636413A/en</v>
      </c>
    </row>
    <row r="13232" spans="3:5" x14ac:dyDescent="0.25">
      <c r="C13232" t="s">
        <v>24652</v>
      </c>
      <c r="D13232" t="s">
        <v>24653</v>
      </c>
      <c r="E13232" t="str">
        <f>HYPERLINK("https://patents.google.com/patent/FR2515106A1/en")</f>
        <v>https://patents.google.com/patent/FR2515106A1/en</v>
      </c>
    </row>
    <row r="13233" spans="3:5" x14ac:dyDescent="0.25">
      <c r="C13233" t="s">
        <v>24654</v>
      </c>
      <c r="D13233" t="s">
        <v>24655</v>
      </c>
      <c r="E13233" t="str">
        <f>HYPERLINK("https://patents.google.com/patent/CN2198412Y/en")</f>
        <v>https://patents.google.com/patent/CN2198412Y/en</v>
      </c>
    </row>
    <row r="13234" spans="3:5" x14ac:dyDescent="0.25">
      <c r="C13234" t="s">
        <v>24656</v>
      </c>
      <c r="D13234" t="s">
        <v>24657</v>
      </c>
      <c r="E13234" t="str">
        <f>HYPERLINK("https://patents.google.com/patent/US20150360775A1/en")</f>
        <v>https://patents.google.com/patent/US20150360775A1/en</v>
      </c>
    </row>
    <row r="13235" spans="3:5" x14ac:dyDescent="0.25">
      <c r="C13235" t="s">
        <v>24658</v>
      </c>
      <c r="D13235" t="s">
        <v>24659</v>
      </c>
      <c r="E13235" t="str">
        <f>HYPERLINK("https://patents.google.com/patent/CN201017680Y/en")</f>
        <v>https://patents.google.com/patent/CN201017680Y/en</v>
      </c>
    </row>
    <row r="13236" spans="3:5" x14ac:dyDescent="0.25">
      <c r="C13236" t="s">
        <v>24660</v>
      </c>
      <c r="D13236" t="s">
        <v>24661</v>
      </c>
      <c r="E13236" t="str">
        <f>HYPERLINK("https://patents.google.com/patent/GB2171035A/en")</f>
        <v>https://patents.google.com/patent/GB2171035A/en</v>
      </c>
    </row>
    <row r="13237" spans="3:5" x14ac:dyDescent="0.25">
      <c r="C13237" t="s">
        <v>24662</v>
      </c>
      <c r="D13237" t="s">
        <v>24663</v>
      </c>
      <c r="E13237" t="str">
        <f>HYPERLINK("https://patents.google.com/patent/CN205858632U/en")</f>
        <v>https://patents.google.com/patent/CN205858632U/en</v>
      </c>
    </row>
    <row r="13238" spans="3:5" x14ac:dyDescent="0.25">
      <c r="C13238" t="s">
        <v>24664</v>
      </c>
      <c r="D13238" t="s">
        <v>24665</v>
      </c>
      <c r="E13238" t="str">
        <f>HYPERLINK("https://patents.google.com/patent/BE476226A/en")</f>
        <v>https://patents.google.com/patent/BE476226A/en</v>
      </c>
    </row>
    <row r="13239" spans="3:5" x14ac:dyDescent="0.25">
      <c r="C13239" t="s">
        <v>24666</v>
      </c>
      <c r="D13239" t="s">
        <v>24667</v>
      </c>
      <c r="E13239" t="str">
        <f>HYPERLINK("https://patents.google.com/patent/DE102014220445A1/en")</f>
        <v>https://patents.google.com/patent/DE102014220445A1/en</v>
      </c>
    </row>
    <row r="13240" spans="3:5" x14ac:dyDescent="0.25">
      <c r="C13240" t="s">
        <v>24668</v>
      </c>
      <c r="D13240" t="s">
        <v>24669</v>
      </c>
      <c r="E13240" t="str">
        <f>HYPERLINK("https://patents.google.com/patent/CN201704004U/en")</f>
        <v>https://patents.google.com/patent/CN201704004U/en</v>
      </c>
    </row>
    <row r="13241" spans="3:5" x14ac:dyDescent="0.25">
      <c r="C13241" t="s">
        <v>24670</v>
      </c>
      <c r="D13241" t="s">
        <v>24671</v>
      </c>
      <c r="E13241" t="str">
        <f>HYPERLINK("https://patents.google.com/patent/CN206736724U/en")</f>
        <v>https://patents.google.com/patent/CN206736724U/en</v>
      </c>
    </row>
    <row r="13242" spans="3:5" x14ac:dyDescent="0.25">
      <c r="C13242" t="s">
        <v>24672</v>
      </c>
      <c r="D13242" t="s">
        <v>24673</v>
      </c>
      <c r="E13242" t="str">
        <f>HYPERLINK("https://patents.google.com/patent/CN207099186U/en")</f>
        <v>https://patents.google.com/patent/CN207099186U/en</v>
      </c>
    </row>
    <row r="13243" spans="3:5" x14ac:dyDescent="0.25">
      <c r="C13243" t="s">
        <v>24674</v>
      </c>
      <c r="D13243" t="s">
        <v>24675</v>
      </c>
      <c r="E13243" t="str">
        <f>HYPERLINK("https://patents.google.com/patent/EP0418222A1/en")</f>
        <v>https://patents.google.com/patent/EP0418222A1/en</v>
      </c>
    </row>
    <row r="13244" spans="3:5" x14ac:dyDescent="0.25">
      <c r="C13244" t="s">
        <v>24676</v>
      </c>
      <c r="D13244" t="s">
        <v>24677</v>
      </c>
      <c r="E13244" t="str">
        <f>HYPERLINK("https://patents.google.com/patent/DE102006011236A1/en")</f>
        <v>https://patents.google.com/patent/DE102006011236A1/en</v>
      </c>
    </row>
    <row r="13245" spans="3:5" x14ac:dyDescent="0.25">
      <c r="C13245" t="s">
        <v>24678</v>
      </c>
      <c r="D13245" t="s">
        <v>24679</v>
      </c>
      <c r="E13245" t="str">
        <f>HYPERLINK("https://patents.google.com/patent/CN1569511A/en")</f>
        <v>https://patents.google.com/patent/CN1569511A/en</v>
      </c>
    </row>
    <row r="13246" spans="3:5" x14ac:dyDescent="0.25">
      <c r="C13246" t="s">
        <v>24680</v>
      </c>
      <c r="D13246" t="s">
        <v>24681</v>
      </c>
      <c r="E13246" t="str">
        <f>HYPERLINK("https://patents.google.com/patent/DE4411383A1/en")</f>
        <v>https://patents.google.com/patent/DE4411383A1/en</v>
      </c>
    </row>
    <row r="13247" spans="3:5" x14ac:dyDescent="0.25">
      <c r="C13247" t="s">
        <v>24682</v>
      </c>
      <c r="D13247" t="s">
        <v>24683</v>
      </c>
      <c r="E13247" t="str">
        <f>HYPERLINK("https://patents.google.com/patent/WO2005101996A2/en")</f>
        <v>https://patents.google.com/patent/WO2005101996A2/en</v>
      </c>
    </row>
    <row r="13248" spans="3:5" x14ac:dyDescent="0.25">
      <c r="C13248" t="s">
        <v>24684</v>
      </c>
      <c r="D13248" t="s">
        <v>24685</v>
      </c>
      <c r="E13248" t="str">
        <f>HYPERLINK("https://patents.google.com/patent/US3583457A/en")</f>
        <v>https://patents.google.com/patent/US3583457A/en</v>
      </c>
    </row>
    <row r="13249" spans="3:5" x14ac:dyDescent="0.25">
      <c r="C13249" t="s">
        <v>24686</v>
      </c>
      <c r="D13249" t="s">
        <v>24687</v>
      </c>
      <c r="E13249" t="str">
        <f>HYPERLINK("https://patents.google.com/patent/CN103238317A/en")</f>
        <v>https://patents.google.com/patent/CN103238317A/en</v>
      </c>
    </row>
    <row r="13250" spans="3:5" x14ac:dyDescent="0.25">
      <c r="C13250" t="s">
        <v>24688</v>
      </c>
      <c r="D13250" t="s">
        <v>24689</v>
      </c>
      <c r="E13250" t="str">
        <f>HYPERLINK("https://patents.google.com/patent/US1815710A/en")</f>
        <v>https://patents.google.com/patent/US1815710A/en</v>
      </c>
    </row>
    <row r="13251" spans="3:5" x14ac:dyDescent="0.25">
      <c r="C13251" t="s">
        <v>24690</v>
      </c>
      <c r="D13251" t="s">
        <v>24691</v>
      </c>
      <c r="E13251" t="str">
        <f>HYPERLINK("https://patents.google.com/patent/EP1375715A1/en")</f>
        <v>https://patents.google.com/patent/EP1375715A1/en</v>
      </c>
    </row>
    <row r="13252" spans="3:5" x14ac:dyDescent="0.25">
      <c r="C13252" t="s">
        <v>24692</v>
      </c>
      <c r="D13252" t="s">
        <v>24693</v>
      </c>
      <c r="E13252" t="str">
        <f>HYPERLINK("https://patents.google.com/patent/CN2815779Y/en")</f>
        <v>https://patents.google.com/patent/CN2815779Y/en</v>
      </c>
    </row>
    <row r="13253" spans="3:5" x14ac:dyDescent="0.25">
      <c r="C13253" t="s">
        <v>24694</v>
      </c>
      <c r="D13253" t="s">
        <v>24695</v>
      </c>
      <c r="E13253" t="str">
        <f>HYPERLINK("https://patents.google.com/patent/EP1456568B1/en")</f>
        <v>https://patents.google.com/patent/EP1456568B1/en</v>
      </c>
    </row>
    <row r="13254" spans="3:5" x14ac:dyDescent="0.25">
      <c r="C13254" t="s">
        <v>24696</v>
      </c>
      <c r="D13254" t="s">
        <v>24697</v>
      </c>
      <c r="E13254" t="str">
        <f>HYPERLINK("https://patents.google.com/patent/DE102012112326B4/en")</f>
        <v>https://patents.google.com/patent/DE102012112326B4/en</v>
      </c>
    </row>
    <row r="13255" spans="3:5" x14ac:dyDescent="0.25">
      <c r="C13255" t="s">
        <v>24698</v>
      </c>
      <c r="D13255" t="s">
        <v>24699</v>
      </c>
      <c r="E13255" t="str">
        <f>HYPERLINK("https://patents.google.com/patent/US1565884A/en")</f>
        <v>https://patents.google.com/patent/US1565884A/en</v>
      </c>
    </row>
    <row r="13256" spans="3:5" x14ac:dyDescent="0.25">
      <c r="C13256" t="s">
        <v>24700</v>
      </c>
      <c r="D13256" t="s">
        <v>24701</v>
      </c>
      <c r="E13256" t="str">
        <f>HYPERLINK("https://patents.google.com/patent/FR2545395A3/en")</f>
        <v>https://patents.google.com/patent/FR2545395A3/en</v>
      </c>
    </row>
    <row r="13257" spans="3:5" x14ac:dyDescent="0.25">
      <c r="C13257" t="s">
        <v>24702</v>
      </c>
      <c r="D13257" t="s">
        <v>24703</v>
      </c>
      <c r="E13257" t="str">
        <f>HYPERLINK("https://patents.google.com/patent/CN2443169Y/en")</f>
        <v>https://patents.google.com/patent/CN2443169Y/en</v>
      </c>
    </row>
    <row r="13258" spans="3:5" x14ac:dyDescent="0.25">
      <c r="C13258" t="s">
        <v>24704</v>
      </c>
      <c r="D13258" t="s">
        <v>24705</v>
      </c>
      <c r="E13258" t="str">
        <f>HYPERLINK("https://patents.google.com/patent/CN201173104Y/en")</f>
        <v>https://patents.google.com/patent/CN201173104Y/en</v>
      </c>
    </row>
    <row r="13259" spans="3:5" x14ac:dyDescent="0.25">
      <c r="C13259" t="s">
        <v>24706</v>
      </c>
      <c r="D13259" t="s">
        <v>24707</v>
      </c>
      <c r="E13259" t="str">
        <f>HYPERLINK("https://patents.google.com/patent/DE102005036491B3/en")</f>
        <v>https://patents.google.com/patent/DE102005036491B3/en</v>
      </c>
    </row>
    <row r="13260" spans="3:5" x14ac:dyDescent="0.25">
      <c r="C13260" t="s">
        <v>24708</v>
      </c>
      <c r="D13260" t="s">
        <v>24709</v>
      </c>
      <c r="E13260" t="str">
        <f>HYPERLINK("https://patents.google.com/patent/CN205382920U/en")</f>
        <v>https://patents.google.com/patent/CN205382920U/en</v>
      </c>
    </row>
    <row r="13261" spans="3:5" x14ac:dyDescent="0.25">
      <c r="C13261" t="s">
        <v>24710</v>
      </c>
      <c r="D13261" t="s">
        <v>24711</v>
      </c>
      <c r="E13261" t="str">
        <f>HYPERLINK("https://patents.google.com/patent/JPH05253885A/en")</f>
        <v>https://patents.google.com/patent/JPH05253885A/en</v>
      </c>
    </row>
    <row r="13262" spans="3:5" x14ac:dyDescent="0.25">
      <c r="C13262" t="s">
        <v>24712</v>
      </c>
      <c r="D13262" t="s">
        <v>24713</v>
      </c>
      <c r="E13262" t="str">
        <f>HYPERLINK("https://patents.google.com/patent/CN201633650U/en")</f>
        <v>https://patents.google.com/patent/CN201633650U/en</v>
      </c>
    </row>
    <row r="13263" spans="3:5" x14ac:dyDescent="0.25">
      <c r="C13263" t="s">
        <v>24714</v>
      </c>
      <c r="D13263" t="s">
        <v>24715</v>
      </c>
      <c r="E13263" t="str">
        <f>HYPERLINK("https://patents.google.com/patent/CN102812129A/en")</f>
        <v>https://patents.google.com/patent/CN102812129A/en</v>
      </c>
    </row>
    <row r="13264" spans="3:5" x14ac:dyDescent="0.25">
      <c r="C13264" t="s">
        <v>24716</v>
      </c>
      <c r="D13264" t="s">
        <v>24717</v>
      </c>
      <c r="E13264" t="str">
        <f>HYPERLINK("https://patents.google.com/patent/CN103679387A/en")</f>
        <v>https://patents.google.com/patent/CN103679387A/en</v>
      </c>
    </row>
    <row r="13265" spans="3:5" x14ac:dyDescent="0.25">
      <c r="C13265" t="s">
        <v>24718</v>
      </c>
      <c r="D13265" t="s">
        <v>24719</v>
      </c>
      <c r="E13265" t="str">
        <f>HYPERLINK("https://patents.google.com/patent/CN1289010A/en")</f>
        <v>https://patents.google.com/patent/CN1289010A/en</v>
      </c>
    </row>
    <row r="13266" spans="3:5" x14ac:dyDescent="0.25">
      <c r="C13266" t="s">
        <v>24720</v>
      </c>
      <c r="D13266" t="s">
        <v>24721</v>
      </c>
      <c r="E13266" t="str">
        <f>HYPERLINK("https://patents.google.com/patent/CN201080812Y/en")</f>
        <v>https://patents.google.com/patent/CN201080812Y/en</v>
      </c>
    </row>
    <row r="13267" spans="3:5" x14ac:dyDescent="0.25">
      <c r="C13267" t="s">
        <v>24722</v>
      </c>
      <c r="D13267" t="s">
        <v>24723</v>
      </c>
      <c r="E13267" t="str">
        <f>HYPERLINK("https://patents.google.com/patent/WO2008041897A1/en")</f>
        <v>https://patents.google.com/patent/WO2008041897A1/en</v>
      </c>
    </row>
    <row r="13268" spans="3:5" x14ac:dyDescent="0.25">
      <c r="C13268" t="s">
        <v>24724</v>
      </c>
      <c r="D13268" t="s">
        <v>24725</v>
      </c>
      <c r="E13268" t="str">
        <f>HYPERLINK("https://patents.google.com/patent/CN87209044U/en")</f>
        <v>https://patents.google.com/patent/CN87209044U/en</v>
      </c>
    </row>
    <row r="13269" spans="3:5" x14ac:dyDescent="0.25">
      <c r="C13269" t="s">
        <v>24726</v>
      </c>
      <c r="D13269" t="s">
        <v>24727</v>
      </c>
      <c r="E13269" t="str">
        <f>HYPERLINK("https://patents.google.com/patent/US2915856A/en")</f>
        <v>https://patents.google.com/patent/US2915856A/en</v>
      </c>
    </row>
    <row r="13270" spans="3:5" x14ac:dyDescent="0.25">
      <c r="C13270" t="s">
        <v>24728</v>
      </c>
      <c r="D13270" t="s">
        <v>24729</v>
      </c>
      <c r="E13270" t="str">
        <f>HYPERLINK("https://patents.google.com/patent/CN204926660U/en")</f>
        <v>https://patents.google.com/patent/CN204926660U/en</v>
      </c>
    </row>
    <row r="13271" spans="3:5" x14ac:dyDescent="0.25">
      <c r="C13271" t="s">
        <v>24730</v>
      </c>
      <c r="D13271" t="s">
        <v>24731</v>
      </c>
      <c r="E13271" t="str">
        <f>HYPERLINK("https://patents.google.com/patent/CN101189858A/en")</f>
        <v>https://patents.google.com/patent/CN101189858A/en</v>
      </c>
    </row>
    <row r="13272" spans="3:5" x14ac:dyDescent="0.25">
      <c r="C13272" t="s">
        <v>24732</v>
      </c>
      <c r="D13272" t="s">
        <v>24733</v>
      </c>
      <c r="E13272" t="str">
        <f>HYPERLINK("https://patents.google.com/patent/BE666743A/en")</f>
        <v>https://patents.google.com/patent/BE666743A/en</v>
      </c>
    </row>
    <row r="13273" spans="3:5" x14ac:dyDescent="0.25">
      <c r="C13273" t="s">
        <v>8162</v>
      </c>
      <c r="D13273" t="s">
        <v>24734</v>
      </c>
      <c r="E13273" t="str">
        <f>HYPERLINK("https://patents.google.com/patent/WO2015094169A1/en")</f>
        <v>https://patents.google.com/patent/WO2015094169A1/en</v>
      </c>
    </row>
    <row r="13274" spans="3:5" x14ac:dyDescent="0.25">
      <c r="C13274" t="s">
        <v>24735</v>
      </c>
      <c r="D13274" t="s">
        <v>24736</v>
      </c>
      <c r="E13274" t="str">
        <f>HYPERLINK("https://patents.google.com/patent/BE699807A/en")</f>
        <v>https://patents.google.com/patent/BE699807A/en</v>
      </c>
    </row>
    <row r="13275" spans="3:5" x14ac:dyDescent="0.25">
      <c r="C13275" t="s">
        <v>24737</v>
      </c>
      <c r="D13275" t="s">
        <v>24738</v>
      </c>
      <c r="E13275" t="str">
        <f>HYPERLINK("https://patents.google.com/patent/BE640270A/en")</f>
        <v>https://patents.google.com/patent/BE640270A/en</v>
      </c>
    </row>
    <row r="13276" spans="3:5" x14ac:dyDescent="0.25">
      <c r="C13276" t="s">
        <v>24739</v>
      </c>
      <c r="D13276" t="s">
        <v>24740</v>
      </c>
      <c r="E13276" t="str">
        <f>HYPERLINK("https://patents.google.com/patent/CN1181804A/en")</f>
        <v>https://patents.google.com/patent/CN1181804A/en</v>
      </c>
    </row>
    <row r="13277" spans="3:5" x14ac:dyDescent="0.25">
      <c r="C13277" t="s">
        <v>24741</v>
      </c>
      <c r="D13277" t="s">
        <v>24742</v>
      </c>
      <c r="E13277" t="str">
        <f>HYPERLINK("https://patents.google.com/patent/KR101247522B1/en")</f>
        <v>https://patents.google.com/patent/KR101247522B1/en</v>
      </c>
    </row>
    <row r="13278" spans="3:5" x14ac:dyDescent="0.25">
      <c r="C13278" t="s">
        <v>24743</v>
      </c>
      <c r="D13278" t="s">
        <v>24744</v>
      </c>
      <c r="E13278" t="str">
        <f>HYPERLINK("https://patents.google.com/patent/US2274015A/en")</f>
        <v>https://patents.google.com/patent/US2274015A/en</v>
      </c>
    </row>
    <row r="13279" spans="3:5" x14ac:dyDescent="0.25">
      <c r="C13279" t="s">
        <v>24745</v>
      </c>
      <c r="D13279" t="s">
        <v>24746</v>
      </c>
      <c r="E13279" t="str">
        <f>HYPERLINK("https://patents.google.com/patent/BE644800A/en")</f>
        <v>https://patents.google.com/patent/BE644800A/en</v>
      </c>
    </row>
    <row r="13280" spans="3:5" x14ac:dyDescent="0.25">
      <c r="C13280" t="s">
        <v>24747</v>
      </c>
      <c r="D13280" t="s">
        <v>24748</v>
      </c>
      <c r="E13280" t="str">
        <f>HYPERLINK("https://patents.google.com/patent/CN204255210U/en")</f>
        <v>https://patents.google.com/patent/CN204255210U/en</v>
      </c>
    </row>
    <row r="13281" spans="3:5" x14ac:dyDescent="0.25">
      <c r="C13281" t="s">
        <v>24749</v>
      </c>
      <c r="D13281" t="s">
        <v>24750</v>
      </c>
      <c r="E13281" t="str">
        <f>HYPERLINK("https://patents.google.com/patent/CN201228540Y/en")</f>
        <v>https://patents.google.com/patent/CN201228540Y/en</v>
      </c>
    </row>
    <row r="13282" spans="3:5" x14ac:dyDescent="0.25">
      <c r="C13282" t="s">
        <v>24751</v>
      </c>
      <c r="D13282" t="s">
        <v>24752</v>
      </c>
      <c r="E13282" t="str">
        <f>HYPERLINK("https://patents.google.com/patent/CN101509364A/en")</f>
        <v>https://patents.google.com/patent/CN101509364A/en</v>
      </c>
    </row>
    <row r="13283" spans="3:5" x14ac:dyDescent="0.25">
      <c r="C13283" t="s">
        <v>24753</v>
      </c>
      <c r="D13283" t="s">
        <v>24754</v>
      </c>
      <c r="E13283" t="str">
        <f>HYPERLINK("https://patents.google.com/patent/JP2002024460A/en")</f>
        <v>https://patents.google.com/patent/JP2002024460A/en</v>
      </c>
    </row>
    <row r="13284" spans="3:5" x14ac:dyDescent="0.25">
      <c r="C13284" t="s">
        <v>24755</v>
      </c>
      <c r="D13284" t="s">
        <v>24756</v>
      </c>
      <c r="E13284" t="str">
        <f>HYPERLINK("https://patents.google.com/patent/BE477496A/en")</f>
        <v>https://patents.google.com/patent/BE477496A/en</v>
      </c>
    </row>
    <row r="13285" spans="3:5" x14ac:dyDescent="0.25">
      <c r="C13285" t="s">
        <v>24757</v>
      </c>
      <c r="D13285" t="s">
        <v>24758</v>
      </c>
      <c r="E13285" t="str">
        <f>HYPERLINK("https://patents.google.com/patent/BE523064A/en")</f>
        <v>https://patents.google.com/patent/BE523064A/en</v>
      </c>
    </row>
    <row r="13286" spans="3:5" x14ac:dyDescent="0.25">
      <c r="C13286" t="s">
        <v>24759</v>
      </c>
      <c r="D13286" t="s">
        <v>24760</v>
      </c>
      <c r="E13286" t="str">
        <f>HYPERLINK("https://patents.google.com/patent/CN101628341A/en")</f>
        <v>https://patents.google.com/patent/CN101628341A/en</v>
      </c>
    </row>
    <row r="13287" spans="3:5" x14ac:dyDescent="0.25">
      <c r="C13287" t="s">
        <v>24761</v>
      </c>
      <c r="D13287" t="s">
        <v>24762</v>
      </c>
      <c r="E13287" t="str">
        <f>HYPERLINK("https://patents.google.com/patent/US1439215A/en")</f>
        <v>https://patents.google.com/patent/US1439215A/en</v>
      </c>
    </row>
    <row r="13288" spans="3:5" x14ac:dyDescent="0.25">
      <c r="C13288" t="s">
        <v>24763</v>
      </c>
      <c r="D13288" t="s">
        <v>24764</v>
      </c>
      <c r="E13288" t="str">
        <f>HYPERLINK("https://patents.google.com/patent/CN104453791A/en")</f>
        <v>https://patents.google.com/patent/CN104453791A/en</v>
      </c>
    </row>
    <row r="13289" spans="3:5" x14ac:dyDescent="0.25">
      <c r="C13289" t="s">
        <v>24765</v>
      </c>
      <c r="D13289" t="s">
        <v>24766</v>
      </c>
      <c r="E13289" t="str">
        <f>HYPERLINK("https://patents.google.com/patent/EP0484783B1/en")</f>
        <v>https://patents.google.com/patent/EP0484783B1/en</v>
      </c>
    </row>
    <row r="13290" spans="3:5" x14ac:dyDescent="0.25">
      <c r="C13290" t="s">
        <v>24767</v>
      </c>
      <c r="D13290" t="s">
        <v>24768</v>
      </c>
      <c r="E13290" t="str">
        <f>HYPERLINK("https://patents.google.com/patent/DE102014111236B3/en")</f>
        <v>https://patents.google.com/patent/DE102014111236B3/en</v>
      </c>
    </row>
    <row r="13291" spans="3:5" x14ac:dyDescent="0.25">
      <c r="C13291" t="s">
        <v>24769</v>
      </c>
      <c r="D13291" t="s">
        <v>24770</v>
      </c>
      <c r="E13291" t="str">
        <f>HYPERLINK("https://patents.google.com/patent/WO1980000245A1/en")</f>
        <v>https://patents.google.com/patent/WO1980000245A1/en</v>
      </c>
    </row>
    <row r="13292" spans="3:5" x14ac:dyDescent="0.25">
      <c r="C13292" t="s">
        <v>24771</v>
      </c>
      <c r="D13292" t="s">
        <v>24772</v>
      </c>
      <c r="E13292" t="str">
        <f>HYPERLINK("https://patents.google.com/patent/CN204041026U/en")</f>
        <v>https://patents.google.com/patent/CN204041026U/en</v>
      </c>
    </row>
    <row r="13293" spans="3:5" x14ac:dyDescent="0.25">
      <c r="C13293" t="s">
        <v>24773</v>
      </c>
      <c r="D13293" t="s">
        <v>24774</v>
      </c>
      <c r="E13293" t="str">
        <f>HYPERLINK("https://patents.google.com/patent/CN202812357U/en")</f>
        <v>https://patents.google.com/patent/CN202812357U/en</v>
      </c>
    </row>
    <row r="13294" spans="3:5" x14ac:dyDescent="0.25">
      <c r="C13294" t="s">
        <v>19534</v>
      </c>
      <c r="D13294" t="s">
        <v>24775</v>
      </c>
      <c r="E13294" t="str">
        <f>HYPERLINK("https://patents.google.com/patent/CA2546118C/en")</f>
        <v>https://patents.google.com/patent/CA2546118C/en</v>
      </c>
    </row>
    <row r="13295" spans="3:5" x14ac:dyDescent="0.25">
      <c r="C13295" t="s">
        <v>24776</v>
      </c>
      <c r="D13295" t="s">
        <v>24777</v>
      </c>
      <c r="E13295" t="str">
        <f>HYPERLINK("https://patents.google.com/patent/CN205340170U/en")</f>
        <v>https://patents.google.com/patent/CN205340170U/en</v>
      </c>
    </row>
    <row r="13296" spans="3:5" x14ac:dyDescent="0.25">
      <c r="C13296" t="s">
        <v>24778</v>
      </c>
      <c r="D13296" t="s">
        <v>24779</v>
      </c>
      <c r="E13296" t="str">
        <f>HYPERLINK("https://patents.google.com/patent/KR20180035726A/en")</f>
        <v>https://patents.google.com/patent/KR20180035726A/en</v>
      </c>
    </row>
    <row r="13297" spans="3:5" x14ac:dyDescent="0.25">
      <c r="C13297" t="s">
        <v>24778</v>
      </c>
      <c r="D13297" t="s">
        <v>24780</v>
      </c>
      <c r="E13297" t="str">
        <f>HYPERLINK("https://patents.google.com/patent/KR20180087226A/en")</f>
        <v>https://patents.google.com/patent/KR20180087226A/en</v>
      </c>
    </row>
    <row r="13298" spans="3:5" x14ac:dyDescent="0.25">
      <c r="C13298" t="s">
        <v>24781</v>
      </c>
      <c r="D13298" t="s">
        <v>24782</v>
      </c>
      <c r="E13298" t="str">
        <f>HYPERLINK("https://patents.google.com/patent/CN105422052A/en")</f>
        <v>https://patents.google.com/patent/CN105422052A/en</v>
      </c>
    </row>
    <row r="13299" spans="3:5" x14ac:dyDescent="0.25">
      <c r="C13299" t="s">
        <v>24783</v>
      </c>
      <c r="D13299" t="s">
        <v>24784</v>
      </c>
      <c r="E13299" t="str">
        <f>HYPERLINK("https://patents.google.com/patent/US20030101950A1/en")</f>
        <v>https://patents.google.com/patent/US20030101950A1/en</v>
      </c>
    </row>
    <row r="13300" spans="3:5" x14ac:dyDescent="0.25">
      <c r="C13300" t="s">
        <v>24785</v>
      </c>
      <c r="D13300" t="s">
        <v>24786</v>
      </c>
      <c r="E13300" t="str">
        <f>HYPERLINK("https://patents.google.com/patent/CN2485419Y/en")</f>
        <v>https://patents.google.com/patent/CN2485419Y/en</v>
      </c>
    </row>
    <row r="13301" spans="3:5" x14ac:dyDescent="0.25">
      <c r="C13301" t="s">
        <v>24787</v>
      </c>
      <c r="D13301" t="s">
        <v>24788</v>
      </c>
      <c r="E13301" t="str">
        <f>HYPERLINK("https://patents.google.com/patent/FR2767888A1/en")</f>
        <v>https://patents.google.com/patent/FR2767888A1/en</v>
      </c>
    </row>
    <row r="13302" spans="3:5" x14ac:dyDescent="0.25">
      <c r="C13302" t="s">
        <v>24789</v>
      </c>
      <c r="D13302" t="s">
        <v>24790</v>
      </c>
      <c r="E13302" t="str">
        <f>HYPERLINK("https://patents.google.com/patent/CN201434693Y/en")</f>
        <v>https://patents.google.com/patent/CN201434693Y/en</v>
      </c>
    </row>
    <row r="13303" spans="3:5" x14ac:dyDescent="0.25">
      <c r="C13303" t="s">
        <v>24791</v>
      </c>
      <c r="D13303" t="s">
        <v>24792</v>
      </c>
      <c r="E13303" t="str">
        <f>HYPERLINK("https://patents.google.com/patent/BE495671A/en")</f>
        <v>https://patents.google.com/patent/BE495671A/en</v>
      </c>
    </row>
    <row r="13304" spans="3:5" x14ac:dyDescent="0.25">
      <c r="C13304" t="s">
        <v>24793</v>
      </c>
      <c r="D13304" t="s">
        <v>24794</v>
      </c>
      <c r="E13304" t="str">
        <f>HYPERLINK("https://patents.google.com/patent/CN203228668U/en")</f>
        <v>https://patents.google.com/patent/CN203228668U/en</v>
      </c>
    </row>
    <row r="13305" spans="3:5" x14ac:dyDescent="0.25">
      <c r="C13305" t="s">
        <v>24795</v>
      </c>
      <c r="D13305" t="s">
        <v>24796</v>
      </c>
      <c r="E13305" t="str">
        <f>HYPERLINK("https://patents.google.com/patent/CN2349129Y/en")</f>
        <v>https://patents.google.com/patent/CN2349129Y/en</v>
      </c>
    </row>
    <row r="13306" spans="3:5" x14ac:dyDescent="0.25">
      <c r="C13306" t="s">
        <v>24797</v>
      </c>
      <c r="D13306" t="s">
        <v>24798</v>
      </c>
      <c r="E13306" t="str">
        <f>HYPERLINK("https://patents.google.com/patent/CN104077652A/en")</f>
        <v>https://patents.google.com/patent/CN104077652A/en</v>
      </c>
    </row>
    <row r="13307" spans="3:5" x14ac:dyDescent="0.25">
      <c r="C13307" t="s">
        <v>24799</v>
      </c>
      <c r="D13307" t="s">
        <v>24800</v>
      </c>
      <c r="E13307" t="str">
        <f>HYPERLINK("https://patents.google.com/patent/US1574514A/en")</f>
        <v>https://patents.google.com/patent/US1574514A/en</v>
      </c>
    </row>
    <row r="13308" spans="3:5" x14ac:dyDescent="0.25">
      <c r="C13308" t="s">
        <v>24801</v>
      </c>
      <c r="D13308" t="s">
        <v>24802</v>
      </c>
      <c r="E13308" t="str">
        <f>HYPERLINK("https://patents.google.com/patent/CN204162226U/en")</f>
        <v>https://patents.google.com/patent/CN204162226U/en</v>
      </c>
    </row>
    <row r="13309" spans="3:5" x14ac:dyDescent="0.25">
      <c r="C13309" t="s">
        <v>24803</v>
      </c>
      <c r="D13309" t="s">
        <v>24804</v>
      </c>
      <c r="E13309" t="str">
        <f>HYPERLINK("https://patents.google.com/patent/BE511246A/en")</f>
        <v>https://patents.google.com/patent/BE511246A/en</v>
      </c>
    </row>
    <row r="13310" spans="3:5" x14ac:dyDescent="0.25">
      <c r="C13310" t="s">
        <v>24805</v>
      </c>
      <c r="D13310" t="s">
        <v>24806</v>
      </c>
      <c r="E13310" t="str">
        <f>HYPERLINK("https://patents.google.com/patent/CN2537812Y/en")</f>
        <v>https://patents.google.com/patent/CN2537812Y/en</v>
      </c>
    </row>
    <row r="13311" spans="3:5" x14ac:dyDescent="0.25">
      <c r="C13311" t="s">
        <v>24807</v>
      </c>
      <c r="D13311" t="s">
        <v>24808</v>
      </c>
      <c r="E13311" t="str">
        <f>HYPERLINK("https://patents.google.com/patent/ES2331607T3/en")</f>
        <v>https://patents.google.com/patent/ES2331607T3/en</v>
      </c>
    </row>
    <row r="13312" spans="3:5" x14ac:dyDescent="0.25">
      <c r="C13312" t="s">
        <v>24809</v>
      </c>
      <c r="D13312" t="s">
        <v>24810</v>
      </c>
      <c r="E13312" t="str">
        <f>HYPERLINK("https://patents.google.com/patent/CN205218976U/en")</f>
        <v>https://patents.google.com/patent/CN205218976U/en</v>
      </c>
    </row>
    <row r="13313" spans="3:5" x14ac:dyDescent="0.25">
      <c r="C13313" t="s">
        <v>24811</v>
      </c>
      <c r="D13313" t="s">
        <v>24812</v>
      </c>
      <c r="E13313" t="str">
        <f>HYPERLINK("https://patents.google.com/patent/CN105376805B/en")</f>
        <v>https://patents.google.com/patent/CN105376805B/en</v>
      </c>
    </row>
    <row r="13314" spans="3:5" x14ac:dyDescent="0.25">
      <c r="C13314" t="s">
        <v>24813</v>
      </c>
      <c r="D13314" t="s">
        <v>24814</v>
      </c>
      <c r="E13314" t="str">
        <f>HYPERLINK("https://patents.google.com/patent/CN204186353U/en")</f>
        <v>https://patents.google.com/patent/CN204186353U/en</v>
      </c>
    </row>
    <row r="13315" spans="3:5" x14ac:dyDescent="0.25">
      <c r="C13315" t="s">
        <v>24815</v>
      </c>
      <c r="D13315" t="s">
        <v>24816</v>
      </c>
      <c r="E13315" t="str">
        <f>HYPERLINK("https://patents.google.com/patent/KR101380932B1/en")</f>
        <v>https://patents.google.com/patent/KR101380932B1/en</v>
      </c>
    </row>
    <row r="13316" spans="3:5" x14ac:dyDescent="0.25">
      <c r="C13316" t="s">
        <v>24817</v>
      </c>
      <c r="D13316" t="s">
        <v>24818</v>
      </c>
      <c r="E13316" t="str">
        <f>HYPERLINK("https://patents.google.com/patent/DE112005002624B4/en")</f>
        <v>https://patents.google.com/patent/DE112005002624B4/en</v>
      </c>
    </row>
    <row r="13317" spans="3:5" x14ac:dyDescent="0.25">
      <c r="C13317" t="s">
        <v>24819</v>
      </c>
      <c r="D13317" t="s">
        <v>24820</v>
      </c>
      <c r="E13317" t="str">
        <f>HYPERLINK("https://patents.google.com/patent/KR101754639B1/en")</f>
        <v>https://patents.google.com/patent/KR101754639B1/en</v>
      </c>
    </row>
    <row r="13318" spans="3:5" x14ac:dyDescent="0.25">
      <c r="C13318" t="s">
        <v>24821</v>
      </c>
      <c r="D13318" t="s">
        <v>24822</v>
      </c>
      <c r="E13318" t="str">
        <f>HYPERLINK("https://patents.google.com/patent/DE112007003671B4/en")</f>
        <v>https://patents.google.com/patent/DE112007003671B4/en</v>
      </c>
    </row>
    <row r="13319" spans="3:5" x14ac:dyDescent="0.25">
      <c r="C13319" t="s">
        <v>24823</v>
      </c>
      <c r="D13319" t="s">
        <v>24824</v>
      </c>
      <c r="E13319" t="str">
        <f>HYPERLINK("https://patents.google.com/patent/CN106022562A/en")</f>
        <v>https://patents.google.com/patent/CN106022562A/en</v>
      </c>
    </row>
    <row r="13320" spans="3:5" x14ac:dyDescent="0.25">
      <c r="C13320" t="s">
        <v>24825</v>
      </c>
      <c r="D13320" t="s">
        <v>24826</v>
      </c>
      <c r="E13320" t="str">
        <f>HYPERLINK("https://patents.google.com/patent/FR2519894A1/en")</f>
        <v>https://patents.google.com/patent/FR2519894A1/en</v>
      </c>
    </row>
    <row r="13321" spans="3:5" x14ac:dyDescent="0.25">
      <c r="C13321" t="s">
        <v>24827</v>
      </c>
      <c r="D13321" t="s">
        <v>24828</v>
      </c>
      <c r="E13321" t="str">
        <f>HYPERLINK("https://patents.google.com/patent/CN1063333A/en")</f>
        <v>https://patents.google.com/patent/CN1063333A/en</v>
      </c>
    </row>
    <row r="13322" spans="3:5" x14ac:dyDescent="0.25">
      <c r="C13322" t="s">
        <v>24829</v>
      </c>
      <c r="D13322" t="s">
        <v>24830</v>
      </c>
      <c r="E13322" t="str">
        <f>HYPERLINK("https://patents.google.com/patent/BE539926A/en")</f>
        <v>https://patents.google.com/patent/BE539926A/en</v>
      </c>
    </row>
    <row r="13323" spans="3:5" x14ac:dyDescent="0.25">
      <c r="C13323" t="s">
        <v>24831</v>
      </c>
      <c r="D13323" t="s">
        <v>24832</v>
      </c>
      <c r="E13323" t="str">
        <f>HYPERLINK("https://patents.google.com/patent/BE392683A/en")</f>
        <v>https://patents.google.com/patent/BE392683A/en</v>
      </c>
    </row>
    <row r="13324" spans="3:5" x14ac:dyDescent="0.25">
      <c r="C13324" t="s">
        <v>24833</v>
      </c>
      <c r="D13324" t="s">
        <v>24834</v>
      </c>
      <c r="E13324" t="str">
        <f>HYPERLINK("https://patents.google.com/patent/BE375833A/en")</f>
        <v>https://patents.google.com/patent/BE375833A/en</v>
      </c>
    </row>
    <row r="13325" spans="3:5" x14ac:dyDescent="0.25">
      <c r="C13325" t="s">
        <v>24835</v>
      </c>
      <c r="D13325" t="s">
        <v>24836</v>
      </c>
      <c r="E13325" t="str">
        <f>HYPERLINK("https://patents.google.com/patent/BE486494A/en")</f>
        <v>https://patents.google.com/patent/BE486494A/en</v>
      </c>
    </row>
    <row r="13326" spans="3:5" x14ac:dyDescent="0.25">
      <c r="C13326" t="s">
        <v>24837</v>
      </c>
      <c r="D13326" t="s">
        <v>24838</v>
      </c>
      <c r="E13326" t="str">
        <f>HYPERLINK("https://patents.google.com/patent/CN105376804B/en")</f>
        <v>https://patents.google.com/patent/CN105376804B/en</v>
      </c>
    </row>
    <row r="13327" spans="3:5" x14ac:dyDescent="0.25">
      <c r="C13327" t="s">
        <v>24839</v>
      </c>
      <c r="D13327" t="s">
        <v>24840</v>
      </c>
      <c r="E13327" t="str">
        <f>HYPERLINK("https://patents.google.com/patent/CN204664291U/en")</f>
        <v>https://patents.google.com/patent/CN204664291U/en</v>
      </c>
    </row>
    <row r="13328" spans="3:5" x14ac:dyDescent="0.25">
      <c r="C13328" t="s">
        <v>24841</v>
      </c>
      <c r="D13328" t="s">
        <v>24842</v>
      </c>
      <c r="E13328" t="str">
        <f>HYPERLINK("https://patents.google.com/patent/FR2508165A1/en")</f>
        <v>https://patents.google.com/patent/FR2508165A1/en</v>
      </c>
    </row>
    <row r="13329" spans="3:5" x14ac:dyDescent="0.25">
      <c r="C13329" t="s">
        <v>24843</v>
      </c>
      <c r="D13329" t="s">
        <v>24844</v>
      </c>
      <c r="E13329" t="str">
        <f>HYPERLINK("https://patents.google.com/patent/BE503142A/en")</f>
        <v>https://patents.google.com/patent/BE503142A/en</v>
      </c>
    </row>
    <row r="13330" spans="3:5" x14ac:dyDescent="0.25">
      <c r="C13330" t="s">
        <v>24845</v>
      </c>
      <c r="D13330" t="s">
        <v>24846</v>
      </c>
      <c r="E13330" t="str">
        <f>HYPERLINK("https://patents.google.com/patent/BE562824A/en")</f>
        <v>https://patents.google.com/patent/BE562824A/en</v>
      </c>
    </row>
    <row r="13331" spans="3:5" x14ac:dyDescent="0.25">
      <c r="C13331" t="s">
        <v>24847</v>
      </c>
      <c r="D13331" t="s">
        <v>24848</v>
      </c>
      <c r="E13331" t="str">
        <f>HYPERLINK("https://patents.google.com/patent/BE535748A/en")</f>
        <v>https://patents.google.com/patent/BE535748A/en</v>
      </c>
    </row>
    <row r="13332" spans="3:5" x14ac:dyDescent="0.25">
      <c r="C13332" t="s">
        <v>24849</v>
      </c>
      <c r="D13332" t="s">
        <v>24850</v>
      </c>
      <c r="E13332" t="str">
        <f>HYPERLINK("https://patents.google.com/patent/CN207036604U/en")</f>
        <v>https://patents.google.com/patent/CN207036604U/en</v>
      </c>
    </row>
    <row r="13333" spans="3:5" x14ac:dyDescent="0.25">
      <c r="C13333" t="s">
        <v>24851</v>
      </c>
      <c r="D13333" t="s">
        <v>24852</v>
      </c>
      <c r="E13333" t="str">
        <f>HYPERLINK("https://patents.google.com/patent/KR20010074289A/en")</f>
        <v>https://patents.google.com/patent/KR20010074289A/en</v>
      </c>
    </row>
    <row r="13334" spans="3:5" x14ac:dyDescent="0.25">
      <c r="C13334" t="s">
        <v>24853</v>
      </c>
      <c r="D13334" t="s">
        <v>24854</v>
      </c>
      <c r="E13334" t="str">
        <f>HYPERLINK("https://patents.google.com/patent/CN101387192A/en")</f>
        <v>https://patents.google.com/patent/CN101387192A/en</v>
      </c>
    </row>
    <row r="13335" spans="3:5" x14ac:dyDescent="0.25">
      <c r="C13335" t="s">
        <v>24855</v>
      </c>
      <c r="D13335" t="s">
        <v>24856</v>
      </c>
      <c r="E13335" t="str">
        <f>HYPERLINK("https://patents.google.com/patent/CN205135963U/en")</f>
        <v>https://patents.google.com/patent/CN205135963U/en</v>
      </c>
    </row>
    <row r="13336" spans="3:5" x14ac:dyDescent="0.25">
      <c r="C13336" t="s">
        <v>24857</v>
      </c>
      <c r="D13336" t="s">
        <v>24858</v>
      </c>
      <c r="E13336" t="str">
        <f>HYPERLINK("https://patents.google.com/patent/BE416934A/en")</f>
        <v>https://patents.google.com/patent/BE416934A/en</v>
      </c>
    </row>
    <row r="13337" spans="3:5" x14ac:dyDescent="0.25">
      <c r="C13337" t="s">
        <v>24859</v>
      </c>
      <c r="D13337" t="s">
        <v>24860</v>
      </c>
      <c r="E13337" t="str">
        <f>HYPERLINK("https://patents.google.com/patent/ES2334557T3/en")</f>
        <v>https://patents.google.com/patent/ES2334557T3/en</v>
      </c>
    </row>
    <row r="13338" spans="3:5" x14ac:dyDescent="0.25">
      <c r="C13338" t="s">
        <v>24861</v>
      </c>
      <c r="D13338" t="s">
        <v>24862</v>
      </c>
      <c r="E13338" t="str">
        <f>HYPERLINK("https://patents.google.com/patent/CN206736723U/en")</f>
        <v>https://patents.google.com/patent/CN206736723U/en</v>
      </c>
    </row>
    <row r="13339" spans="3:5" x14ac:dyDescent="0.25">
      <c r="C13339" t="s">
        <v>24863</v>
      </c>
      <c r="D13339" t="s">
        <v>24864</v>
      </c>
      <c r="E13339" t="str">
        <f>HYPERLINK("https://patents.google.com/patent/CN207153011U/en")</f>
        <v>https://patents.google.com/patent/CN207153011U/en</v>
      </c>
    </row>
    <row r="13340" spans="3:5" x14ac:dyDescent="0.25">
      <c r="C13340" t="s">
        <v>24865</v>
      </c>
      <c r="D13340" t="s">
        <v>24866</v>
      </c>
      <c r="E13340" t="str">
        <f>HYPERLINK("https://patents.google.com/patent/CN100349190C/en")</f>
        <v>https://patents.google.com/patent/CN100349190C/en</v>
      </c>
    </row>
    <row r="13341" spans="3:5" x14ac:dyDescent="0.25">
      <c r="C13341" t="s">
        <v>24867</v>
      </c>
      <c r="D13341" t="s">
        <v>24868</v>
      </c>
      <c r="E13341" t="str">
        <f>HYPERLINK("https://patents.google.com/patent/CN205838262U/en")</f>
        <v>https://patents.google.com/patent/CN205838262U/en</v>
      </c>
    </row>
    <row r="13342" spans="3:5" x14ac:dyDescent="0.25">
      <c r="C13342" t="s">
        <v>24869</v>
      </c>
      <c r="D13342" t="s">
        <v>24870</v>
      </c>
      <c r="E13342" t="str">
        <f>HYPERLINK("https://patents.google.com/patent/CN207153008U/en")</f>
        <v>https://patents.google.com/patent/CN207153008U/en</v>
      </c>
    </row>
    <row r="13343" spans="3:5" x14ac:dyDescent="0.25">
      <c r="C13343" t="s">
        <v>24871</v>
      </c>
      <c r="D13343" t="s">
        <v>24872</v>
      </c>
      <c r="E13343" t="str">
        <f>HYPERLINK("https://patents.google.com/patent/KR20120085920A/en")</f>
        <v>https://patents.google.com/patent/KR20120085920A/en</v>
      </c>
    </row>
    <row r="13344" spans="3:5" x14ac:dyDescent="0.25">
      <c r="C13344" t="s">
        <v>8184</v>
      </c>
      <c r="D13344" t="s">
        <v>24873</v>
      </c>
      <c r="E13344" t="str">
        <f>HYPERLINK("https://patents.google.com/patent/WO2006087703A2/en")</f>
        <v>https://patents.google.com/patent/WO2006087703A2/en</v>
      </c>
    </row>
    <row r="13345" spans="1:5" x14ac:dyDescent="0.25">
      <c r="C13345" t="s">
        <v>24874</v>
      </c>
      <c r="D13345" t="s">
        <v>24875</v>
      </c>
      <c r="E13345" t="str">
        <f>HYPERLINK("https://patents.google.com/patent/WO2009009920A1/en")</f>
        <v>https://patents.google.com/patent/WO2009009920A1/en</v>
      </c>
    </row>
    <row r="13346" spans="1:5" x14ac:dyDescent="0.25">
      <c r="C13346" t="s">
        <v>24876</v>
      </c>
      <c r="D13346" t="s">
        <v>24877</v>
      </c>
      <c r="E13346" t="str">
        <f>HYPERLINK("https://patents.google.com/patent/EP3120903A1/en")</f>
        <v>https://patents.google.com/patent/EP3120903A1/en</v>
      </c>
    </row>
    <row r="13347" spans="1:5" x14ac:dyDescent="0.25">
      <c r="C13347" t="s">
        <v>8757</v>
      </c>
      <c r="D13347" t="s">
        <v>24878</v>
      </c>
      <c r="E13347" t="str">
        <f>HYPERLINK("https://patents.google.com/patent/BE884310A/en")</f>
        <v>https://patents.google.com/patent/BE884310A/en</v>
      </c>
    </row>
    <row r="13348" spans="1:5" x14ac:dyDescent="0.25">
      <c r="C13348" t="s">
        <v>24879</v>
      </c>
      <c r="D13348" t="s">
        <v>24880</v>
      </c>
      <c r="E13348" t="str">
        <f>HYPERLINK("https://patents.google.com/patent/BE568359A/en")</f>
        <v>https://patents.google.com/patent/BE568359A/en</v>
      </c>
    </row>
    <row r="13349" spans="1:5" x14ac:dyDescent="0.25">
      <c r="C13349" t="s">
        <v>24881</v>
      </c>
      <c r="D13349" t="s">
        <v>24882</v>
      </c>
      <c r="E13349" t="str">
        <f>HYPERLINK("https://patents.google.com/patent/BE553558A/en")</f>
        <v>https://patents.google.com/patent/BE553558A/en</v>
      </c>
    </row>
    <row r="13350" spans="1:5" x14ac:dyDescent="0.25">
      <c r="C13350" t="s">
        <v>24883</v>
      </c>
      <c r="D13350" t="s">
        <v>24884</v>
      </c>
      <c r="E13350" t="str">
        <f>HYPERLINK("https://patents.google.com/patent/KR20030044104A/en")</f>
        <v>https://patents.google.com/patent/KR20030044104A/en</v>
      </c>
    </row>
    <row r="13351" spans="1:5" x14ac:dyDescent="0.25">
      <c r="C13351" t="s">
        <v>24885</v>
      </c>
      <c r="D13351" t="s">
        <v>24886</v>
      </c>
      <c r="E13351" t="str">
        <f>HYPERLINK("https://patents.google.com/patent/BE653830A/en")</f>
        <v>https://patents.google.com/patent/BE653830A/en</v>
      </c>
    </row>
    <row r="13352" spans="1:5" x14ac:dyDescent="0.25">
      <c r="C13352" t="s">
        <v>24887</v>
      </c>
      <c r="D13352" t="s">
        <v>24888</v>
      </c>
      <c r="E13352" t="str">
        <f>HYPERLINK("https://patents.google.com/patent/BE530342A/en")</f>
        <v>https://patents.google.com/patent/BE530342A/en</v>
      </c>
    </row>
    <row r="13353" spans="1:5" x14ac:dyDescent="0.25">
      <c r="C13353" t="s">
        <v>24889</v>
      </c>
      <c r="D13353" t="s">
        <v>24890</v>
      </c>
      <c r="E13353" t="str">
        <f>HYPERLINK("https://patents.google.com/patent/BE351896A/en")</f>
        <v>https://patents.google.com/patent/BE351896A/en</v>
      </c>
    </row>
    <row r="13354" spans="1:5" x14ac:dyDescent="0.25">
      <c r="C13354" t="s">
        <v>24606</v>
      </c>
      <c r="D13354" t="s">
        <v>24891</v>
      </c>
      <c r="E13354" t="str">
        <f>HYPERLINK("https://patents.google.com/patent/CN101059071B/en")</f>
        <v>https://patents.google.com/patent/CN101059071B/en</v>
      </c>
    </row>
    <row r="13355" spans="1:5" x14ac:dyDescent="0.25">
      <c r="C13355" t="s">
        <v>24892</v>
      </c>
      <c r="D13355" t="s">
        <v>24893</v>
      </c>
      <c r="E13355" t="str">
        <f>HYPERLINK("https://patents.google.com/patent/BE639926A/en")</f>
        <v>https://patents.google.com/patent/BE639926A/en</v>
      </c>
    </row>
    <row r="13356" spans="1:5" x14ac:dyDescent="0.25">
      <c r="A13356" t="s">
        <v>4295</v>
      </c>
      <c r="B13356">
        <v>656</v>
      </c>
    </row>
    <row r="13357" spans="1:5" x14ac:dyDescent="0.25">
      <c r="C13357" t="s">
        <v>24894</v>
      </c>
      <c r="D13357" t="s">
        <v>24895</v>
      </c>
      <c r="E13357" t="str">
        <f>HYPERLINK("https://patents.google.com/patent/CN108132675A/en")</f>
        <v>https://patents.google.com/patent/CN108132675A/en</v>
      </c>
    </row>
    <row r="13358" spans="1:5" x14ac:dyDescent="0.25">
      <c r="C13358" t="s">
        <v>24896</v>
      </c>
      <c r="D13358" t="s">
        <v>24897</v>
      </c>
      <c r="E13358" t="str">
        <f>HYPERLINK("https://patents.google.com/patent/CN102510011A/en")</f>
        <v>https://patents.google.com/patent/CN102510011A/en</v>
      </c>
    </row>
    <row r="13359" spans="1:5" x14ac:dyDescent="0.25">
      <c r="C13359" t="s">
        <v>24898</v>
      </c>
      <c r="D13359" t="s">
        <v>24899</v>
      </c>
      <c r="E13359" t="str">
        <f>HYPERLINK("https://patents.google.com/patent/JP2008234636A/en")</f>
        <v>https://patents.google.com/patent/JP2008234636A/en</v>
      </c>
    </row>
    <row r="13360" spans="1:5" x14ac:dyDescent="0.25">
      <c r="C13360" t="s">
        <v>24900</v>
      </c>
      <c r="D13360" t="s">
        <v>24901</v>
      </c>
      <c r="E13360" t="str">
        <f>HYPERLINK("https://patents.google.com/patent/US6466213B2/en")</f>
        <v>https://patents.google.com/patent/US6466213B2/en</v>
      </c>
    </row>
    <row r="13361" spans="3:5" x14ac:dyDescent="0.25">
      <c r="C13361" t="s">
        <v>24902</v>
      </c>
      <c r="D13361" t="s">
        <v>24903</v>
      </c>
      <c r="E13361" t="str">
        <f>HYPERLINK("https://patents.google.com/patent/CN203224632U/en")</f>
        <v>https://patents.google.com/patent/CN203224632U/en</v>
      </c>
    </row>
    <row r="13362" spans="3:5" x14ac:dyDescent="0.25">
      <c r="C13362" t="s">
        <v>24904</v>
      </c>
      <c r="D13362" t="s">
        <v>24905</v>
      </c>
      <c r="E13362" t="str">
        <f>HYPERLINK("https://patents.google.com/patent/CN105717934A/en")</f>
        <v>https://patents.google.com/patent/CN105717934A/en</v>
      </c>
    </row>
    <row r="13363" spans="3:5" x14ac:dyDescent="0.25">
      <c r="C13363" t="s">
        <v>24906</v>
      </c>
      <c r="D13363" t="s">
        <v>24907</v>
      </c>
      <c r="E13363" t="str">
        <f>HYPERLINK("https://patents.google.com/patent/CN106952599A/en")</f>
        <v>https://patents.google.com/patent/CN106952599A/en</v>
      </c>
    </row>
    <row r="13364" spans="3:5" x14ac:dyDescent="0.25">
      <c r="C13364" t="s">
        <v>24908</v>
      </c>
      <c r="D13364" t="s">
        <v>24909</v>
      </c>
      <c r="E13364" t="str">
        <f>HYPERLINK("https://patents.google.com/patent/CN105745587B/en")</f>
        <v>https://patents.google.com/patent/CN105745587B/en</v>
      </c>
    </row>
    <row r="13365" spans="3:5" x14ac:dyDescent="0.25">
      <c r="C13365" t="s">
        <v>24910</v>
      </c>
      <c r="D13365" t="s">
        <v>24911</v>
      </c>
      <c r="E13365" t="str">
        <f>HYPERLINK("https://patents.google.com/patent/JP2010061533A/en")</f>
        <v>https://patents.google.com/patent/JP2010061533A/en</v>
      </c>
    </row>
    <row r="13366" spans="3:5" x14ac:dyDescent="0.25">
      <c r="C13366" t="s">
        <v>24912</v>
      </c>
      <c r="D13366" t="s">
        <v>24913</v>
      </c>
      <c r="E13366" t="str">
        <f>HYPERLINK("https://patents.google.com/patent/CN104865846B/en")</f>
        <v>https://patents.google.com/patent/CN104865846B/en</v>
      </c>
    </row>
    <row r="13367" spans="3:5" x14ac:dyDescent="0.25">
      <c r="C13367" t="s">
        <v>24914</v>
      </c>
      <c r="D13367" t="s">
        <v>24915</v>
      </c>
      <c r="E13367" t="str">
        <f>HYPERLINK("https://patents.google.com/patent/CN102799178B/en")</f>
        <v>https://patents.google.com/patent/CN102799178B/en</v>
      </c>
    </row>
    <row r="13368" spans="3:5" x14ac:dyDescent="0.25">
      <c r="C13368" t="s">
        <v>24916</v>
      </c>
      <c r="D13368" t="s">
        <v>24917</v>
      </c>
      <c r="E13368" t="str">
        <f>HYPERLINK("https://patents.google.com/patent/EP3121775A1/en")</f>
        <v>https://patents.google.com/patent/EP3121775A1/en</v>
      </c>
    </row>
    <row r="13369" spans="3:5" x14ac:dyDescent="0.25">
      <c r="C13369" t="s">
        <v>24918</v>
      </c>
      <c r="D13369" t="s">
        <v>24919</v>
      </c>
      <c r="E13369" t="str">
        <f>HYPERLINK("https://patents.google.com/patent/DE102017110283A1/en")</f>
        <v>https://patents.google.com/patent/DE102017110283A1/en</v>
      </c>
    </row>
    <row r="13370" spans="3:5" x14ac:dyDescent="0.25">
      <c r="C13370" t="s">
        <v>24920</v>
      </c>
      <c r="D13370" t="s">
        <v>24921</v>
      </c>
      <c r="E13370" t="str">
        <f>HYPERLINK("https://patents.google.com/patent/CN107797555A/en")</f>
        <v>https://patents.google.com/patent/CN107797555A/en</v>
      </c>
    </row>
    <row r="13371" spans="3:5" x14ac:dyDescent="0.25">
      <c r="C13371" t="s">
        <v>24922</v>
      </c>
      <c r="D13371" t="s">
        <v>24923</v>
      </c>
      <c r="E13371" t="str">
        <f>HYPERLINK("https://patents.google.com/patent/DE102017109243A1/en")</f>
        <v>https://patents.google.com/patent/DE102017109243A1/en</v>
      </c>
    </row>
    <row r="13372" spans="3:5" x14ac:dyDescent="0.25">
      <c r="C13372" t="s">
        <v>24924</v>
      </c>
      <c r="D13372" t="s">
        <v>24925</v>
      </c>
      <c r="E13372" t="str">
        <f>HYPERLINK("https://patents.google.com/patent/CN105270208A/en")</f>
        <v>https://patents.google.com/patent/CN105270208A/en</v>
      </c>
    </row>
    <row r="13373" spans="3:5" x14ac:dyDescent="0.25">
      <c r="C13373" t="s">
        <v>24926</v>
      </c>
      <c r="D13373" t="s">
        <v>24927</v>
      </c>
      <c r="E13373" t="str">
        <f>HYPERLINK("https://patents.google.com/patent/US8078349B1/en")</f>
        <v>https://patents.google.com/patent/US8078349B1/en</v>
      </c>
    </row>
    <row r="13374" spans="3:5" x14ac:dyDescent="0.25">
      <c r="C13374" t="s">
        <v>24928</v>
      </c>
      <c r="D13374" t="s">
        <v>24929</v>
      </c>
      <c r="E13374" t="str">
        <f>HYPERLINK("https://patents.google.com/patent/CN106777274B/en")</f>
        <v>https://patents.google.com/patent/CN106777274B/en</v>
      </c>
    </row>
    <row r="13375" spans="3:5" x14ac:dyDescent="0.25">
      <c r="C13375" t="s">
        <v>24930</v>
      </c>
      <c r="D13375" t="s">
        <v>24931</v>
      </c>
      <c r="E13375" t="str">
        <f>HYPERLINK("https://patents.google.com/patent/CN105700544A/en")</f>
        <v>https://patents.google.com/patent/CN105700544A/en</v>
      </c>
    </row>
    <row r="13376" spans="3:5" x14ac:dyDescent="0.25">
      <c r="C13376" t="s">
        <v>24932</v>
      </c>
      <c r="D13376" t="s">
        <v>24933</v>
      </c>
      <c r="E13376" t="str">
        <f>HYPERLINK("https://patents.google.com/patent/CN108600501A/en")</f>
        <v>https://patents.google.com/patent/CN108600501A/en</v>
      </c>
    </row>
    <row r="13377" spans="3:5" x14ac:dyDescent="0.25">
      <c r="C13377" t="s">
        <v>24934</v>
      </c>
      <c r="D13377" t="s">
        <v>24935</v>
      </c>
      <c r="E13377" t="str">
        <f>HYPERLINK("https://patents.google.com/patent/CN107553505A/en")</f>
        <v>https://patents.google.com/patent/CN107553505A/en</v>
      </c>
    </row>
    <row r="13378" spans="3:5" x14ac:dyDescent="0.25">
      <c r="C13378" t="s">
        <v>24936</v>
      </c>
      <c r="D13378" t="s">
        <v>24937</v>
      </c>
      <c r="E13378" t="str">
        <f>HYPERLINK("https://patents.google.com/patent/CN202806746U/en")</f>
        <v>https://patents.google.com/patent/CN202806746U/en</v>
      </c>
    </row>
    <row r="13379" spans="3:5" x14ac:dyDescent="0.25">
      <c r="C13379" t="s">
        <v>24938</v>
      </c>
      <c r="D13379" t="s">
        <v>24939</v>
      </c>
      <c r="E13379" t="str">
        <f>HYPERLINK("https://patents.google.com/patent/US6230111B1/en")</f>
        <v>https://patents.google.com/patent/US6230111B1/en</v>
      </c>
    </row>
    <row r="13380" spans="3:5" x14ac:dyDescent="0.25">
      <c r="C13380" t="s">
        <v>24940</v>
      </c>
      <c r="D13380" t="s">
        <v>24941</v>
      </c>
      <c r="E13380" t="str">
        <f>HYPERLINK("https://patents.google.com/patent/US5390124A/en")</f>
        <v>https://patents.google.com/patent/US5390124A/en</v>
      </c>
    </row>
    <row r="13381" spans="3:5" x14ac:dyDescent="0.25">
      <c r="C13381" t="s">
        <v>24942</v>
      </c>
      <c r="D13381" t="s">
        <v>24943</v>
      </c>
      <c r="E13381" t="str">
        <f>HYPERLINK("https://patents.google.com/patent/US6681232B1/en")</f>
        <v>https://patents.google.com/patent/US6681232B1/en</v>
      </c>
    </row>
    <row r="13382" spans="3:5" x14ac:dyDescent="0.25">
      <c r="C13382" t="s">
        <v>24944</v>
      </c>
      <c r="D13382" t="s">
        <v>24945</v>
      </c>
      <c r="E13382" t="str">
        <f>HYPERLINK("https://patents.google.com/patent/US6508709B1/en")</f>
        <v>https://patents.google.com/patent/US6508709B1/en</v>
      </c>
    </row>
    <row r="13383" spans="3:5" x14ac:dyDescent="0.25">
      <c r="C13383" t="s">
        <v>24946</v>
      </c>
      <c r="D13383" t="s">
        <v>24947</v>
      </c>
      <c r="E13383" t="str">
        <f>HYPERLINK("https://patents.google.com/patent/US5490073A/en")</f>
        <v>https://patents.google.com/patent/US5490073A/en</v>
      </c>
    </row>
    <row r="13384" spans="3:5" x14ac:dyDescent="0.25">
      <c r="C13384" t="s">
        <v>24948</v>
      </c>
      <c r="D13384" t="s">
        <v>24949</v>
      </c>
      <c r="E13384" t="str">
        <f>HYPERLINK("https://patents.google.com/patent/US6988126B2/en")</f>
        <v>https://patents.google.com/patent/US6988126B2/en</v>
      </c>
    </row>
    <row r="13385" spans="3:5" x14ac:dyDescent="0.25">
      <c r="C13385" t="s">
        <v>24950</v>
      </c>
      <c r="D13385" t="s">
        <v>24951</v>
      </c>
      <c r="E13385" t="str">
        <f>HYPERLINK("https://patents.google.com/patent/US6996605B2/en")</f>
        <v>https://patents.google.com/patent/US6996605B2/en</v>
      </c>
    </row>
    <row r="13386" spans="3:5" x14ac:dyDescent="0.25">
      <c r="C13386" t="s">
        <v>24952</v>
      </c>
      <c r="D13386" t="s">
        <v>24953</v>
      </c>
      <c r="E13386" t="str">
        <f>HYPERLINK("https://patents.google.com/patent/US5945976A/en")</f>
        <v>https://patents.google.com/patent/US5945976A/en</v>
      </c>
    </row>
    <row r="13387" spans="3:5" x14ac:dyDescent="0.25">
      <c r="C13387" t="s">
        <v>24954</v>
      </c>
      <c r="D13387" t="s">
        <v>24955</v>
      </c>
      <c r="E13387" t="str">
        <f>HYPERLINK("https://patents.google.com/patent/CN105549603A/en")</f>
        <v>https://patents.google.com/patent/CN105549603A/en</v>
      </c>
    </row>
    <row r="13388" spans="3:5" x14ac:dyDescent="0.25">
      <c r="C13388" t="s">
        <v>24956</v>
      </c>
      <c r="D13388" t="s">
        <v>24957</v>
      </c>
      <c r="E13388" t="str">
        <f>HYPERLINK("https://patents.google.com/patent/US6446121B1/en")</f>
        <v>https://patents.google.com/patent/US6446121B1/en</v>
      </c>
    </row>
    <row r="13389" spans="3:5" x14ac:dyDescent="0.25">
      <c r="C13389" t="s">
        <v>24958</v>
      </c>
      <c r="D13389" t="s">
        <v>24959</v>
      </c>
      <c r="E13389" t="str">
        <f>HYPERLINK("https://patents.google.com/patent/CN107563525A/en")</f>
        <v>https://patents.google.com/patent/CN107563525A/en</v>
      </c>
    </row>
    <row r="13390" spans="3:5" x14ac:dyDescent="0.25">
      <c r="C13390" t="s">
        <v>24960</v>
      </c>
      <c r="D13390" t="s">
        <v>24961</v>
      </c>
      <c r="E13390" t="str">
        <f>HYPERLINK("https://patents.google.com/patent/CN102681544A/en")</f>
        <v>https://patents.google.com/patent/CN102681544A/en</v>
      </c>
    </row>
    <row r="13391" spans="3:5" x14ac:dyDescent="0.25">
      <c r="C13391" t="s">
        <v>24962</v>
      </c>
      <c r="D13391" t="s">
        <v>24963</v>
      </c>
      <c r="E13391" t="str">
        <f>HYPERLINK("https://patents.google.com/patent/KR20170088220A/en")</f>
        <v>https://patents.google.com/patent/KR20170088220A/en</v>
      </c>
    </row>
    <row r="13392" spans="3:5" x14ac:dyDescent="0.25">
      <c r="C13392" t="s">
        <v>24964</v>
      </c>
      <c r="D13392" t="s">
        <v>24965</v>
      </c>
      <c r="E13392" t="str">
        <f>HYPERLINK("https://patents.google.com/patent/US6054991A/en")</f>
        <v>https://patents.google.com/patent/US6054991A/en</v>
      </c>
    </row>
    <row r="13393" spans="3:5" x14ac:dyDescent="0.25">
      <c r="C13393" t="s">
        <v>24966</v>
      </c>
      <c r="D13393" t="s">
        <v>24967</v>
      </c>
      <c r="E13393" t="str">
        <f>HYPERLINK("https://patents.google.com/patent/US6460038B1/en")</f>
        <v>https://patents.google.com/patent/US6460038B1/en</v>
      </c>
    </row>
    <row r="13394" spans="3:5" x14ac:dyDescent="0.25">
      <c r="C13394" t="s">
        <v>24968</v>
      </c>
      <c r="D13394" t="s">
        <v>24969</v>
      </c>
      <c r="E13394" t="str">
        <f>HYPERLINK("https://patents.google.com/patent/US5367454A/en")</f>
        <v>https://patents.google.com/patent/US5367454A/en</v>
      </c>
    </row>
    <row r="13395" spans="3:5" x14ac:dyDescent="0.25">
      <c r="C13395" t="s">
        <v>24970</v>
      </c>
      <c r="D13395" t="s">
        <v>24971</v>
      </c>
      <c r="E13395" t="str">
        <f>HYPERLINK("https://patents.google.com/patent/US6847979B2/en")</f>
        <v>https://patents.google.com/patent/US6847979B2/en</v>
      </c>
    </row>
    <row r="13396" spans="3:5" x14ac:dyDescent="0.25">
      <c r="C13396" t="s">
        <v>24972</v>
      </c>
      <c r="D13396" t="s">
        <v>24973</v>
      </c>
      <c r="E13396" t="str">
        <f>HYPERLINK("https://patents.google.com/patent/US7126583B1/en")</f>
        <v>https://patents.google.com/patent/US7126583B1/en</v>
      </c>
    </row>
    <row r="13397" spans="3:5" x14ac:dyDescent="0.25">
      <c r="C13397" t="s">
        <v>24974</v>
      </c>
      <c r="D13397" t="s">
        <v>24975</v>
      </c>
      <c r="E13397" t="str">
        <f>HYPERLINK("https://patents.google.com/patent/US6477503B1/en")</f>
        <v>https://patents.google.com/patent/US6477503B1/en</v>
      </c>
    </row>
    <row r="13398" spans="3:5" x14ac:dyDescent="0.25">
      <c r="C13398" t="s">
        <v>24976</v>
      </c>
      <c r="D13398" t="s">
        <v>24977</v>
      </c>
      <c r="E13398" t="str">
        <f>HYPERLINK("https://patents.google.com/patent/US7979172B2/en")</f>
        <v>https://patents.google.com/patent/US7979172B2/en</v>
      </c>
    </row>
    <row r="13399" spans="3:5" x14ac:dyDescent="0.25">
      <c r="C13399" t="s">
        <v>24978</v>
      </c>
      <c r="D13399" t="s">
        <v>24979</v>
      </c>
      <c r="E13399" t="str">
        <f>HYPERLINK("https://patents.google.com/patent/US6727927B1/en")</f>
        <v>https://patents.google.com/patent/US6727927B1/en</v>
      </c>
    </row>
    <row r="13400" spans="3:5" x14ac:dyDescent="0.25">
      <c r="C13400" t="s">
        <v>24980</v>
      </c>
      <c r="D13400" t="s">
        <v>24981</v>
      </c>
      <c r="E13400" t="str">
        <f>HYPERLINK("https://patents.google.com/patent/US7903029B2/en")</f>
        <v>https://patents.google.com/patent/US7903029B2/en</v>
      </c>
    </row>
    <row r="13401" spans="3:5" x14ac:dyDescent="0.25">
      <c r="C13401" t="s">
        <v>24982</v>
      </c>
      <c r="D13401" t="s">
        <v>24983</v>
      </c>
      <c r="E13401" t="str">
        <f>HYPERLINK("https://patents.google.com/patent/US5768578A/en")</f>
        <v>https://patents.google.com/patent/US5768578A/en</v>
      </c>
    </row>
    <row r="13402" spans="3:5" x14ac:dyDescent="0.25">
      <c r="C13402" t="s">
        <v>24984</v>
      </c>
      <c r="D13402" t="s">
        <v>24985</v>
      </c>
      <c r="E13402" t="str">
        <f>HYPERLINK("https://patents.google.com/patent/US6683538B1/en")</f>
        <v>https://patents.google.com/patent/US6683538B1/en</v>
      </c>
    </row>
    <row r="13403" spans="3:5" x14ac:dyDescent="0.25">
      <c r="C13403" t="s">
        <v>24986</v>
      </c>
      <c r="D13403" t="s">
        <v>24987</v>
      </c>
      <c r="E13403" t="str">
        <f>HYPERLINK("https://patents.google.com/patent/US6900807B1/en")</f>
        <v>https://patents.google.com/patent/US6900807B1/en</v>
      </c>
    </row>
    <row r="13404" spans="3:5" x14ac:dyDescent="0.25">
      <c r="C13404" t="s">
        <v>24988</v>
      </c>
      <c r="D13404" t="s">
        <v>24989</v>
      </c>
      <c r="E13404" t="str">
        <f>HYPERLINK("https://patents.google.com/patent/US7714778B2/en")</f>
        <v>https://patents.google.com/patent/US7714778B2/en</v>
      </c>
    </row>
    <row r="13405" spans="3:5" x14ac:dyDescent="0.25">
      <c r="C13405" t="s">
        <v>24990</v>
      </c>
      <c r="D13405" t="s">
        <v>24991</v>
      </c>
      <c r="E13405" t="str">
        <f>HYPERLINK("https://patents.google.com/patent/US6378627B1/en")</f>
        <v>https://patents.google.com/patent/US6378627B1/en</v>
      </c>
    </row>
    <row r="13406" spans="3:5" x14ac:dyDescent="0.25">
      <c r="C13406" t="s">
        <v>24992</v>
      </c>
      <c r="D13406" t="s">
        <v>24993</v>
      </c>
      <c r="E13406" t="str">
        <f>HYPERLINK("https://patents.google.com/patent/US6202927B1/en")</f>
        <v>https://patents.google.com/patent/US6202927B1/en</v>
      </c>
    </row>
    <row r="13407" spans="3:5" x14ac:dyDescent="0.25">
      <c r="C13407" t="s">
        <v>24994</v>
      </c>
      <c r="D13407" t="s">
        <v>24995</v>
      </c>
      <c r="E13407" t="str">
        <f>HYPERLINK("https://patents.google.com/patent/US5430657A/en")</f>
        <v>https://patents.google.com/patent/US5430657A/en</v>
      </c>
    </row>
    <row r="13408" spans="3:5" x14ac:dyDescent="0.25">
      <c r="C13408" t="s">
        <v>24976</v>
      </c>
      <c r="D13408" t="s">
        <v>24996</v>
      </c>
      <c r="E13408" t="str">
        <f>HYPERLINK("https://patents.google.com/patent/US7979173B2/en")</f>
        <v>https://patents.google.com/patent/US7979173B2/en</v>
      </c>
    </row>
    <row r="13409" spans="3:5" x14ac:dyDescent="0.25">
      <c r="C13409" t="s">
        <v>24940</v>
      </c>
      <c r="D13409" t="s">
        <v>24997</v>
      </c>
      <c r="E13409" t="str">
        <f>HYPERLINK("https://patents.google.com/patent/US5430654A/en")</f>
        <v>https://patents.google.com/patent/US5430654A/en</v>
      </c>
    </row>
    <row r="13410" spans="3:5" x14ac:dyDescent="0.25">
      <c r="C13410" t="s">
        <v>24998</v>
      </c>
      <c r="D13410" t="s">
        <v>24999</v>
      </c>
      <c r="E13410" t="str">
        <f>HYPERLINK("https://patents.google.com/patent/US6633800B1/en")</f>
        <v>https://patents.google.com/patent/US6633800B1/en</v>
      </c>
    </row>
    <row r="13411" spans="3:5" x14ac:dyDescent="0.25">
      <c r="C13411" t="s">
        <v>25000</v>
      </c>
      <c r="D13411" t="s">
        <v>25001</v>
      </c>
      <c r="E13411" t="str">
        <f>HYPERLINK("https://patents.google.com/patent/US5359521A/en")</f>
        <v>https://patents.google.com/patent/US5359521A/en</v>
      </c>
    </row>
    <row r="13412" spans="3:5" x14ac:dyDescent="0.25">
      <c r="C13412" t="s">
        <v>25002</v>
      </c>
      <c r="D13412" t="s">
        <v>25003</v>
      </c>
      <c r="E13412" t="str">
        <f>HYPERLINK("https://patents.google.com/patent/US6438579B1/en")</f>
        <v>https://patents.google.com/patent/US6438579B1/en</v>
      </c>
    </row>
    <row r="13413" spans="3:5" x14ac:dyDescent="0.25">
      <c r="C13413" t="s">
        <v>25004</v>
      </c>
      <c r="D13413" t="s">
        <v>25005</v>
      </c>
      <c r="E13413" t="str">
        <f>HYPERLINK("https://patents.google.com/patent/US6304864B1/en")</f>
        <v>https://patents.google.com/patent/US6304864B1/en</v>
      </c>
    </row>
    <row r="13414" spans="3:5" x14ac:dyDescent="0.25">
      <c r="C13414" t="s">
        <v>8350</v>
      </c>
      <c r="D13414" t="s">
        <v>25006</v>
      </c>
      <c r="E13414" t="str">
        <f>HYPERLINK("https://patents.google.com/patent/US8195468B2/en")</f>
        <v>https://patents.google.com/patent/US8195468B2/en</v>
      </c>
    </row>
    <row r="13415" spans="3:5" x14ac:dyDescent="0.25">
      <c r="C13415" t="s">
        <v>25007</v>
      </c>
      <c r="D13415" t="s">
        <v>25008</v>
      </c>
      <c r="E13415" t="str">
        <f>HYPERLINK("https://patents.google.com/patent/US6721726B1/en")</f>
        <v>https://patents.google.com/patent/US6721726B1/en</v>
      </c>
    </row>
    <row r="13416" spans="3:5" x14ac:dyDescent="0.25">
      <c r="C13416" t="s">
        <v>25009</v>
      </c>
      <c r="D13416" t="s">
        <v>25010</v>
      </c>
      <c r="E13416" t="str">
        <f>HYPERLINK("https://patents.google.com/patent/RU124095U1/en")</f>
        <v>https://patents.google.com/patent/RU124095U1/en</v>
      </c>
    </row>
    <row r="13417" spans="3:5" x14ac:dyDescent="0.25">
      <c r="C13417" t="s">
        <v>25011</v>
      </c>
      <c r="D13417" t="s">
        <v>25012</v>
      </c>
      <c r="E13417" t="str">
        <f>HYPERLINK("https://patents.google.com/patent/US6564209B1/en")</f>
        <v>https://patents.google.com/patent/US6564209B1/en</v>
      </c>
    </row>
    <row r="13418" spans="3:5" x14ac:dyDescent="0.25">
      <c r="C13418" t="s">
        <v>25013</v>
      </c>
      <c r="D13418" t="s">
        <v>25014</v>
      </c>
      <c r="E13418" t="str">
        <f>HYPERLINK("https://patents.google.com/patent/JP2008022222A/en")</f>
        <v>https://patents.google.com/patent/JP2008022222A/en</v>
      </c>
    </row>
    <row r="13419" spans="3:5" x14ac:dyDescent="0.25">
      <c r="C13419" t="s">
        <v>25015</v>
      </c>
      <c r="D13419" t="s">
        <v>25016</v>
      </c>
      <c r="E13419" t="str">
        <f>HYPERLINK("https://patents.google.com/patent/US7991505B2/en")</f>
        <v>https://patents.google.com/patent/US7991505B2/en</v>
      </c>
    </row>
    <row r="13420" spans="3:5" x14ac:dyDescent="0.25">
      <c r="C13420" t="s">
        <v>25017</v>
      </c>
      <c r="D13420" t="s">
        <v>25018</v>
      </c>
      <c r="E13420" t="str">
        <f>HYPERLINK("https://patents.google.com/patent/US7433885B2/en")</f>
        <v>https://patents.google.com/patent/US7433885B2/en</v>
      </c>
    </row>
    <row r="13421" spans="3:5" x14ac:dyDescent="0.25">
      <c r="C13421" t="s">
        <v>25019</v>
      </c>
      <c r="D13421" t="s">
        <v>25020</v>
      </c>
      <c r="E13421" t="str">
        <f>HYPERLINK("https://patents.google.com/patent/US8874301B1/en")</f>
        <v>https://patents.google.com/patent/US8874301B1/en</v>
      </c>
    </row>
    <row r="13422" spans="3:5" x14ac:dyDescent="0.25">
      <c r="C13422" t="s">
        <v>25015</v>
      </c>
      <c r="D13422" t="s">
        <v>25021</v>
      </c>
      <c r="E13422" t="str">
        <f>HYPERLINK("https://patents.google.com/patent/US7591630B2/en")</f>
        <v>https://patents.google.com/patent/US7591630B2/en</v>
      </c>
    </row>
    <row r="13423" spans="3:5" x14ac:dyDescent="0.25">
      <c r="C13423" t="s">
        <v>25022</v>
      </c>
      <c r="D13423" t="s">
        <v>25023</v>
      </c>
      <c r="E13423" t="str">
        <f>HYPERLINK("https://patents.google.com/patent/US20150253142A1/en")</f>
        <v>https://patents.google.com/patent/US20150253142A1/en</v>
      </c>
    </row>
    <row r="13424" spans="3:5" x14ac:dyDescent="0.25">
      <c r="C13424" t="s">
        <v>25024</v>
      </c>
      <c r="D13424" t="s">
        <v>25025</v>
      </c>
      <c r="E13424" t="str">
        <f>HYPERLINK("https://patents.google.com/patent/CN204166872U/en")</f>
        <v>https://patents.google.com/patent/CN204166872U/en</v>
      </c>
    </row>
    <row r="13425" spans="3:5" x14ac:dyDescent="0.25">
      <c r="C13425" t="s">
        <v>25026</v>
      </c>
      <c r="D13425" t="s">
        <v>25027</v>
      </c>
      <c r="E13425" t="str">
        <f>HYPERLINK("https://patents.google.com/patent/US9194168B1/en")</f>
        <v>https://patents.google.com/patent/US9194168B1/en</v>
      </c>
    </row>
    <row r="13426" spans="3:5" x14ac:dyDescent="0.25">
      <c r="C13426" t="s">
        <v>25028</v>
      </c>
      <c r="D13426" t="s">
        <v>25029</v>
      </c>
      <c r="E13426" t="str">
        <f>HYPERLINK("https://patents.google.com/patent/US8384532B2/en")</f>
        <v>https://patents.google.com/patent/US8384532B2/en</v>
      </c>
    </row>
    <row r="13427" spans="3:5" x14ac:dyDescent="0.25">
      <c r="C13427" t="s">
        <v>25030</v>
      </c>
      <c r="D13427" t="s">
        <v>25031</v>
      </c>
      <c r="E13427" t="str">
        <f>HYPERLINK("https://patents.google.com/patent/US8395529B2/en")</f>
        <v>https://patents.google.com/patent/US8395529B2/en</v>
      </c>
    </row>
    <row r="13428" spans="3:5" x14ac:dyDescent="0.25">
      <c r="C13428" t="s">
        <v>25032</v>
      </c>
      <c r="D13428" t="s">
        <v>25033</v>
      </c>
      <c r="E13428" t="str">
        <f>HYPERLINK("https://patents.google.com/patent/CN1730249A/en")</f>
        <v>https://patents.google.com/patent/CN1730249A/en</v>
      </c>
    </row>
    <row r="13429" spans="3:5" x14ac:dyDescent="0.25">
      <c r="C13429" t="s">
        <v>25034</v>
      </c>
      <c r="D13429" t="s">
        <v>25035</v>
      </c>
      <c r="E13429" t="str">
        <f>HYPERLINK("https://patents.google.com/patent/US8880270B1/en")</f>
        <v>https://patents.google.com/patent/US8880270B1/en</v>
      </c>
    </row>
    <row r="13430" spans="3:5" x14ac:dyDescent="0.25">
      <c r="C13430" t="s">
        <v>25036</v>
      </c>
      <c r="D13430" t="s">
        <v>25037</v>
      </c>
      <c r="E13430" t="str">
        <f>HYPERLINK("https://patents.google.com/patent/US7350138B1/en")</f>
        <v>https://patents.google.com/patent/US7350138B1/en</v>
      </c>
    </row>
    <row r="13431" spans="3:5" x14ac:dyDescent="0.25">
      <c r="C13431" t="s">
        <v>25038</v>
      </c>
      <c r="D13431" t="s">
        <v>25039</v>
      </c>
      <c r="E13431" t="str">
        <f>HYPERLINK("https://patents.google.com/patent/US7082418B2/en")</f>
        <v>https://patents.google.com/patent/US7082418B2/en</v>
      </c>
    </row>
    <row r="13432" spans="3:5" x14ac:dyDescent="0.25">
      <c r="C13432" t="s">
        <v>25040</v>
      </c>
      <c r="D13432" t="s">
        <v>25041</v>
      </c>
      <c r="E13432" t="str">
        <f>HYPERLINK("https://patents.google.com/patent/US8269652B2/en")</f>
        <v>https://patents.google.com/patent/US8269652B2/en</v>
      </c>
    </row>
    <row r="13433" spans="3:5" x14ac:dyDescent="0.25">
      <c r="C13433" t="s">
        <v>24980</v>
      </c>
      <c r="D13433" t="s">
        <v>25042</v>
      </c>
      <c r="E13433" t="str">
        <f>HYPERLINK("https://patents.google.com/patent/US8082096B2/en")</f>
        <v>https://patents.google.com/patent/US8082096B2/en</v>
      </c>
    </row>
    <row r="13434" spans="3:5" x14ac:dyDescent="0.25">
      <c r="C13434" t="s">
        <v>25043</v>
      </c>
      <c r="D13434" t="s">
        <v>25044</v>
      </c>
      <c r="E13434" t="str">
        <f>HYPERLINK("https://patents.google.com/patent/US5606506A/en")</f>
        <v>https://patents.google.com/patent/US5606506A/en</v>
      </c>
    </row>
    <row r="13435" spans="3:5" x14ac:dyDescent="0.25">
      <c r="C13435" t="s">
        <v>24938</v>
      </c>
      <c r="D13435" t="s">
        <v>25045</v>
      </c>
      <c r="E13435" t="str">
        <f>HYPERLINK("https://patents.google.com/patent/US6901390B2/en")</f>
        <v>https://patents.google.com/patent/US6901390B2/en</v>
      </c>
    </row>
    <row r="13436" spans="3:5" x14ac:dyDescent="0.25">
      <c r="C13436" t="s">
        <v>25046</v>
      </c>
      <c r="D13436" t="s">
        <v>25047</v>
      </c>
      <c r="E13436" t="str">
        <f>HYPERLINK("https://patents.google.com/patent/RU2011148171A/en")</f>
        <v>https://patents.google.com/patent/RU2011148171A/en</v>
      </c>
    </row>
    <row r="13437" spans="3:5" x14ac:dyDescent="0.25">
      <c r="C13437" t="s">
        <v>25048</v>
      </c>
      <c r="D13437" t="s">
        <v>25049</v>
      </c>
      <c r="E13437" t="str">
        <f>HYPERLINK("https://patents.google.com/patent/US20170285641A1/en")</f>
        <v>https://patents.google.com/patent/US20170285641A1/en</v>
      </c>
    </row>
    <row r="13438" spans="3:5" x14ac:dyDescent="0.25">
      <c r="C13438" t="s">
        <v>25050</v>
      </c>
      <c r="D13438" t="s">
        <v>25051</v>
      </c>
      <c r="E13438" t="str">
        <f>HYPERLINK("https://patents.google.com/patent/CN202939938U/en")</f>
        <v>https://patents.google.com/patent/CN202939938U/en</v>
      </c>
    </row>
    <row r="13439" spans="3:5" x14ac:dyDescent="0.25">
      <c r="C13439" t="s">
        <v>25052</v>
      </c>
      <c r="D13439" t="s">
        <v>25053</v>
      </c>
      <c r="E13439" t="str">
        <f>HYPERLINK("https://patents.google.com/patent/EP0089250A1/en")</f>
        <v>https://patents.google.com/patent/EP0089250A1/en</v>
      </c>
    </row>
    <row r="13440" spans="3:5" x14ac:dyDescent="0.25">
      <c r="C13440" t="s">
        <v>25054</v>
      </c>
      <c r="D13440" t="s">
        <v>25055</v>
      </c>
      <c r="E13440" t="str">
        <f>HYPERLINK("https://patents.google.com/patent/CN201946218U/en")</f>
        <v>https://patents.google.com/patent/CN201946218U/en</v>
      </c>
    </row>
    <row r="13441" spans="3:5" x14ac:dyDescent="0.25">
      <c r="C13441" t="s">
        <v>25056</v>
      </c>
      <c r="D13441" t="s">
        <v>25057</v>
      </c>
      <c r="E13441" t="str">
        <f>HYPERLINK("https://patents.google.com/patent/CN103759740B/en")</f>
        <v>https://patents.google.com/patent/CN103759740B/en</v>
      </c>
    </row>
    <row r="13442" spans="3:5" x14ac:dyDescent="0.25">
      <c r="C13442" t="s">
        <v>25058</v>
      </c>
      <c r="D13442" t="s">
        <v>25059</v>
      </c>
      <c r="E13442" t="str">
        <f>HYPERLINK("https://patents.google.com/patent/CN108438064A/en")</f>
        <v>https://patents.google.com/patent/CN108438064A/en</v>
      </c>
    </row>
    <row r="13443" spans="3:5" x14ac:dyDescent="0.25">
      <c r="C13443" t="s">
        <v>25060</v>
      </c>
      <c r="D13443" t="s">
        <v>25061</v>
      </c>
      <c r="E13443" t="str">
        <f>HYPERLINK("https://patents.google.com/patent/CN107369060A/en")</f>
        <v>https://patents.google.com/patent/CN107369060A/en</v>
      </c>
    </row>
    <row r="13444" spans="3:5" x14ac:dyDescent="0.25">
      <c r="C13444" t="s">
        <v>25062</v>
      </c>
      <c r="D13444" t="s">
        <v>25063</v>
      </c>
      <c r="E13444" t="str">
        <f>HYPERLINK("https://patents.google.com/patent/DE102016012774A1/en")</f>
        <v>https://patents.google.com/patent/DE102016012774A1/en</v>
      </c>
    </row>
    <row r="13445" spans="3:5" x14ac:dyDescent="0.25">
      <c r="C13445" t="s">
        <v>25064</v>
      </c>
      <c r="D13445" t="s">
        <v>25065</v>
      </c>
      <c r="E13445" t="str">
        <f>HYPERLINK("https://patents.google.com/patent/JP2016027456A/en")</f>
        <v>https://patents.google.com/patent/JP2016027456A/en</v>
      </c>
    </row>
    <row r="13446" spans="3:5" x14ac:dyDescent="0.25">
      <c r="C13446" t="s">
        <v>25066</v>
      </c>
      <c r="D13446" t="s">
        <v>25067</v>
      </c>
      <c r="E13446" t="str">
        <f>HYPERLINK("https://patents.google.com/patent/JP2001331872A/en")</f>
        <v>https://patents.google.com/patent/JP2001331872A/en</v>
      </c>
    </row>
    <row r="13447" spans="3:5" x14ac:dyDescent="0.25">
      <c r="C13447" t="s">
        <v>25068</v>
      </c>
      <c r="D13447" t="s">
        <v>25069</v>
      </c>
      <c r="E13447" t="str">
        <f>HYPERLINK("https://patents.google.com/patent/CN101495929A/en")</f>
        <v>https://patents.google.com/patent/CN101495929A/en</v>
      </c>
    </row>
    <row r="13448" spans="3:5" x14ac:dyDescent="0.25">
      <c r="C13448" t="s">
        <v>25070</v>
      </c>
      <c r="D13448" t="s">
        <v>25071</v>
      </c>
      <c r="E13448" t="str">
        <f>HYPERLINK("https://patents.google.com/patent/US8260537B2/en")</f>
        <v>https://patents.google.com/patent/US8260537B2/en</v>
      </c>
    </row>
    <row r="13449" spans="3:5" x14ac:dyDescent="0.25">
      <c r="C13449" t="s">
        <v>25072</v>
      </c>
      <c r="D13449" t="s">
        <v>25073</v>
      </c>
      <c r="E13449" t="str">
        <f>HYPERLINK("https://patents.google.com/patent/US7974873B2/en")</f>
        <v>https://patents.google.com/patent/US7974873B2/en</v>
      </c>
    </row>
    <row r="13450" spans="3:5" x14ac:dyDescent="0.25">
      <c r="C13450" t="s">
        <v>25074</v>
      </c>
      <c r="D13450" t="s">
        <v>25075</v>
      </c>
      <c r="E13450" t="str">
        <f>HYPERLINK("https://patents.google.com/patent/FR2908927A1/en")</f>
        <v>https://patents.google.com/patent/FR2908927A1/en</v>
      </c>
    </row>
    <row r="13451" spans="3:5" x14ac:dyDescent="0.25">
      <c r="C13451" t="s">
        <v>25076</v>
      </c>
      <c r="D13451" t="s">
        <v>25077</v>
      </c>
      <c r="E13451" t="str">
        <f>HYPERLINK("https://patents.google.com/patent/US20020091832A1/en")</f>
        <v>https://patents.google.com/patent/US20020091832A1/en</v>
      </c>
    </row>
    <row r="13452" spans="3:5" x14ac:dyDescent="0.25">
      <c r="C13452" t="s">
        <v>25078</v>
      </c>
      <c r="D13452" t="s">
        <v>25079</v>
      </c>
      <c r="E13452" t="str">
        <f>HYPERLINK("https://patents.google.com/patent/US7053826B1/en")</f>
        <v>https://patents.google.com/patent/US7053826B1/en</v>
      </c>
    </row>
    <row r="13453" spans="3:5" x14ac:dyDescent="0.25">
      <c r="C13453" t="s">
        <v>17161</v>
      </c>
      <c r="D13453" t="s">
        <v>25080</v>
      </c>
      <c r="E13453" t="str">
        <f>HYPERLINK("https://patents.google.com/patent/US20040193420A1/en")</f>
        <v>https://patents.google.com/patent/US20040193420A1/en</v>
      </c>
    </row>
    <row r="13454" spans="3:5" x14ac:dyDescent="0.25">
      <c r="C13454" t="s">
        <v>25081</v>
      </c>
      <c r="D13454" t="s">
        <v>25082</v>
      </c>
      <c r="E13454" t="str">
        <f>HYPERLINK("https://patents.google.com/patent/CN102982423A/en")</f>
        <v>https://patents.google.com/patent/CN102982423A/en</v>
      </c>
    </row>
    <row r="13455" spans="3:5" x14ac:dyDescent="0.25">
      <c r="C13455" t="s">
        <v>25083</v>
      </c>
      <c r="D13455" t="s">
        <v>25084</v>
      </c>
      <c r="E13455" t="str">
        <f>HYPERLINK("https://patents.google.com/patent/US20020055973A1/en")</f>
        <v>https://patents.google.com/patent/US20020055973A1/en</v>
      </c>
    </row>
    <row r="13456" spans="3:5" x14ac:dyDescent="0.25">
      <c r="C13456" t="s">
        <v>25085</v>
      </c>
      <c r="D13456" t="s">
        <v>25086</v>
      </c>
      <c r="E13456" t="str">
        <f>HYPERLINK("https://patents.google.com/patent/US20020073150A1/en")</f>
        <v>https://patents.google.com/patent/US20020073150A1/en</v>
      </c>
    </row>
    <row r="13457" spans="3:5" x14ac:dyDescent="0.25">
      <c r="C13457" t="s">
        <v>25087</v>
      </c>
      <c r="D13457" t="s">
        <v>25088</v>
      </c>
      <c r="E13457" t="str">
        <f>HYPERLINK("https://patents.google.com/patent/US7389210B2/en")</f>
        <v>https://patents.google.com/patent/US7389210B2/en</v>
      </c>
    </row>
    <row r="13458" spans="3:5" x14ac:dyDescent="0.25">
      <c r="C13458" t="s">
        <v>25089</v>
      </c>
      <c r="D13458" t="s">
        <v>25090</v>
      </c>
      <c r="E13458" t="str">
        <f>HYPERLINK("https://patents.google.com/patent/US5659555A/en")</f>
        <v>https://patents.google.com/patent/US5659555A/en</v>
      </c>
    </row>
    <row r="13459" spans="3:5" x14ac:dyDescent="0.25">
      <c r="C13459" t="s">
        <v>25091</v>
      </c>
      <c r="D13459" t="s">
        <v>25092</v>
      </c>
      <c r="E13459" t="str">
        <f>HYPERLINK("https://patents.google.com/patent/US8317329B2/en")</f>
        <v>https://patents.google.com/patent/US8317329B2/en</v>
      </c>
    </row>
    <row r="13460" spans="3:5" x14ac:dyDescent="0.25">
      <c r="C13460" t="s">
        <v>25093</v>
      </c>
      <c r="D13460" t="s">
        <v>25094</v>
      </c>
      <c r="E13460" t="str">
        <f>HYPERLINK("https://patents.google.com/patent/US20100289632A1/en")</f>
        <v>https://patents.google.com/patent/US20100289632A1/en</v>
      </c>
    </row>
    <row r="13461" spans="3:5" x14ac:dyDescent="0.25">
      <c r="C13461" t="s">
        <v>25095</v>
      </c>
      <c r="D13461" t="s">
        <v>25096</v>
      </c>
      <c r="E13461" t="str">
        <f>HYPERLINK("https://patents.google.com/patent/US20030172127A1/en")</f>
        <v>https://patents.google.com/patent/US20030172127A1/en</v>
      </c>
    </row>
    <row r="13462" spans="3:5" x14ac:dyDescent="0.25">
      <c r="C13462" t="s">
        <v>25097</v>
      </c>
      <c r="D13462" t="s">
        <v>25098</v>
      </c>
      <c r="E13462" t="str">
        <f>HYPERLINK("https://patents.google.com/patent/US20020186144A1/en")</f>
        <v>https://patents.google.com/patent/US20020186144A1/en</v>
      </c>
    </row>
    <row r="13463" spans="3:5" x14ac:dyDescent="0.25">
      <c r="C13463" t="s">
        <v>25099</v>
      </c>
      <c r="D13463" t="s">
        <v>25100</v>
      </c>
      <c r="E13463" t="str">
        <f>HYPERLINK("https://patents.google.com/patent/US20100292886A1/en")</f>
        <v>https://patents.google.com/patent/US20100292886A1/en</v>
      </c>
    </row>
    <row r="13464" spans="3:5" x14ac:dyDescent="0.25">
      <c r="C13464" t="s">
        <v>25101</v>
      </c>
      <c r="D13464" t="s">
        <v>25102</v>
      </c>
      <c r="E13464" t="str">
        <f>HYPERLINK("https://patents.google.com/patent/US20100253493A1/en")</f>
        <v>https://patents.google.com/patent/US20100253493A1/en</v>
      </c>
    </row>
    <row r="13465" spans="3:5" x14ac:dyDescent="0.25">
      <c r="C13465" t="s">
        <v>25103</v>
      </c>
      <c r="D13465" t="s">
        <v>25104</v>
      </c>
      <c r="E13465" t="str">
        <f>HYPERLINK("https://patents.google.com/patent/US20040260470A1/en")</f>
        <v>https://patents.google.com/patent/US20040260470A1/en</v>
      </c>
    </row>
    <row r="13466" spans="3:5" x14ac:dyDescent="0.25">
      <c r="C13466" t="s">
        <v>25105</v>
      </c>
      <c r="D13466" t="s">
        <v>25106</v>
      </c>
      <c r="E13466" t="str">
        <f>HYPERLINK("https://patents.google.com/patent/US20090030605A1/en")</f>
        <v>https://patents.google.com/patent/US20090030605A1/en</v>
      </c>
    </row>
    <row r="13467" spans="3:5" x14ac:dyDescent="0.25">
      <c r="C13467" t="s">
        <v>25107</v>
      </c>
      <c r="D13467" t="s">
        <v>25108</v>
      </c>
      <c r="E13467" t="str">
        <f>HYPERLINK("https://patents.google.com/patent/US20070219680A1/en")</f>
        <v>https://patents.google.com/patent/US20070219680A1/en</v>
      </c>
    </row>
    <row r="13468" spans="3:5" x14ac:dyDescent="0.25">
      <c r="C13468" t="s">
        <v>25109</v>
      </c>
      <c r="D13468" t="s">
        <v>25110</v>
      </c>
      <c r="E13468" t="str">
        <f>HYPERLINK("https://patents.google.com/patent/US20090140887A1/en")</f>
        <v>https://patents.google.com/patent/US20090140887A1/en</v>
      </c>
    </row>
    <row r="13469" spans="3:5" x14ac:dyDescent="0.25">
      <c r="C13469" t="s">
        <v>25111</v>
      </c>
      <c r="D13469" t="s">
        <v>25112</v>
      </c>
      <c r="E13469" t="str">
        <f>HYPERLINK("https://patents.google.com/patent/US20100253594A1/en")</f>
        <v>https://patents.google.com/patent/US20100253594A1/en</v>
      </c>
    </row>
    <row r="13470" spans="3:5" x14ac:dyDescent="0.25">
      <c r="C13470" t="s">
        <v>25113</v>
      </c>
      <c r="D13470" t="s">
        <v>25114</v>
      </c>
      <c r="E13470" t="str">
        <f>HYPERLINK("https://patents.google.com/patent/US20040198386A1/en")</f>
        <v>https://patents.google.com/patent/US20040198386A1/en</v>
      </c>
    </row>
    <row r="13471" spans="3:5" x14ac:dyDescent="0.25">
      <c r="C13471" t="s">
        <v>25115</v>
      </c>
      <c r="D13471" t="s">
        <v>25116</v>
      </c>
      <c r="E13471" t="str">
        <f>HYPERLINK("https://patents.google.com/patent/US20070219681A1/en")</f>
        <v>https://patents.google.com/patent/US20070219681A1/en</v>
      </c>
    </row>
    <row r="13472" spans="3:5" x14ac:dyDescent="0.25">
      <c r="C13472" t="s">
        <v>25117</v>
      </c>
      <c r="D13472" t="s">
        <v>25118</v>
      </c>
      <c r="E13472" t="str">
        <f>HYPERLINK("https://patents.google.com/patent/US20100253602A1/en")</f>
        <v>https://patents.google.com/patent/US20100253602A1/en</v>
      </c>
    </row>
    <row r="13473" spans="3:5" x14ac:dyDescent="0.25">
      <c r="C13473" t="s">
        <v>25119</v>
      </c>
      <c r="D13473" t="s">
        <v>25120</v>
      </c>
      <c r="E13473" t="str">
        <f>HYPERLINK("https://patents.google.com/patent/US20100253492A1/en")</f>
        <v>https://patents.google.com/patent/US20100253492A1/en</v>
      </c>
    </row>
    <row r="13474" spans="3:5" x14ac:dyDescent="0.25">
      <c r="C13474" t="s">
        <v>25121</v>
      </c>
      <c r="D13474" t="s">
        <v>25122</v>
      </c>
      <c r="E13474" t="str">
        <f>HYPERLINK("https://patents.google.com/patent/US20100253597A1/en")</f>
        <v>https://patents.google.com/patent/US20100253597A1/en</v>
      </c>
    </row>
    <row r="13475" spans="3:5" x14ac:dyDescent="0.25">
      <c r="C13475" t="s">
        <v>25123</v>
      </c>
      <c r="D13475" t="s">
        <v>25124</v>
      </c>
      <c r="E13475" t="str">
        <f>HYPERLINK("https://patents.google.com/patent/US20100253489A1/en")</f>
        <v>https://patents.google.com/patent/US20100253489A1/en</v>
      </c>
    </row>
    <row r="13476" spans="3:5" x14ac:dyDescent="0.25">
      <c r="C13476" t="s">
        <v>25125</v>
      </c>
      <c r="D13476" t="s">
        <v>25126</v>
      </c>
      <c r="E13476" t="str">
        <f>HYPERLINK("https://patents.google.com/patent/US20100253526A1/en")</f>
        <v>https://patents.google.com/patent/US20100253526A1/en</v>
      </c>
    </row>
    <row r="13477" spans="3:5" x14ac:dyDescent="0.25">
      <c r="C13477" t="s">
        <v>25127</v>
      </c>
      <c r="D13477" t="s">
        <v>25128</v>
      </c>
      <c r="E13477" t="str">
        <f>HYPERLINK("https://patents.google.com/patent/US20100253540A1/en")</f>
        <v>https://patents.google.com/patent/US20100253540A1/en</v>
      </c>
    </row>
    <row r="13478" spans="3:5" x14ac:dyDescent="0.25">
      <c r="C13478" t="s">
        <v>21245</v>
      </c>
      <c r="D13478" t="s">
        <v>25129</v>
      </c>
      <c r="E13478" t="str">
        <f>HYPERLINK("https://patents.google.com/patent/US20080024360A1/en")</f>
        <v>https://patents.google.com/patent/US20080024360A1/en</v>
      </c>
    </row>
    <row r="13479" spans="3:5" x14ac:dyDescent="0.25">
      <c r="C13479" t="s">
        <v>25130</v>
      </c>
      <c r="D13479" t="s">
        <v>25131</v>
      </c>
      <c r="E13479" t="str">
        <f>HYPERLINK("https://patents.google.com/patent/US20100253593A1/en")</f>
        <v>https://patents.google.com/patent/US20100253593A1/en</v>
      </c>
    </row>
    <row r="13480" spans="3:5" x14ac:dyDescent="0.25">
      <c r="C13480" t="s">
        <v>25132</v>
      </c>
      <c r="D13480" t="s">
        <v>25133</v>
      </c>
      <c r="E13480" t="str">
        <f>HYPERLINK("https://patents.google.com/patent/US20130059607A1/en")</f>
        <v>https://patents.google.com/patent/US20130059607A1/en</v>
      </c>
    </row>
    <row r="13481" spans="3:5" x14ac:dyDescent="0.25">
      <c r="C13481" t="s">
        <v>25134</v>
      </c>
      <c r="D13481" t="s">
        <v>25135</v>
      </c>
      <c r="E13481" t="str">
        <f>HYPERLINK("https://patents.google.com/patent/US20050165600A1/en")</f>
        <v>https://patents.google.com/patent/US20050165600A1/en</v>
      </c>
    </row>
    <row r="13482" spans="3:5" x14ac:dyDescent="0.25">
      <c r="C13482" t="s">
        <v>25136</v>
      </c>
      <c r="D13482" t="s">
        <v>25137</v>
      </c>
      <c r="E13482" t="str">
        <f>HYPERLINK("https://patents.google.com/patent/US20100254019A1/en")</f>
        <v>https://patents.google.com/patent/US20100254019A1/en</v>
      </c>
    </row>
    <row r="13483" spans="3:5" x14ac:dyDescent="0.25">
      <c r="C13483" t="s">
        <v>25138</v>
      </c>
      <c r="D13483" t="s">
        <v>25139</v>
      </c>
      <c r="E13483" t="str">
        <f>HYPERLINK("https://patents.google.com/patent/JP2018163471A/en")</f>
        <v>https://patents.google.com/patent/JP2018163471A/en</v>
      </c>
    </row>
    <row r="13484" spans="3:5" x14ac:dyDescent="0.25">
      <c r="C13484" t="s">
        <v>25140</v>
      </c>
      <c r="D13484" t="s">
        <v>25141</v>
      </c>
      <c r="E13484" t="str">
        <f>HYPERLINK("https://patents.google.com/patent/US20090219393A1/en")</f>
        <v>https://patents.google.com/patent/US20090219393A1/en</v>
      </c>
    </row>
    <row r="13485" spans="3:5" x14ac:dyDescent="0.25">
      <c r="C13485" t="s">
        <v>25142</v>
      </c>
      <c r="D13485" t="s">
        <v>25143</v>
      </c>
      <c r="E13485" t="str">
        <f>HYPERLINK("https://patents.google.com/patent/US20100253688A1/en")</f>
        <v>https://patents.google.com/patent/US20100253688A1/en</v>
      </c>
    </row>
    <row r="13486" spans="3:5" x14ac:dyDescent="0.25">
      <c r="C13486" t="s">
        <v>25144</v>
      </c>
      <c r="D13486" t="s">
        <v>25145</v>
      </c>
      <c r="E13486" t="str">
        <f>HYPERLINK("https://patents.google.com/patent/US20100253543A1/en")</f>
        <v>https://patents.google.com/patent/US20100253543A1/en</v>
      </c>
    </row>
    <row r="13487" spans="3:5" x14ac:dyDescent="0.25">
      <c r="C13487" t="s">
        <v>25146</v>
      </c>
      <c r="D13487" t="s">
        <v>25147</v>
      </c>
      <c r="E13487" t="str">
        <f>HYPERLINK("https://patents.google.com/patent/US20070112700A1/en")</f>
        <v>https://patents.google.com/patent/US20070112700A1/en</v>
      </c>
    </row>
    <row r="13488" spans="3:5" x14ac:dyDescent="0.25">
      <c r="C13488" t="s">
        <v>25148</v>
      </c>
      <c r="D13488" t="s">
        <v>25149</v>
      </c>
      <c r="E13488" t="str">
        <f>HYPERLINK("https://patents.google.com/patent/US20100253595A1/en")</f>
        <v>https://patents.google.com/patent/US20100253595A1/en</v>
      </c>
    </row>
    <row r="13489" spans="3:5" x14ac:dyDescent="0.25">
      <c r="C13489" t="s">
        <v>25150</v>
      </c>
      <c r="D13489" t="s">
        <v>25151</v>
      </c>
      <c r="E13489" t="str">
        <f>HYPERLINK("https://patents.google.com/patent/US20040148191A1/en")</f>
        <v>https://patents.google.com/patent/US20040148191A1/en</v>
      </c>
    </row>
    <row r="13490" spans="3:5" x14ac:dyDescent="0.25">
      <c r="C13490" t="s">
        <v>25152</v>
      </c>
      <c r="D13490" t="s">
        <v>25153</v>
      </c>
      <c r="E13490" t="str">
        <f>HYPERLINK("https://patents.google.com/patent/JP5184853B2/en")</f>
        <v>https://patents.google.com/patent/JP5184853B2/en</v>
      </c>
    </row>
    <row r="13491" spans="3:5" x14ac:dyDescent="0.25">
      <c r="C13491" t="s">
        <v>25154</v>
      </c>
      <c r="D13491" t="s">
        <v>25155</v>
      </c>
      <c r="E13491" t="str">
        <f>HYPERLINK("https://patents.google.com/patent/US20170126810A1/en")</f>
        <v>https://patents.google.com/patent/US20170126810A1/en</v>
      </c>
    </row>
    <row r="13492" spans="3:5" x14ac:dyDescent="0.25">
      <c r="C13492" t="s">
        <v>25156</v>
      </c>
      <c r="D13492" t="s">
        <v>25157</v>
      </c>
      <c r="E13492" t="str">
        <f>HYPERLINK("https://patents.google.com/patent/US20170103571A1/en")</f>
        <v>https://patents.google.com/patent/US20170103571A1/en</v>
      </c>
    </row>
    <row r="13493" spans="3:5" x14ac:dyDescent="0.25">
      <c r="C13493" t="s">
        <v>25158</v>
      </c>
      <c r="D13493" t="s">
        <v>25159</v>
      </c>
      <c r="E13493" t="str">
        <f>HYPERLINK("https://patents.google.com/patent/JP5225916B2/en")</f>
        <v>https://patents.google.com/patent/JP5225916B2/en</v>
      </c>
    </row>
    <row r="13494" spans="3:5" x14ac:dyDescent="0.25">
      <c r="C13494" t="s">
        <v>25160</v>
      </c>
      <c r="D13494" t="s">
        <v>25161</v>
      </c>
      <c r="E13494" t="str">
        <f>HYPERLINK("https://patents.google.com/patent/US20080167821A1/en")</f>
        <v>https://patents.google.com/patent/US20080167821A1/en</v>
      </c>
    </row>
    <row r="13495" spans="3:5" x14ac:dyDescent="0.25">
      <c r="C13495" t="s">
        <v>25162</v>
      </c>
      <c r="D13495" t="s">
        <v>25163</v>
      </c>
      <c r="E13495" t="str">
        <f>HYPERLINK("https://patents.google.com/patent/US20070233364A1/en")</f>
        <v>https://patents.google.com/patent/US20070233364A1/en</v>
      </c>
    </row>
    <row r="13496" spans="3:5" x14ac:dyDescent="0.25">
      <c r="C13496" t="s">
        <v>25164</v>
      </c>
      <c r="D13496" t="s">
        <v>25165</v>
      </c>
      <c r="E13496" t="str">
        <f>HYPERLINK("https://patents.google.com/patent/US20110241862A1/en")</f>
        <v>https://patents.google.com/patent/US20110241862A1/en</v>
      </c>
    </row>
    <row r="13497" spans="3:5" x14ac:dyDescent="0.25">
      <c r="C13497" t="s">
        <v>25166</v>
      </c>
      <c r="D13497" t="s">
        <v>25167</v>
      </c>
      <c r="E13497" t="str">
        <f>HYPERLINK("https://patents.google.com/patent/US20080215202A1/en")</f>
        <v>https://patents.google.com/patent/US20080215202A1/en</v>
      </c>
    </row>
    <row r="13498" spans="3:5" x14ac:dyDescent="0.25">
      <c r="C13498" t="s">
        <v>25168</v>
      </c>
      <c r="D13498" t="s">
        <v>25169</v>
      </c>
      <c r="E13498" t="str">
        <f>HYPERLINK("https://patents.google.com/patent/US20040103108A1/en")</f>
        <v>https://patents.google.com/patent/US20040103108A1/en</v>
      </c>
    </row>
    <row r="13499" spans="3:5" x14ac:dyDescent="0.25">
      <c r="C13499" t="s">
        <v>25170</v>
      </c>
      <c r="D13499" t="s">
        <v>25171</v>
      </c>
      <c r="E13499" t="str">
        <f>HYPERLINK("https://patents.google.com/patent/US20100023190A1/en")</f>
        <v>https://patents.google.com/patent/US20100023190A1/en</v>
      </c>
    </row>
    <row r="13500" spans="3:5" x14ac:dyDescent="0.25">
      <c r="C13500" t="s">
        <v>25172</v>
      </c>
      <c r="D13500" t="s">
        <v>25173</v>
      </c>
      <c r="E13500" t="str">
        <f>HYPERLINK("https://patents.google.com/patent/US20100253601A1/en")</f>
        <v>https://patents.google.com/patent/US20100253601A1/en</v>
      </c>
    </row>
    <row r="13501" spans="3:5" x14ac:dyDescent="0.25">
      <c r="C13501" t="s">
        <v>17637</v>
      </c>
      <c r="D13501" t="s">
        <v>25174</v>
      </c>
      <c r="E13501" t="str">
        <f>HYPERLINK("https://patents.google.com/patent/US20060150361A1/en")</f>
        <v>https://patents.google.com/patent/US20060150361A1/en</v>
      </c>
    </row>
    <row r="13502" spans="3:5" x14ac:dyDescent="0.25">
      <c r="C13502" t="s">
        <v>25175</v>
      </c>
      <c r="D13502" t="s">
        <v>25176</v>
      </c>
      <c r="E13502" t="str">
        <f>HYPERLINK("https://patents.google.com/patent/US20100253599A1/en")</f>
        <v>https://patents.google.com/patent/US20100253599A1/en</v>
      </c>
    </row>
    <row r="13503" spans="3:5" x14ac:dyDescent="0.25">
      <c r="C13503" t="s">
        <v>25177</v>
      </c>
      <c r="D13503" t="s">
        <v>25178</v>
      </c>
      <c r="E13503" t="str">
        <f>HYPERLINK("https://patents.google.com/patent/US20100253600A1/en")</f>
        <v>https://patents.google.com/patent/US20100253600A1/en</v>
      </c>
    </row>
    <row r="13504" spans="3:5" x14ac:dyDescent="0.25">
      <c r="C13504" t="s">
        <v>25179</v>
      </c>
      <c r="D13504" t="s">
        <v>25180</v>
      </c>
      <c r="E13504" t="str">
        <f>HYPERLINK("https://patents.google.com/patent/US20140067702A1/en")</f>
        <v>https://patents.google.com/patent/US20140067702A1/en</v>
      </c>
    </row>
    <row r="13505" spans="3:5" x14ac:dyDescent="0.25">
      <c r="C13505" t="s">
        <v>25181</v>
      </c>
      <c r="D13505" t="s">
        <v>25182</v>
      </c>
      <c r="E13505" t="str">
        <f>HYPERLINK("https://patents.google.com/patent/US20110125783A1/en")</f>
        <v>https://patents.google.com/patent/US20110125783A1/en</v>
      </c>
    </row>
    <row r="13506" spans="3:5" x14ac:dyDescent="0.25">
      <c r="C13506" t="s">
        <v>25183</v>
      </c>
      <c r="D13506" t="s">
        <v>25184</v>
      </c>
      <c r="E13506" t="str">
        <f>HYPERLINK("https://patents.google.com/patent/US20090282369A1/en")</f>
        <v>https://patents.google.com/patent/US20090282369A1/en</v>
      </c>
    </row>
    <row r="13507" spans="3:5" x14ac:dyDescent="0.25">
      <c r="C13507" t="s">
        <v>25185</v>
      </c>
      <c r="D13507" t="s">
        <v>25186</v>
      </c>
      <c r="E13507" t="str">
        <f>HYPERLINK("https://patents.google.com/patent/US20130046457A1/en")</f>
        <v>https://patents.google.com/patent/US20130046457A1/en</v>
      </c>
    </row>
    <row r="13508" spans="3:5" x14ac:dyDescent="0.25">
      <c r="C13508" t="s">
        <v>25068</v>
      </c>
      <c r="D13508" t="s">
        <v>25187</v>
      </c>
      <c r="E13508" t="str">
        <f>HYPERLINK("https://patents.google.com/patent/US20070219682A1/en")</f>
        <v>https://patents.google.com/patent/US20070219682A1/en</v>
      </c>
    </row>
    <row r="13509" spans="3:5" x14ac:dyDescent="0.25">
      <c r="C13509" t="s">
        <v>25188</v>
      </c>
      <c r="D13509" t="s">
        <v>25189</v>
      </c>
      <c r="E13509" t="str">
        <f>HYPERLINK("https://patents.google.com/patent/US20080215231A1/en")</f>
        <v>https://patents.google.com/patent/US20080215231A1/en</v>
      </c>
    </row>
    <row r="13510" spans="3:5" x14ac:dyDescent="0.25">
      <c r="C13510" t="s">
        <v>25190</v>
      </c>
      <c r="D13510" t="s">
        <v>25191</v>
      </c>
      <c r="E13510" t="str">
        <f>HYPERLINK("https://patents.google.com/patent/US20070171881A1/en")</f>
        <v>https://patents.google.com/patent/US20070171881A1/en</v>
      </c>
    </row>
    <row r="13511" spans="3:5" x14ac:dyDescent="0.25">
      <c r="C13511" t="s">
        <v>25192</v>
      </c>
      <c r="D13511" t="s">
        <v>25193</v>
      </c>
      <c r="E13511" t="str">
        <f>HYPERLINK("https://patents.google.com/patent/US20080167819A1/en")</f>
        <v>https://patents.google.com/patent/US20080167819A1/en</v>
      </c>
    </row>
    <row r="13512" spans="3:5" x14ac:dyDescent="0.25">
      <c r="C13512" t="s">
        <v>25194</v>
      </c>
      <c r="D13512" t="s">
        <v>25195</v>
      </c>
      <c r="E13512" t="str">
        <f>HYPERLINK("https://patents.google.com/patent/US20030046338A1/en")</f>
        <v>https://patents.google.com/patent/US20030046338A1/en</v>
      </c>
    </row>
    <row r="13513" spans="3:5" x14ac:dyDescent="0.25">
      <c r="C13513" t="s">
        <v>25196</v>
      </c>
      <c r="D13513" t="s">
        <v>25197</v>
      </c>
      <c r="E13513" t="str">
        <f>HYPERLINK("https://patents.google.com/patent/CN101763611A/en")</f>
        <v>https://patents.google.com/patent/CN101763611A/en</v>
      </c>
    </row>
    <row r="13514" spans="3:5" x14ac:dyDescent="0.25">
      <c r="C13514" t="s">
        <v>25198</v>
      </c>
      <c r="D13514" t="s">
        <v>25199</v>
      </c>
      <c r="E13514" t="str">
        <f>HYPERLINK("https://patents.google.com/patent/US20120024605A1/en")</f>
        <v>https://patents.google.com/patent/US20120024605A1/en</v>
      </c>
    </row>
    <row r="13515" spans="3:5" x14ac:dyDescent="0.25">
      <c r="C13515" t="s">
        <v>25200</v>
      </c>
      <c r="D13515" t="s">
        <v>25201</v>
      </c>
      <c r="E13515" t="str">
        <f>HYPERLINK("https://patents.google.com/patent/RU15708U1/en")</f>
        <v>https://patents.google.com/patent/RU15708U1/en</v>
      </c>
    </row>
    <row r="13516" spans="3:5" x14ac:dyDescent="0.25">
      <c r="C13516" t="s">
        <v>25202</v>
      </c>
      <c r="D13516" t="s">
        <v>25203</v>
      </c>
      <c r="E13516" t="str">
        <f>HYPERLINK("https://patents.google.com/patent/EP2767431B1/en")</f>
        <v>https://patents.google.com/patent/EP2767431B1/en</v>
      </c>
    </row>
    <row r="13517" spans="3:5" x14ac:dyDescent="0.25">
      <c r="C13517" t="s">
        <v>25204</v>
      </c>
      <c r="D13517" t="s">
        <v>25205</v>
      </c>
      <c r="E13517" t="str">
        <f>HYPERLINK("https://patents.google.com/patent/US20150112469A1/en")</f>
        <v>https://patents.google.com/patent/US20150112469A1/en</v>
      </c>
    </row>
    <row r="13518" spans="3:5" x14ac:dyDescent="0.25">
      <c r="C13518" t="s">
        <v>25206</v>
      </c>
      <c r="D13518" t="s">
        <v>25207</v>
      </c>
      <c r="E13518" t="str">
        <f>HYPERLINK("https://patents.google.com/patent/CN108011957A/en")</f>
        <v>https://patents.google.com/patent/CN108011957A/en</v>
      </c>
    </row>
    <row r="13519" spans="3:5" x14ac:dyDescent="0.25">
      <c r="C13519" t="s">
        <v>25208</v>
      </c>
      <c r="D13519" t="s">
        <v>25209</v>
      </c>
      <c r="E13519" t="str">
        <f>HYPERLINK("https://patents.google.com/patent/US20050222767A1/en")</f>
        <v>https://patents.google.com/patent/US20050222767A1/en</v>
      </c>
    </row>
    <row r="13520" spans="3:5" x14ac:dyDescent="0.25">
      <c r="C13520" t="s">
        <v>25210</v>
      </c>
      <c r="D13520" t="s">
        <v>25211</v>
      </c>
      <c r="E13520" t="str">
        <f>HYPERLINK("https://patents.google.com/patent/EP1598290A1/en")</f>
        <v>https://patents.google.com/patent/EP1598290A1/en</v>
      </c>
    </row>
    <row r="13521" spans="3:5" x14ac:dyDescent="0.25">
      <c r="C13521" t="s">
        <v>25212</v>
      </c>
      <c r="D13521" t="s">
        <v>25213</v>
      </c>
      <c r="E13521" t="str">
        <f>HYPERLINK("https://patents.google.com/patent/CN105292116A/en")</f>
        <v>https://patents.google.com/patent/CN105292116A/en</v>
      </c>
    </row>
    <row r="13522" spans="3:5" x14ac:dyDescent="0.25">
      <c r="C13522" t="s">
        <v>25214</v>
      </c>
      <c r="D13522" t="s">
        <v>25215</v>
      </c>
      <c r="E13522" t="str">
        <f>HYPERLINK("https://patents.google.com/patent/CN108230972A/en")</f>
        <v>https://patents.google.com/patent/CN108230972A/en</v>
      </c>
    </row>
    <row r="13523" spans="3:5" x14ac:dyDescent="0.25">
      <c r="C13523" t="s">
        <v>25216</v>
      </c>
      <c r="D13523" t="s">
        <v>25217</v>
      </c>
      <c r="E13523" t="str">
        <f>HYPERLINK("https://patents.google.com/patent/CA2722012C/en")</f>
        <v>https://patents.google.com/patent/CA2722012C/en</v>
      </c>
    </row>
    <row r="13524" spans="3:5" x14ac:dyDescent="0.25">
      <c r="C13524" t="s">
        <v>25218</v>
      </c>
      <c r="D13524" t="s">
        <v>25219</v>
      </c>
      <c r="E13524" t="str">
        <f>HYPERLINK("https://patents.google.com/patent/US20060252520A1/en")</f>
        <v>https://patents.google.com/patent/US20060252520A1/en</v>
      </c>
    </row>
    <row r="13525" spans="3:5" x14ac:dyDescent="0.25">
      <c r="C13525" t="s">
        <v>25220</v>
      </c>
      <c r="D13525" t="s">
        <v>25221</v>
      </c>
      <c r="E13525" t="str">
        <f>HYPERLINK("https://patents.google.com/patent/US20120262540A1/en")</f>
        <v>https://patents.google.com/patent/US20120262540A1/en</v>
      </c>
    </row>
    <row r="13526" spans="3:5" x14ac:dyDescent="0.25">
      <c r="C13526" t="s">
        <v>25222</v>
      </c>
      <c r="D13526" t="s">
        <v>25223</v>
      </c>
      <c r="E13526" t="str">
        <f>HYPERLINK("https://patents.google.com/patent/US20040225416A1/en")</f>
        <v>https://patents.google.com/patent/US20040225416A1/en</v>
      </c>
    </row>
    <row r="13527" spans="3:5" x14ac:dyDescent="0.25">
      <c r="C13527" t="s">
        <v>25224</v>
      </c>
      <c r="D13527" t="s">
        <v>25225</v>
      </c>
      <c r="E13527" t="str">
        <f>HYPERLINK("https://patents.google.com/patent/US20060258438A1/en")</f>
        <v>https://patents.google.com/patent/US20060258438A1/en</v>
      </c>
    </row>
    <row r="13528" spans="3:5" x14ac:dyDescent="0.25">
      <c r="C13528" t="s">
        <v>25226</v>
      </c>
      <c r="D13528" t="s">
        <v>25227</v>
      </c>
      <c r="E13528" t="str">
        <f>HYPERLINK("https://patents.google.com/patent/US20110127095A1/en")</f>
        <v>https://patents.google.com/patent/US20110127095A1/en</v>
      </c>
    </row>
    <row r="13529" spans="3:5" x14ac:dyDescent="0.25">
      <c r="C13529" t="s">
        <v>25228</v>
      </c>
      <c r="D13529" t="s">
        <v>25229</v>
      </c>
      <c r="E13529" t="str">
        <f>HYPERLINK("https://patents.google.com/patent/CN205620817U/en")</f>
        <v>https://patents.google.com/patent/CN205620817U/en</v>
      </c>
    </row>
    <row r="13530" spans="3:5" x14ac:dyDescent="0.25">
      <c r="C13530" t="s">
        <v>25230</v>
      </c>
      <c r="D13530" t="s">
        <v>25231</v>
      </c>
      <c r="E13530" t="str">
        <f>HYPERLINK("https://patents.google.com/patent/CN207791150U/en")</f>
        <v>https://patents.google.com/patent/CN207791150U/en</v>
      </c>
    </row>
    <row r="13531" spans="3:5" x14ac:dyDescent="0.25">
      <c r="C13531" t="s">
        <v>25232</v>
      </c>
      <c r="D13531" t="s">
        <v>25233</v>
      </c>
      <c r="E13531" t="str">
        <f>HYPERLINK("https://patents.google.com/patent/CN103033189B/en")</f>
        <v>https://patents.google.com/patent/CN103033189B/en</v>
      </c>
    </row>
    <row r="13532" spans="3:5" x14ac:dyDescent="0.25">
      <c r="C13532" t="s">
        <v>25234</v>
      </c>
      <c r="D13532" t="s">
        <v>25235</v>
      </c>
      <c r="E13532" t="str">
        <f>HYPERLINK("https://patents.google.com/patent/US6175806B1/en")</f>
        <v>https://patents.google.com/patent/US6175806B1/en</v>
      </c>
    </row>
    <row r="13533" spans="3:5" x14ac:dyDescent="0.25">
      <c r="C13533" t="s">
        <v>25236</v>
      </c>
      <c r="D13533" t="s">
        <v>25237</v>
      </c>
      <c r="E13533" t="str">
        <f>HYPERLINK("https://patents.google.com/patent/US6477563B1/en")</f>
        <v>https://patents.google.com/patent/US6477563B1/en</v>
      </c>
    </row>
    <row r="13534" spans="3:5" x14ac:dyDescent="0.25">
      <c r="C13534" t="s">
        <v>25238</v>
      </c>
      <c r="D13534" t="s">
        <v>25239</v>
      </c>
      <c r="E13534" t="str">
        <f>HYPERLINK("https://patents.google.com/patent/CN105698856A/en")</f>
        <v>https://patents.google.com/patent/CN105698856A/en</v>
      </c>
    </row>
    <row r="13535" spans="3:5" x14ac:dyDescent="0.25">
      <c r="C13535" t="s">
        <v>25240</v>
      </c>
      <c r="D13535" t="s">
        <v>25241</v>
      </c>
      <c r="E13535" t="str">
        <f>HYPERLINK("https://patents.google.com/patent/CN205957981U/en")</f>
        <v>https://patents.google.com/patent/CN205957981U/en</v>
      </c>
    </row>
    <row r="13536" spans="3:5" x14ac:dyDescent="0.25">
      <c r="C13536" t="s">
        <v>25242</v>
      </c>
      <c r="D13536" t="s">
        <v>25243</v>
      </c>
      <c r="E13536" t="str">
        <f>HYPERLINK("https://patents.google.com/patent/US20100179754A1/en")</f>
        <v>https://patents.google.com/patent/US20100179754A1/en</v>
      </c>
    </row>
    <row r="13537" spans="3:5" x14ac:dyDescent="0.25">
      <c r="C13537" t="s">
        <v>25244</v>
      </c>
      <c r="D13537" t="s">
        <v>25245</v>
      </c>
      <c r="E13537" t="str">
        <f>HYPERLINK("https://patents.google.com/patent/US20080004839A1/en")</f>
        <v>https://patents.google.com/patent/US20080004839A1/en</v>
      </c>
    </row>
    <row r="13538" spans="3:5" x14ac:dyDescent="0.25">
      <c r="C13538" t="s">
        <v>25246</v>
      </c>
      <c r="D13538" t="s">
        <v>25247</v>
      </c>
      <c r="E13538" t="str">
        <f>HYPERLINK("https://patents.google.com/patent/US20180283889A1/en")</f>
        <v>https://patents.google.com/patent/US20180283889A1/en</v>
      </c>
    </row>
    <row r="13539" spans="3:5" x14ac:dyDescent="0.25">
      <c r="C13539" t="s">
        <v>25248</v>
      </c>
      <c r="D13539" t="s">
        <v>25249</v>
      </c>
      <c r="E13539" t="str">
        <f>HYPERLINK("https://patents.google.com/patent/KR20100007631U/en")</f>
        <v>https://patents.google.com/patent/KR20100007631U/en</v>
      </c>
    </row>
    <row r="13540" spans="3:5" x14ac:dyDescent="0.25">
      <c r="C13540" t="s">
        <v>25250</v>
      </c>
      <c r="D13540" t="s">
        <v>25251</v>
      </c>
      <c r="E13540" t="str">
        <f>HYPERLINK("https://patents.google.com/patent/JP2017215849A/en")</f>
        <v>https://patents.google.com/patent/JP2017215849A/en</v>
      </c>
    </row>
    <row r="13541" spans="3:5" x14ac:dyDescent="0.25">
      <c r="C13541" t="s">
        <v>25252</v>
      </c>
      <c r="D13541" t="s">
        <v>25253</v>
      </c>
      <c r="E13541" t="str">
        <f>HYPERLINK("https://patents.google.com/patent/US7170407B2/en")</f>
        <v>https://patents.google.com/patent/US7170407B2/en</v>
      </c>
    </row>
    <row r="13542" spans="3:5" x14ac:dyDescent="0.25">
      <c r="C13542" t="s">
        <v>25254</v>
      </c>
      <c r="D13542" t="s">
        <v>25255</v>
      </c>
      <c r="E13542" t="str">
        <f>HYPERLINK("https://patents.google.com/patent/US20090182913A1/en")</f>
        <v>https://patents.google.com/patent/US20090182913A1/en</v>
      </c>
    </row>
    <row r="13543" spans="3:5" x14ac:dyDescent="0.25">
      <c r="C13543" t="s">
        <v>25256</v>
      </c>
      <c r="D13543" t="s">
        <v>25257</v>
      </c>
      <c r="E13543" t="str">
        <f>HYPERLINK("https://patents.google.com/patent/US7302319B2/en")</f>
        <v>https://patents.google.com/patent/US7302319B2/en</v>
      </c>
    </row>
    <row r="13544" spans="3:5" x14ac:dyDescent="0.25">
      <c r="C13544" t="s">
        <v>25258</v>
      </c>
      <c r="D13544" t="s">
        <v>25259</v>
      </c>
      <c r="E13544" t="str">
        <f>HYPERLINK("https://patents.google.com/patent/FR2863513A1/en")</f>
        <v>https://patents.google.com/patent/FR2863513A1/en</v>
      </c>
    </row>
    <row r="13545" spans="3:5" x14ac:dyDescent="0.25">
      <c r="C13545" t="s">
        <v>25260</v>
      </c>
      <c r="D13545" t="s">
        <v>25261</v>
      </c>
      <c r="E13545" t="str">
        <f>HYPERLINK("https://patents.google.com/patent/KR20160111756A/en")</f>
        <v>https://patents.google.com/patent/KR20160111756A/en</v>
      </c>
    </row>
    <row r="13546" spans="3:5" x14ac:dyDescent="0.25">
      <c r="C13546" t="s">
        <v>25262</v>
      </c>
      <c r="D13546" t="s">
        <v>25263</v>
      </c>
      <c r="E13546" t="str">
        <f>HYPERLINK("https://patents.google.com/patent/CN105737876A/en")</f>
        <v>https://patents.google.com/patent/CN105737876A/en</v>
      </c>
    </row>
    <row r="13547" spans="3:5" x14ac:dyDescent="0.25">
      <c r="C13547" t="s">
        <v>25264</v>
      </c>
      <c r="D13547" t="s">
        <v>25265</v>
      </c>
      <c r="E13547" t="str">
        <f>HYPERLINK("https://patents.google.com/patent/KR20170114458A/en")</f>
        <v>https://patents.google.com/patent/KR20170114458A/en</v>
      </c>
    </row>
    <row r="13548" spans="3:5" x14ac:dyDescent="0.25">
      <c r="C13548" t="s">
        <v>25266</v>
      </c>
      <c r="D13548" t="s">
        <v>25267</v>
      </c>
      <c r="E13548" t="str">
        <f>HYPERLINK("https://patents.google.com/patent/US20110267499A1/en")</f>
        <v>https://patents.google.com/patent/US20110267499A1/en</v>
      </c>
    </row>
    <row r="13549" spans="3:5" x14ac:dyDescent="0.25">
      <c r="C13549" t="s">
        <v>25268</v>
      </c>
      <c r="D13549" t="s">
        <v>25269</v>
      </c>
      <c r="E13549" t="str">
        <f>HYPERLINK("https://patents.google.com/patent/ES2319556T3/en")</f>
        <v>https://patents.google.com/patent/ES2319556T3/en</v>
      </c>
    </row>
    <row r="13550" spans="3:5" x14ac:dyDescent="0.25">
      <c r="C13550" t="s">
        <v>25270</v>
      </c>
      <c r="D13550" t="s">
        <v>25271</v>
      </c>
      <c r="E13550" t="str">
        <f>HYPERLINK("https://patents.google.com/patent/US20160189266A1/en")</f>
        <v>https://patents.google.com/patent/US20160189266A1/en</v>
      </c>
    </row>
    <row r="13551" spans="3:5" x14ac:dyDescent="0.25">
      <c r="C13551" t="s">
        <v>25272</v>
      </c>
      <c r="D13551" t="s">
        <v>25273</v>
      </c>
      <c r="E13551" t="str">
        <f>HYPERLINK("https://patents.google.com/patent/EP0006413A1/en")</f>
        <v>https://patents.google.com/patent/EP0006413A1/en</v>
      </c>
    </row>
    <row r="13552" spans="3:5" x14ac:dyDescent="0.25">
      <c r="C13552" t="s">
        <v>25274</v>
      </c>
      <c r="D13552" t="s">
        <v>25275</v>
      </c>
      <c r="E13552" t="str">
        <f>HYPERLINK("https://patents.google.com/patent/JP2016133945A/en")</f>
        <v>https://patents.google.com/patent/JP2016133945A/en</v>
      </c>
    </row>
    <row r="13553" spans="3:5" x14ac:dyDescent="0.25">
      <c r="C13553" t="s">
        <v>25276</v>
      </c>
      <c r="D13553" t="s">
        <v>25277</v>
      </c>
      <c r="E13553" t="str">
        <f>HYPERLINK("https://patents.google.com/patent/US20040233171A1/en")</f>
        <v>https://patents.google.com/patent/US20040233171A1/en</v>
      </c>
    </row>
    <row r="13554" spans="3:5" x14ac:dyDescent="0.25">
      <c r="C13554" t="s">
        <v>25278</v>
      </c>
      <c r="D13554" t="s">
        <v>25279</v>
      </c>
      <c r="E13554" t="str">
        <f>HYPERLINK("https://patents.google.com/patent/US20100057511A1/en")</f>
        <v>https://patents.google.com/patent/US20100057511A1/en</v>
      </c>
    </row>
    <row r="13555" spans="3:5" x14ac:dyDescent="0.25">
      <c r="C13555" t="s">
        <v>25280</v>
      </c>
      <c r="D13555" t="s">
        <v>25281</v>
      </c>
      <c r="E13555" t="str">
        <f>HYPERLINK("https://patents.google.com/patent/US20070276709A1/en")</f>
        <v>https://patents.google.com/patent/US20070276709A1/en</v>
      </c>
    </row>
    <row r="13556" spans="3:5" x14ac:dyDescent="0.25">
      <c r="C13556" t="s">
        <v>25282</v>
      </c>
      <c r="D13556" t="s">
        <v>25283</v>
      </c>
      <c r="E13556" t="str">
        <f>HYPERLINK("https://patents.google.com/patent/WO2014024254A1/en")</f>
        <v>https://patents.google.com/patent/WO2014024254A1/en</v>
      </c>
    </row>
    <row r="13557" spans="3:5" x14ac:dyDescent="0.25">
      <c r="C13557" t="s">
        <v>25284</v>
      </c>
      <c r="D13557" t="s">
        <v>25285</v>
      </c>
      <c r="E13557" t="str">
        <f>HYPERLINK("https://patents.google.com/patent/US20130066468A1/en")</f>
        <v>https://patents.google.com/patent/US20130066468A1/en</v>
      </c>
    </row>
    <row r="13558" spans="3:5" x14ac:dyDescent="0.25">
      <c r="C13558" t="s">
        <v>25286</v>
      </c>
      <c r="D13558" t="s">
        <v>25287</v>
      </c>
      <c r="E13558" t="str">
        <f>HYPERLINK("https://patents.google.com/patent/US20050192742A1/en")</f>
        <v>https://patents.google.com/patent/US20050192742A1/en</v>
      </c>
    </row>
    <row r="13559" spans="3:5" x14ac:dyDescent="0.25">
      <c r="C13559" t="s">
        <v>25288</v>
      </c>
      <c r="D13559" t="s">
        <v>25289</v>
      </c>
      <c r="E13559" t="str">
        <f>HYPERLINK("https://patents.google.com/patent/US7356372B1/en")</f>
        <v>https://patents.google.com/patent/US7356372B1/en</v>
      </c>
    </row>
    <row r="13560" spans="3:5" x14ac:dyDescent="0.25">
      <c r="C13560" t="s">
        <v>25290</v>
      </c>
      <c r="D13560" t="s">
        <v>25291</v>
      </c>
      <c r="E13560" t="str">
        <f>HYPERLINK("https://patents.google.com/patent/US20080171855A1/en")</f>
        <v>https://patents.google.com/patent/US20080171855A1/en</v>
      </c>
    </row>
    <row r="13561" spans="3:5" x14ac:dyDescent="0.25">
      <c r="C13561" t="s">
        <v>25292</v>
      </c>
      <c r="D13561" t="s">
        <v>25293</v>
      </c>
      <c r="E13561" t="str">
        <f>HYPERLINK("https://patents.google.com/patent/US20160129999A1/en")</f>
        <v>https://patents.google.com/patent/US20160129999A1/en</v>
      </c>
    </row>
    <row r="13562" spans="3:5" x14ac:dyDescent="0.25">
      <c r="C13562" t="s">
        <v>25294</v>
      </c>
      <c r="D13562" t="s">
        <v>25295</v>
      </c>
      <c r="E13562" t="str">
        <f>HYPERLINK("https://patents.google.com/patent/US5787002A/en")</f>
        <v>https://patents.google.com/patent/US5787002A/en</v>
      </c>
    </row>
    <row r="13563" spans="3:5" x14ac:dyDescent="0.25">
      <c r="C13563" t="s">
        <v>25296</v>
      </c>
      <c r="D13563" t="s">
        <v>25297</v>
      </c>
      <c r="E13563" t="str">
        <f>HYPERLINK("https://patents.google.com/patent/US20120293367A1/en")</f>
        <v>https://patents.google.com/patent/US20120293367A1/en</v>
      </c>
    </row>
    <row r="13564" spans="3:5" x14ac:dyDescent="0.25">
      <c r="C13564" t="s">
        <v>25298</v>
      </c>
      <c r="D13564" t="s">
        <v>25299</v>
      </c>
      <c r="E13564" t="str">
        <f>HYPERLINK("https://patents.google.com/patent/US20050044862A1/en")</f>
        <v>https://patents.google.com/patent/US20050044862A1/en</v>
      </c>
    </row>
    <row r="13565" spans="3:5" x14ac:dyDescent="0.25">
      <c r="C13565" t="s">
        <v>25300</v>
      </c>
      <c r="D13565" t="s">
        <v>25301</v>
      </c>
      <c r="E13565" t="str">
        <f>HYPERLINK("https://patents.google.com/patent/US20130281798A1/en")</f>
        <v>https://patents.google.com/patent/US20130281798A1/en</v>
      </c>
    </row>
    <row r="13566" spans="3:5" x14ac:dyDescent="0.25">
      <c r="C13566" t="s">
        <v>25302</v>
      </c>
      <c r="D13566" t="s">
        <v>25303</v>
      </c>
      <c r="E13566" t="str">
        <f>HYPERLINK("https://patents.google.com/patent/EP1229508A1/en")</f>
        <v>https://patents.google.com/patent/EP1229508A1/en</v>
      </c>
    </row>
    <row r="13567" spans="3:5" x14ac:dyDescent="0.25">
      <c r="C13567" t="s">
        <v>25304</v>
      </c>
      <c r="D13567" t="s">
        <v>25305</v>
      </c>
      <c r="E13567" t="str">
        <f>HYPERLINK("https://patents.google.com/patent/US20160209220A1/en")</f>
        <v>https://patents.google.com/patent/US20160209220A1/en</v>
      </c>
    </row>
    <row r="13568" spans="3:5" x14ac:dyDescent="0.25">
      <c r="C13568" t="s">
        <v>25306</v>
      </c>
      <c r="D13568" t="s">
        <v>25307</v>
      </c>
      <c r="E13568" t="str">
        <f>HYPERLINK("https://patents.google.com/patent/WO2005095624A2/en")</f>
        <v>https://patents.google.com/patent/WO2005095624A2/en</v>
      </c>
    </row>
    <row r="13569" spans="3:5" x14ac:dyDescent="0.25">
      <c r="C13569" t="s">
        <v>25308</v>
      </c>
      <c r="D13569" t="s">
        <v>25309</v>
      </c>
      <c r="E13569" t="str">
        <f>HYPERLINK("https://patents.google.com/patent/US20170132934A1/en")</f>
        <v>https://patents.google.com/patent/US20170132934A1/en</v>
      </c>
    </row>
    <row r="13570" spans="3:5" x14ac:dyDescent="0.25">
      <c r="C13570" t="s">
        <v>25310</v>
      </c>
      <c r="D13570" t="s">
        <v>25311</v>
      </c>
      <c r="E13570" t="str">
        <f>HYPERLINK("https://patents.google.com/patent/CN103078673A/en")</f>
        <v>https://patents.google.com/patent/CN103078673A/en</v>
      </c>
    </row>
    <row r="13571" spans="3:5" x14ac:dyDescent="0.25">
      <c r="C13571" t="s">
        <v>25312</v>
      </c>
      <c r="D13571" t="s">
        <v>25313</v>
      </c>
      <c r="E13571" t="str">
        <f>HYPERLINK("https://patents.google.com/patent/CN1231039A/en")</f>
        <v>https://patents.google.com/patent/CN1231039A/en</v>
      </c>
    </row>
    <row r="13572" spans="3:5" x14ac:dyDescent="0.25">
      <c r="C13572" t="s">
        <v>25314</v>
      </c>
      <c r="D13572" t="s">
        <v>25315</v>
      </c>
      <c r="E13572" t="str">
        <f>HYPERLINK("https://patents.google.com/patent/US7739006B2/en")</f>
        <v>https://patents.google.com/patent/US7739006B2/en</v>
      </c>
    </row>
    <row r="13573" spans="3:5" x14ac:dyDescent="0.25">
      <c r="C13573" t="s">
        <v>25316</v>
      </c>
      <c r="D13573" t="s">
        <v>25317</v>
      </c>
      <c r="E13573" t="str">
        <f>HYPERLINK("https://patents.google.com/patent/WO2005125259A1/en")</f>
        <v>https://patents.google.com/patent/WO2005125259A1/en</v>
      </c>
    </row>
    <row r="13574" spans="3:5" x14ac:dyDescent="0.25">
      <c r="C13574" t="s">
        <v>25318</v>
      </c>
      <c r="D13574" t="s">
        <v>25319</v>
      </c>
      <c r="E13574" t="str">
        <f>HYPERLINK("https://patents.google.com/patent/EP1199872A2/en")</f>
        <v>https://patents.google.com/patent/EP1199872A2/en</v>
      </c>
    </row>
    <row r="13575" spans="3:5" x14ac:dyDescent="0.25">
      <c r="C13575" t="s">
        <v>25320</v>
      </c>
      <c r="D13575" t="s">
        <v>25321</v>
      </c>
      <c r="E13575" t="str">
        <f>HYPERLINK("https://patents.google.com/patent/US20140075514A1/en")</f>
        <v>https://patents.google.com/patent/US20140075514A1/en</v>
      </c>
    </row>
    <row r="13576" spans="3:5" x14ac:dyDescent="0.25">
      <c r="C13576" t="s">
        <v>25322</v>
      </c>
      <c r="D13576" t="s">
        <v>25323</v>
      </c>
      <c r="E13576" t="str">
        <f>HYPERLINK("https://patents.google.com/patent/US20150098460A1/en")</f>
        <v>https://patents.google.com/patent/US20150098460A1/en</v>
      </c>
    </row>
    <row r="13577" spans="3:5" x14ac:dyDescent="0.25">
      <c r="C13577" t="s">
        <v>25324</v>
      </c>
      <c r="D13577" t="s">
        <v>25325</v>
      </c>
      <c r="E13577" t="str">
        <f>HYPERLINK("https://patents.google.com/patent/GB2397683A/en")</f>
        <v>https://patents.google.com/patent/GB2397683A/en</v>
      </c>
    </row>
    <row r="13578" spans="3:5" x14ac:dyDescent="0.25">
      <c r="C13578" t="s">
        <v>25326</v>
      </c>
      <c r="D13578" t="s">
        <v>25327</v>
      </c>
      <c r="E13578" t="str">
        <f>HYPERLINK("https://patents.google.com/patent/US20160370194A1/en")</f>
        <v>https://patents.google.com/patent/US20160370194A1/en</v>
      </c>
    </row>
    <row r="13579" spans="3:5" x14ac:dyDescent="0.25">
      <c r="C13579" t="s">
        <v>25328</v>
      </c>
      <c r="D13579" t="s">
        <v>25329</v>
      </c>
      <c r="E13579" t="str">
        <f>HYPERLINK("https://patents.google.com/patent/WO2001095642A2/en")</f>
        <v>https://patents.google.com/patent/WO2001095642A2/en</v>
      </c>
    </row>
    <row r="13580" spans="3:5" x14ac:dyDescent="0.25">
      <c r="C13580" t="s">
        <v>25330</v>
      </c>
      <c r="D13580" t="s">
        <v>25331</v>
      </c>
      <c r="E13580" t="str">
        <f>HYPERLINK("https://patents.google.com/patent/US20100042826A1/en")</f>
        <v>https://patents.google.com/patent/US20100042826A1/en</v>
      </c>
    </row>
    <row r="13581" spans="3:5" x14ac:dyDescent="0.25">
      <c r="C13581" t="s">
        <v>25332</v>
      </c>
      <c r="D13581" t="s">
        <v>25333</v>
      </c>
      <c r="E13581" t="str">
        <f>HYPERLINK("https://patents.google.com/patent/US7136711B1/en")</f>
        <v>https://patents.google.com/patent/US7136711B1/en</v>
      </c>
    </row>
    <row r="13582" spans="3:5" x14ac:dyDescent="0.25">
      <c r="C13582" t="s">
        <v>25334</v>
      </c>
      <c r="D13582" t="s">
        <v>25335</v>
      </c>
      <c r="E13582" t="str">
        <f>HYPERLINK("https://patents.google.com/patent/US20150026708A1/en")</f>
        <v>https://patents.google.com/patent/US20150026708A1/en</v>
      </c>
    </row>
    <row r="13583" spans="3:5" x14ac:dyDescent="0.25">
      <c r="C13583" t="s">
        <v>25336</v>
      </c>
      <c r="D13583" t="s">
        <v>25337</v>
      </c>
      <c r="E13583" t="str">
        <f>HYPERLINK("https://patents.google.com/patent/US20090043506A1/en")</f>
        <v>https://patents.google.com/patent/US20090043506A1/en</v>
      </c>
    </row>
    <row r="13584" spans="3:5" x14ac:dyDescent="0.25">
      <c r="C13584" t="s">
        <v>25338</v>
      </c>
      <c r="D13584" t="s">
        <v>25339</v>
      </c>
      <c r="E13584" t="str">
        <f>HYPERLINK("https://patents.google.com/patent/US20150338849A1/en")</f>
        <v>https://patents.google.com/patent/US20150338849A1/en</v>
      </c>
    </row>
    <row r="13585" spans="3:5" x14ac:dyDescent="0.25">
      <c r="C13585" t="s">
        <v>25340</v>
      </c>
      <c r="D13585" t="s">
        <v>25341</v>
      </c>
      <c r="E13585" t="str">
        <f>HYPERLINK("https://patents.google.com/patent/JP2011240816A/en")</f>
        <v>https://patents.google.com/patent/JP2011240816A/en</v>
      </c>
    </row>
    <row r="13586" spans="3:5" x14ac:dyDescent="0.25">
      <c r="C13586" t="s">
        <v>25342</v>
      </c>
      <c r="D13586" t="s">
        <v>25343</v>
      </c>
      <c r="E13586" t="str">
        <f>HYPERLINK("https://patents.google.com/patent/DE19611915A1/en")</f>
        <v>https://patents.google.com/patent/DE19611915A1/en</v>
      </c>
    </row>
    <row r="13587" spans="3:5" x14ac:dyDescent="0.25">
      <c r="C13587" t="s">
        <v>25344</v>
      </c>
      <c r="D13587" t="s">
        <v>25345</v>
      </c>
      <c r="E13587" t="str">
        <f>HYPERLINK("https://patents.google.com/patent/JP2000337911A/en")</f>
        <v>https://patents.google.com/patent/JP2000337911A/en</v>
      </c>
    </row>
    <row r="13588" spans="3:5" x14ac:dyDescent="0.25">
      <c r="C13588" t="s">
        <v>25346</v>
      </c>
      <c r="D13588" t="s">
        <v>25347</v>
      </c>
      <c r="E13588" t="str">
        <f>HYPERLINK("https://patents.google.com/patent/US20160021178A1/en")</f>
        <v>https://patents.google.com/patent/US20160021178A1/en</v>
      </c>
    </row>
    <row r="13589" spans="3:5" x14ac:dyDescent="0.25">
      <c r="C13589" t="s">
        <v>25348</v>
      </c>
      <c r="D13589" t="s">
        <v>25349</v>
      </c>
      <c r="E13589" t="str">
        <f>HYPERLINK("https://patents.google.com/patent/US20100102929A1/en")</f>
        <v>https://patents.google.com/patent/US20100102929A1/en</v>
      </c>
    </row>
    <row r="13590" spans="3:5" x14ac:dyDescent="0.25">
      <c r="C13590" t="s">
        <v>25350</v>
      </c>
      <c r="D13590" t="s">
        <v>25351</v>
      </c>
      <c r="E13590" t="str">
        <f>HYPERLINK("https://patents.google.com/patent/EP0351335A1/en")</f>
        <v>https://patents.google.com/patent/EP0351335A1/en</v>
      </c>
    </row>
    <row r="13591" spans="3:5" x14ac:dyDescent="0.25">
      <c r="C13591" t="s">
        <v>25352</v>
      </c>
      <c r="D13591" t="s">
        <v>25353</v>
      </c>
      <c r="E13591" t="str">
        <f>HYPERLINK("https://patents.google.com/patent/US7068164B1/en")</f>
        <v>https://patents.google.com/patent/US7068164B1/en</v>
      </c>
    </row>
    <row r="13592" spans="3:5" x14ac:dyDescent="0.25">
      <c r="C13592" t="s">
        <v>25354</v>
      </c>
      <c r="D13592" t="s">
        <v>25355</v>
      </c>
      <c r="E13592" t="str">
        <f>HYPERLINK("https://patents.google.com/patent/US7190392B1/en")</f>
        <v>https://patents.google.com/patent/US7190392B1/en</v>
      </c>
    </row>
    <row r="13593" spans="3:5" x14ac:dyDescent="0.25">
      <c r="C13593" t="s">
        <v>25356</v>
      </c>
      <c r="D13593" t="s">
        <v>25357</v>
      </c>
      <c r="E13593" t="str">
        <f>HYPERLINK("https://patents.google.com/patent/US9646428B1/en")</f>
        <v>https://patents.google.com/patent/US9646428B1/en</v>
      </c>
    </row>
    <row r="13594" spans="3:5" x14ac:dyDescent="0.25">
      <c r="C13594" t="s">
        <v>25358</v>
      </c>
      <c r="D13594" t="s">
        <v>25359</v>
      </c>
      <c r="E13594" t="str">
        <f>HYPERLINK("https://patents.google.com/patent/US7495609B1/en")</f>
        <v>https://patents.google.com/patent/US7495609B1/en</v>
      </c>
    </row>
    <row r="13595" spans="3:5" x14ac:dyDescent="0.25">
      <c r="C13595" t="s">
        <v>22562</v>
      </c>
      <c r="D13595" t="s">
        <v>25360</v>
      </c>
      <c r="E13595" t="str">
        <f>HYPERLINK("https://patents.google.com/patent/JP2001050760A/en")</f>
        <v>https://patents.google.com/patent/JP2001050760A/en</v>
      </c>
    </row>
    <row r="13596" spans="3:5" x14ac:dyDescent="0.25">
      <c r="C13596" t="s">
        <v>25361</v>
      </c>
      <c r="D13596" t="s">
        <v>25362</v>
      </c>
      <c r="E13596" t="str">
        <f>HYPERLINK("https://patents.google.com/patent/FR2754723A1/en")</f>
        <v>https://patents.google.com/patent/FR2754723A1/en</v>
      </c>
    </row>
    <row r="13597" spans="3:5" x14ac:dyDescent="0.25">
      <c r="C13597" t="s">
        <v>14262</v>
      </c>
      <c r="D13597" t="s">
        <v>25363</v>
      </c>
      <c r="E13597" t="str">
        <f>HYPERLINK("https://patents.google.com/patent/JPH09325812A/en")</f>
        <v>https://patents.google.com/patent/JPH09325812A/en</v>
      </c>
    </row>
    <row r="13598" spans="3:5" x14ac:dyDescent="0.25">
      <c r="C13598" t="s">
        <v>25364</v>
      </c>
      <c r="D13598" t="s">
        <v>25365</v>
      </c>
      <c r="E13598" t="str">
        <f>HYPERLINK("https://patents.google.com/patent/US7340314B1/en")</f>
        <v>https://patents.google.com/patent/US7340314B1/en</v>
      </c>
    </row>
    <row r="13599" spans="3:5" x14ac:dyDescent="0.25">
      <c r="C13599" t="s">
        <v>25366</v>
      </c>
      <c r="D13599" t="s">
        <v>25367</v>
      </c>
      <c r="E13599" t="str">
        <f>HYPERLINK("https://patents.google.com/patent/US20020024934A1/en")</f>
        <v>https://patents.google.com/patent/US20020024934A1/en</v>
      </c>
    </row>
    <row r="13600" spans="3:5" x14ac:dyDescent="0.25">
      <c r="C13600" t="s">
        <v>25368</v>
      </c>
      <c r="D13600" t="s">
        <v>25369</v>
      </c>
      <c r="E13600" t="str">
        <f>HYPERLINK("https://patents.google.com/patent/EP0237395A1/en")</f>
        <v>https://patents.google.com/patent/EP0237395A1/en</v>
      </c>
    </row>
    <row r="13601" spans="3:5" x14ac:dyDescent="0.25">
      <c r="C13601" t="s">
        <v>25370</v>
      </c>
      <c r="D13601" t="s">
        <v>25371</v>
      </c>
      <c r="E13601" t="str">
        <f>HYPERLINK("https://patents.google.com/patent/DE102010017211A1/en")</f>
        <v>https://patents.google.com/patent/DE102010017211A1/en</v>
      </c>
    </row>
    <row r="13602" spans="3:5" x14ac:dyDescent="0.25">
      <c r="C13602" t="s">
        <v>25372</v>
      </c>
      <c r="D13602" t="s">
        <v>25373</v>
      </c>
      <c r="E13602" t="str">
        <f>HYPERLINK("https://patents.google.com/patent/US20010053962A1/en")</f>
        <v>https://patents.google.com/patent/US20010053962A1/en</v>
      </c>
    </row>
    <row r="13603" spans="3:5" x14ac:dyDescent="0.25">
      <c r="C13603" t="s">
        <v>25374</v>
      </c>
      <c r="D13603" t="s">
        <v>25375</v>
      </c>
      <c r="E13603" t="str">
        <f>HYPERLINK("https://patents.google.com/patent/CN102020004A/en")</f>
        <v>https://patents.google.com/patent/CN102020004A/en</v>
      </c>
    </row>
    <row r="13604" spans="3:5" x14ac:dyDescent="0.25">
      <c r="C13604" t="s">
        <v>25376</v>
      </c>
      <c r="D13604" t="s">
        <v>25377</v>
      </c>
      <c r="E13604" t="str">
        <f>HYPERLINK("https://patents.google.com/patent/JPH11257975A/en")</f>
        <v>https://patents.google.com/patent/JPH11257975A/en</v>
      </c>
    </row>
    <row r="13605" spans="3:5" x14ac:dyDescent="0.25">
      <c r="C13605" t="s">
        <v>25378</v>
      </c>
      <c r="D13605" t="s">
        <v>25379</v>
      </c>
      <c r="E13605" t="str">
        <f>HYPERLINK("https://patents.google.com/patent/CN102354174A/en")</f>
        <v>https://patents.google.com/patent/CN102354174A/en</v>
      </c>
    </row>
    <row r="13606" spans="3:5" x14ac:dyDescent="0.25">
      <c r="C13606" t="s">
        <v>25380</v>
      </c>
      <c r="D13606" t="s">
        <v>25381</v>
      </c>
      <c r="E13606" t="str">
        <f>HYPERLINK("https://patents.google.com/patent/US20090076784A1/en")</f>
        <v>https://patents.google.com/patent/US20090076784A1/en</v>
      </c>
    </row>
    <row r="13607" spans="3:5" x14ac:dyDescent="0.25">
      <c r="C13607" t="s">
        <v>25382</v>
      </c>
      <c r="D13607" t="s">
        <v>25383</v>
      </c>
      <c r="E13607" t="str">
        <f>HYPERLINK("https://patents.google.com/patent/US20120150871A1/en")</f>
        <v>https://patents.google.com/patent/US20120150871A1/en</v>
      </c>
    </row>
    <row r="13608" spans="3:5" x14ac:dyDescent="0.25">
      <c r="C13608" t="s">
        <v>25384</v>
      </c>
      <c r="D13608" t="s">
        <v>25385</v>
      </c>
      <c r="E13608" t="str">
        <f>HYPERLINK("https://patents.google.com/patent/US20160162172A1/en")</f>
        <v>https://patents.google.com/patent/US20160162172A1/en</v>
      </c>
    </row>
    <row r="13609" spans="3:5" x14ac:dyDescent="0.25">
      <c r="C13609" t="s">
        <v>25386</v>
      </c>
      <c r="D13609" t="s">
        <v>25387</v>
      </c>
      <c r="E13609" t="str">
        <f>HYPERLINK("https://patents.google.com/patent/JP2004333233A/en")</f>
        <v>https://patents.google.com/patent/JP2004333233A/en</v>
      </c>
    </row>
    <row r="13610" spans="3:5" x14ac:dyDescent="0.25">
      <c r="C13610" t="s">
        <v>25388</v>
      </c>
      <c r="D13610" t="s">
        <v>25389</v>
      </c>
      <c r="E13610" t="str">
        <f>HYPERLINK("https://patents.google.com/patent/US20170123422A1/en")</f>
        <v>https://patents.google.com/patent/US20170123422A1/en</v>
      </c>
    </row>
    <row r="13611" spans="3:5" x14ac:dyDescent="0.25">
      <c r="C13611" t="s">
        <v>25390</v>
      </c>
      <c r="D13611" t="s">
        <v>25391</v>
      </c>
      <c r="E13611" t="str">
        <f>HYPERLINK("https://patents.google.com/patent/US5030129A/en")</f>
        <v>https://patents.google.com/patent/US5030129A/en</v>
      </c>
    </row>
    <row r="13612" spans="3:5" x14ac:dyDescent="0.25">
      <c r="C13612" t="s">
        <v>25392</v>
      </c>
      <c r="D13612" t="s">
        <v>25393</v>
      </c>
      <c r="E13612" t="str">
        <f>HYPERLINK("https://patents.google.com/patent/US20030115254A1/en")</f>
        <v>https://patents.google.com/patent/US20030115254A1/en</v>
      </c>
    </row>
    <row r="13613" spans="3:5" x14ac:dyDescent="0.25">
      <c r="C13613" t="s">
        <v>25394</v>
      </c>
      <c r="D13613" t="s">
        <v>25395</v>
      </c>
      <c r="E13613" t="str">
        <f>HYPERLINK("https://patents.google.com/patent/KR100814386B1/en")</f>
        <v>https://patents.google.com/patent/KR100814386B1/en</v>
      </c>
    </row>
    <row r="13614" spans="3:5" x14ac:dyDescent="0.25">
      <c r="C13614" t="s">
        <v>25396</v>
      </c>
      <c r="D13614" t="s">
        <v>25397</v>
      </c>
      <c r="E13614" t="str">
        <f>HYPERLINK("https://patents.google.com/patent/US20090265299A1/en")</f>
        <v>https://patents.google.com/patent/US20090265299A1/en</v>
      </c>
    </row>
    <row r="13615" spans="3:5" x14ac:dyDescent="0.25">
      <c r="C13615" t="s">
        <v>25398</v>
      </c>
      <c r="D13615" t="s">
        <v>25399</v>
      </c>
      <c r="E13615" t="str">
        <f>HYPERLINK("https://patents.google.com/patent/KR20120121452A/en")</f>
        <v>https://patents.google.com/patent/KR20120121452A/en</v>
      </c>
    </row>
    <row r="13616" spans="3:5" x14ac:dyDescent="0.25">
      <c r="C13616" t="s">
        <v>25400</v>
      </c>
      <c r="D13616" t="s">
        <v>25401</v>
      </c>
      <c r="E13616" t="str">
        <f>HYPERLINK("https://patents.google.com/patent/US20160116912A1/en")</f>
        <v>https://patents.google.com/patent/US20160116912A1/en</v>
      </c>
    </row>
    <row r="13617" spans="3:5" x14ac:dyDescent="0.25">
      <c r="C13617" t="s">
        <v>25402</v>
      </c>
      <c r="D13617" t="s">
        <v>25403</v>
      </c>
      <c r="E13617" t="str">
        <f>HYPERLINK("https://patents.google.com/patent/US20130204463A1/en")</f>
        <v>https://patents.google.com/patent/US20130204463A1/en</v>
      </c>
    </row>
    <row r="13618" spans="3:5" x14ac:dyDescent="0.25">
      <c r="C13618" t="s">
        <v>25404</v>
      </c>
      <c r="D13618" t="s">
        <v>25405</v>
      </c>
      <c r="E13618" t="str">
        <f>HYPERLINK("https://patents.google.com/patent/US8305211B1/en")</f>
        <v>https://patents.google.com/patent/US8305211B1/en</v>
      </c>
    </row>
    <row r="13619" spans="3:5" x14ac:dyDescent="0.25">
      <c r="C13619" t="s">
        <v>25406</v>
      </c>
      <c r="D13619" t="s">
        <v>25407</v>
      </c>
      <c r="E13619" t="str">
        <f>HYPERLINK("https://patents.google.com/patent/EP1480097A2/en")</f>
        <v>https://patents.google.com/patent/EP1480097A2/en</v>
      </c>
    </row>
    <row r="13620" spans="3:5" x14ac:dyDescent="0.25">
      <c r="C13620" t="s">
        <v>25408</v>
      </c>
      <c r="D13620" t="s">
        <v>25409</v>
      </c>
      <c r="E13620" t="str">
        <f>HYPERLINK("https://patents.google.com/patent/US20160048556A1/en")</f>
        <v>https://patents.google.com/patent/US20160048556A1/en</v>
      </c>
    </row>
    <row r="13621" spans="3:5" x14ac:dyDescent="0.25">
      <c r="C13621" t="s">
        <v>25410</v>
      </c>
      <c r="D13621" t="s">
        <v>25411</v>
      </c>
      <c r="E13621" t="str">
        <f>HYPERLINK("https://patents.google.com/patent/US20150033647A1/en")</f>
        <v>https://patents.google.com/patent/US20150033647A1/en</v>
      </c>
    </row>
    <row r="13622" spans="3:5" x14ac:dyDescent="0.25">
      <c r="C13622" t="s">
        <v>25412</v>
      </c>
      <c r="D13622" t="s">
        <v>25413</v>
      </c>
      <c r="E13622" t="str">
        <f>HYPERLINK("https://patents.google.com/patent/JPH11272328A/en")</f>
        <v>https://patents.google.com/patent/JPH11272328A/en</v>
      </c>
    </row>
    <row r="13623" spans="3:5" x14ac:dyDescent="0.25">
      <c r="C13623" t="s">
        <v>25414</v>
      </c>
      <c r="D13623" t="s">
        <v>25415</v>
      </c>
      <c r="E13623" t="str">
        <f>HYPERLINK("https://patents.google.com/patent/FR2535002A1/en")</f>
        <v>https://patents.google.com/patent/FR2535002A1/en</v>
      </c>
    </row>
    <row r="13624" spans="3:5" x14ac:dyDescent="0.25">
      <c r="C13624" t="s">
        <v>25416</v>
      </c>
      <c r="D13624" t="s">
        <v>25417</v>
      </c>
      <c r="E13624" t="str">
        <f>HYPERLINK("https://patents.google.com/patent/DE102014106689A1/en")</f>
        <v>https://patents.google.com/patent/DE102014106689A1/en</v>
      </c>
    </row>
    <row r="13625" spans="3:5" x14ac:dyDescent="0.25">
      <c r="C13625" t="s">
        <v>25418</v>
      </c>
      <c r="D13625" t="s">
        <v>25419</v>
      </c>
      <c r="E13625" t="str">
        <f>HYPERLINK("https://patents.google.com/patent/CN1873680A/en")</f>
        <v>https://patents.google.com/patent/CN1873680A/en</v>
      </c>
    </row>
    <row r="13626" spans="3:5" x14ac:dyDescent="0.25">
      <c r="C13626" t="s">
        <v>25420</v>
      </c>
      <c r="D13626" t="s">
        <v>25421</v>
      </c>
      <c r="E13626" t="str">
        <f>HYPERLINK("https://patents.google.com/patent/US20150175168A1/en")</f>
        <v>https://patents.google.com/patent/US20150175168A1/en</v>
      </c>
    </row>
    <row r="13627" spans="3:5" x14ac:dyDescent="0.25">
      <c r="C13627" t="s">
        <v>25422</v>
      </c>
      <c r="D13627" t="s">
        <v>25423</v>
      </c>
      <c r="E13627" t="str">
        <f>HYPERLINK("https://patents.google.com/patent/US20140012417A1/en")</f>
        <v>https://patents.google.com/patent/US20140012417A1/en</v>
      </c>
    </row>
    <row r="13628" spans="3:5" x14ac:dyDescent="0.25">
      <c r="C13628" t="s">
        <v>25424</v>
      </c>
      <c r="D13628" t="s">
        <v>25425</v>
      </c>
      <c r="E13628" t="str">
        <f>HYPERLINK("https://patents.google.com/patent/US4756887A/en")</f>
        <v>https://patents.google.com/patent/US4756887A/en</v>
      </c>
    </row>
    <row r="13629" spans="3:5" x14ac:dyDescent="0.25">
      <c r="C13629" t="s">
        <v>25426</v>
      </c>
      <c r="D13629" t="s">
        <v>25427</v>
      </c>
      <c r="E13629" t="str">
        <f>HYPERLINK("https://patents.google.com/patent/BE680511A/en")</f>
        <v>https://patents.google.com/patent/BE680511A/en</v>
      </c>
    </row>
    <row r="13630" spans="3:5" x14ac:dyDescent="0.25">
      <c r="C13630" t="s">
        <v>25428</v>
      </c>
      <c r="D13630" t="s">
        <v>25429</v>
      </c>
      <c r="E13630" t="str">
        <f>HYPERLINK("https://patents.google.com/patent/US20170227368A1/en")</f>
        <v>https://patents.google.com/patent/US20170227368A1/en</v>
      </c>
    </row>
    <row r="13631" spans="3:5" x14ac:dyDescent="0.25">
      <c r="C13631" t="s">
        <v>25430</v>
      </c>
      <c r="D13631" t="s">
        <v>25431</v>
      </c>
      <c r="E13631" t="str">
        <f>HYPERLINK("https://patents.google.com/patent/JP2002533797A/en")</f>
        <v>https://patents.google.com/patent/JP2002533797A/en</v>
      </c>
    </row>
    <row r="13632" spans="3:5" x14ac:dyDescent="0.25">
      <c r="C13632" t="s">
        <v>25432</v>
      </c>
      <c r="D13632" t="s">
        <v>25433</v>
      </c>
      <c r="E13632" t="str">
        <f>HYPERLINK("https://patents.google.com/patent/US20110118714A1/en")</f>
        <v>https://patents.google.com/patent/US20110118714A1/en</v>
      </c>
    </row>
    <row r="13633" spans="3:5" x14ac:dyDescent="0.25">
      <c r="C13633" t="s">
        <v>25434</v>
      </c>
      <c r="D13633" t="s">
        <v>25435</v>
      </c>
      <c r="E13633" t="str">
        <f>HYPERLINK("https://patents.google.com/patent/US20130290421A1/en")</f>
        <v>https://patents.google.com/patent/US20130290421A1/en</v>
      </c>
    </row>
    <row r="13634" spans="3:5" x14ac:dyDescent="0.25">
      <c r="C13634" t="s">
        <v>25436</v>
      </c>
      <c r="D13634" t="s">
        <v>25437</v>
      </c>
      <c r="E13634" t="str">
        <f>HYPERLINK("https://patents.google.com/patent/JP2002071369A/en")</f>
        <v>https://patents.google.com/patent/JP2002071369A/en</v>
      </c>
    </row>
    <row r="13635" spans="3:5" x14ac:dyDescent="0.25">
      <c r="C13635" t="s">
        <v>25438</v>
      </c>
      <c r="D13635" t="s">
        <v>25439</v>
      </c>
      <c r="E13635" t="str">
        <f>HYPERLINK("https://patents.google.com/patent/US8578329B1/en")</f>
        <v>https://patents.google.com/patent/US8578329B1/en</v>
      </c>
    </row>
    <row r="13636" spans="3:5" x14ac:dyDescent="0.25">
      <c r="C13636" t="s">
        <v>25440</v>
      </c>
      <c r="D13636" t="s">
        <v>25441</v>
      </c>
      <c r="E13636" t="str">
        <f>HYPERLINK("https://patents.google.com/patent/US20150092020A1/en")</f>
        <v>https://patents.google.com/patent/US20150092020A1/en</v>
      </c>
    </row>
    <row r="13637" spans="3:5" x14ac:dyDescent="0.25">
      <c r="C13637" t="s">
        <v>25442</v>
      </c>
      <c r="D13637" t="s">
        <v>25443</v>
      </c>
      <c r="E13637" t="str">
        <f>HYPERLINK("https://patents.google.com/patent/CN101162384A/en")</f>
        <v>https://patents.google.com/patent/CN101162384A/en</v>
      </c>
    </row>
    <row r="13638" spans="3:5" x14ac:dyDescent="0.25">
      <c r="C13638" t="s">
        <v>25436</v>
      </c>
      <c r="D13638" t="s">
        <v>25444</v>
      </c>
      <c r="E13638" t="str">
        <f>HYPERLINK("https://patents.google.com/patent/JPH11304505A/en")</f>
        <v>https://patents.google.com/patent/JPH11304505A/en</v>
      </c>
    </row>
    <row r="13639" spans="3:5" x14ac:dyDescent="0.25">
      <c r="C13639" t="s">
        <v>25445</v>
      </c>
      <c r="D13639" t="s">
        <v>25446</v>
      </c>
      <c r="E13639" t="str">
        <f>HYPERLINK("https://patents.google.com/patent/DE102013016436A1/en")</f>
        <v>https://patents.google.com/patent/DE102013016436A1/en</v>
      </c>
    </row>
    <row r="13640" spans="3:5" x14ac:dyDescent="0.25">
      <c r="C13640" t="s">
        <v>25447</v>
      </c>
      <c r="D13640" t="s">
        <v>25448</v>
      </c>
      <c r="E13640" t="str">
        <f>HYPERLINK("https://patents.google.com/patent/US20130085817A1/en")</f>
        <v>https://patents.google.com/patent/US20130085817A1/en</v>
      </c>
    </row>
    <row r="13641" spans="3:5" x14ac:dyDescent="0.25">
      <c r="C13641" t="s">
        <v>25449</v>
      </c>
      <c r="D13641" t="s">
        <v>25450</v>
      </c>
      <c r="E13641" t="str">
        <f>HYPERLINK("https://patents.google.com/patent/US20070002762A1/en")</f>
        <v>https://patents.google.com/patent/US20070002762A1/en</v>
      </c>
    </row>
    <row r="13642" spans="3:5" x14ac:dyDescent="0.25">
      <c r="C13642" t="s">
        <v>25451</v>
      </c>
      <c r="D13642" t="s">
        <v>25452</v>
      </c>
      <c r="E13642" t="str">
        <f>HYPERLINK("https://patents.google.com/patent/CN101541832A/en")</f>
        <v>https://patents.google.com/patent/CN101541832A/en</v>
      </c>
    </row>
    <row r="13643" spans="3:5" x14ac:dyDescent="0.25">
      <c r="C13643" t="s">
        <v>25453</v>
      </c>
      <c r="D13643" t="s">
        <v>25454</v>
      </c>
      <c r="E13643" t="str">
        <f>HYPERLINK("https://patents.google.com/patent/US20140375819A1/en")</f>
        <v>https://patents.google.com/patent/US20140375819A1/en</v>
      </c>
    </row>
    <row r="13644" spans="3:5" x14ac:dyDescent="0.25">
      <c r="C13644" t="s">
        <v>25455</v>
      </c>
      <c r="D13644" t="s">
        <v>25456</v>
      </c>
      <c r="E13644" t="str">
        <f>HYPERLINK("https://patents.google.com/patent/CN105741595A/en")</f>
        <v>https://patents.google.com/patent/CN105741595A/en</v>
      </c>
    </row>
    <row r="13645" spans="3:5" x14ac:dyDescent="0.25">
      <c r="C13645" t="s">
        <v>25457</v>
      </c>
      <c r="D13645" t="s">
        <v>25458</v>
      </c>
      <c r="E13645" t="str">
        <f>HYPERLINK("https://patents.google.com/patent/EP0899704A2/en")</f>
        <v>https://patents.google.com/patent/EP0899704A2/en</v>
      </c>
    </row>
    <row r="13646" spans="3:5" x14ac:dyDescent="0.25">
      <c r="C13646" t="s">
        <v>25459</v>
      </c>
      <c r="D13646" t="s">
        <v>25460</v>
      </c>
      <c r="E13646" t="str">
        <f>HYPERLINK("https://patents.google.com/patent/US20110302397A1/en")</f>
        <v>https://patents.google.com/patent/US20110302397A1/en</v>
      </c>
    </row>
    <row r="13647" spans="3:5" x14ac:dyDescent="0.25">
      <c r="C13647" t="s">
        <v>25461</v>
      </c>
      <c r="D13647" t="s">
        <v>25462</v>
      </c>
      <c r="E13647" t="str">
        <f>HYPERLINK("https://patents.google.com/patent/CN1524361A/en")</f>
        <v>https://patents.google.com/patent/CN1524361A/en</v>
      </c>
    </row>
    <row r="13648" spans="3:5" x14ac:dyDescent="0.25">
      <c r="C13648" t="s">
        <v>25463</v>
      </c>
      <c r="D13648" t="s">
        <v>25464</v>
      </c>
      <c r="E13648" t="str">
        <f>HYPERLINK("https://patents.google.com/patent/FR2949167A1/en")</f>
        <v>https://patents.google.com/patent/FR2949167A1/en</v>
      </c>
    </row>
    <row r="13649" spans="3:5" x14ac:dyDescent="0.25">
      <c r="C13649" t="s">
        <v>25465</v>
      </c>
      <c r="D13649" t="s">
        <v>25466</v>
      </c>
      <c r="E13649" t="str">
        <f>HYPERLINK("https://patents.google.com/patent/EP0207038A1/en")</f>
        <v>https://patents.google.com/patent/EP0207038A1/en</v>
      </c>
    </row>
    <row r="13650" spans="3:5" x14ac:dyDescent="0.25">
      <c r="C13650" t="s">
        <v>25467</v>
      </c>
      <c r="D13650" t="s">
        <v>25468</v>
      </c>
      <c r="E13650" t="str">
        <f>HYPERLINK("https://patents.google.com/patent/JP4547667B2/en")</f>
        <v>https://patents.google.com/patent/JP4547667B2/en</v>
      </c>
    </row>
    <row r="13651" spans="3:5" x14ac:dyDescent="0.25">
      <c r="C13651" t="s">
        <v>25469</v>
      </c>
      <c r="D13651" t="s">
        <v>25470</v>
      </c>
      <c r="E13651" t="str">
        <f>HYPERLINK("https://patents.google.com/patent/KR101861700B1/en")</f>
        <v>https://patents.google.com/patent/KR101861700B1/en</v>
      </c>
    </row>
    <row r="13652" spans="3:5" x14ac:dyDescent="0.25">
      <c r="C13652" t="s">
        <v>25471</v>
      </c>
      <c r="D13652" t="s">
        <v>25472</v>
      </c>
      <c r="E13652" t="str">
        <f>HYPERLINK("https://patents.google.com/patent/CN102539185A/en")</f>
        <v>https://patents.google.com/patent/CN102539185A/en</v>
      </c>
    </row>
    <row r="13653" spans="3:5" x14ac:dyDescent="0.25">
      <c r="C13653" t="s">
        <v>25473</v>
      </c>
      <c r="D13653" t="s">
        <v>25474</v>
      </c>
      <c r="E13653" t="str">
        <f>HYPERLINK("https://patents.google.com/patent/WO2017014544A1/en")</f>
        <v>https://patents.google.com/patent/WO2017014544A1/en</v>
      </c>
    </row>
    <row r="13654" spans="3:5" x14ac:dyDescent="0.25">
      <c r="C13654" t="s">
        <v>25475</v>
      </c>
      <c r="D13654" t="s">
        <v>25476</v>
      </c>
      <c r="E13654" t="str">
        <f>HYPERLINK("https://patents.google.com/patent/CN107833163A/en")</f>
        <v>https://patents.google.com/patent/CN107833163A/en</v>
      </c>
    </row>
    <row r="13655" spans="3:5" x14ac:dyDescent="0.25">
      <c r="C13655" t="s">
        <v>25477</v>
      </c>
      <c r="D13655" t="s">
        <v>25478</v>
      </c>
      <c r="E13655" t="str">
        <f>HYPERLINK("https://patents.google.com/patent/FR2561571A1/en")</f>
        <v>https://patents.google.com/patent/FR2561571A1/en</v>
      </c>
    </row>
    <row r="13656" spans="3:5" x14ac:dyDescent="0.25">
      <c r="C13656" t="s">
        <v>25479</v>
      </c>
      <c r="D13656" t="s">
        <v>25480</v>
      </c>
      <c r="E13656" t="str">
        <f>HYPERLINK("https://patents.google.com/patent/ES2366689T3/en")</f>
        <v>https://patents.google.com/patent/ES2366689T3/en</v>
      </c>
    </row>
    <row r="13657" spans="3:5" x14ac:dyDescent="0.25">
      <c r="C13657" t="s">
        <v>25308</v>
      </c>
      <c r="D13657" t="s">
        <v>25481</v>
      </c>
      <c r="E13657" t="str">
        <f>HYPERLINK("https://patents.google.com/patent/WO2017079222A1/en")</f>
        <v>https://patents.google.com/patent/WO2017079222A1/en</v>
      </c>
    </row>
    <row r="13658" spans="3:5" x14ac:dyDescent="0.25">
      <c r="C13658" t="s">
        <v>25482</v>
      </c>
      <c r="D13658" t="s">
        <v>25483</v>
      </c>
      <c r="E13658" t="str">
        <f>HYPERLINK("https://patents.google.com/patent/DE102013016488A1/en")</f>
        <v>https://patents.google.com/patent/DE102013016488A1/en</v>
      </c>
    </row>
    <row r="13659" spans="3:5" x14ac:dyDescent="0.25">
      <c r="C13659" t="s">
        <v>25484</v>
      </c>
      <c r="D13659" t="s">
        <v>25485</v>
      </c>
      <c r="E13659" t="str">
        <f>HYPERLINK("https://patents.google.com/patent/JP2007052563A/en")</f>
        <v>https://patents.google.com/patent/JP2007052563A/en</v>
      </c>
    </row>
    <row r="13660" spans="3:5" x14ac:dyDescent="0.25">
      <c r="C13660" t="s">
        <v>25486</v>
      </c>
      <c r="D13660" t="s">
        <v>25487</v>
      </c>
      <c r="E13660" t="str">
        <f>HYPERLINK("https://patents.google.com/patent/CN1712656A/en")</f>
        <v>https://patents.google.com/patent/CN1712656A/en</v>
      </c>
    </row>
    <row r="13661" spans="3:5" x14ac:dyDescent="0.25">
      <c r="C13661" t="s">
        <v>25488</v>
      </c>
      <c r="D13661" t="s">
        <v>25489</v>
      </c>
      <c r="E13661" t="str">
        <f>HYPERLINK("https://patents.google.com/patent/CN206657562U/en")</f>
        <v>https://patents.google.com/patent/CN206657562U/en</v>
      </c>
    </row>
    <row r="13662" spans="3:5" x14ac:dyDescent="0.25">
      <c r="C13662" t="s">
        <v>25490</v>
      </c>
      <c r="D13662" t="s">
        <v>25491</v>
      </c>
      <c r="E13662" t="str">
        <f>HYPERLINK("https://patents.google.com/patent/US20180176332A1/en")</f>
        <v>https://patents.google.com/patent/US20180176332A1/en</v>
      </c>
    </row>
    <row r="13663" spans="3:5" x14ac:dyDescent="0.25">
      <c r="C13663" t="s">
        <v>25492</v>
      </c>
      <c r="D13663" t="s">
        <v>25493</v>
      </c>
      <c r="E13663" t="str">
        <f>HYPERLINK("https://patents.google.com/patent/US20170343360A1/en")</f>
        <v>https://patents.google.com/patent/US20170343360A1/en</v>
      </c>
    </row>
    <row r="13664" spans="3:5" x14ac:dyDescent="0.25">
      <c r="C13664" t="s">
        <v>25494</v>
      </c>
      <c r="D13664" t="s">
        <v>25495</v>
      </c>
      <c r="E13664" t="str">
        <f>HYPERLINK("https://patents.google.com/patent/BE490266A/en")</f>
        <v>https://patents.google.com/patent/BE490266A/en</v>
      </c>
    </row>
    <row r="13665" spans="3:5" x14ac:dyDescent="0.25">
      <c r="C13665" t="s">
        <v>25496</v>
      </c>
      <c r="D13665" t="s">
        <v>25497</v>
      </c>
      <c r="E13665" t="str">
        <f>HYPERLINK("https://patents.google.com/patent/US20180045529A1/en")</f>
        <v>https://patents.google.com/patent/US20180045529A1/en</v>
      </c>
    </row>
    <row r="13666" spans="3:5" x14ac:dyDescent="0.25">
      <c r="C13666" t="s">
        <v>25498</v>
      </c>
      <c r="D13666" t="s">
        <v>25499</v>
      </c>
      <c r="E13666" t="str">
        <f>HYPERLINK("https://patents.google.com/patent/CA2591961C/en")</f>
        <v>https://patents.google.com/patent/CA2591961C/en</v>
      </c>
    </row>
    <row r="13667" spans="3:5" x14ac:dyDescent="0.25">
      <c r="C13667" t="s">
        <v>25500</v>
      </c>
      <c r="D13667" t="s">
        <v>25501</v>
      </c>
      <c r="E13667" t="str">
        <f>HYPERLINK("https://patents.google.com/patent/US20120040324A1/en")</f>
        <v>https://patents.google.com/patent/US20120040324A1/en</v>
      </c>
    </row>
    <row r="13668" spans="3:5" x14ac:dyDescent="0.25">
      <c r="C13668" t="s">
        <v>25502</v>
      </c>
      <c r="D13668" t="s">
        <v>25503</v>
      </c>
      <c r="E13668" t="str">
        <f>HYPERLINK("https://patents.google.com/patent/CN103758378B/en")</f>
        <v>https://patents.google.com/patent/CN103758378B/en</v>
      </c>
    </row>
    <row r="13669" spans="3:5" x14ac:dyDescent="0.25">
      <c r="C13669" t="s">
        <v>25504</v>
      </c>
      <c r="D13669" t="s">
        <v>25505</v>
      </c>
      <c r="E13669" t="str">
        <f>HYPERLINK("https://patents.google.com/patent/CN102837816B/en")</f>
        <v>https://patents.google.com/patent/CN102837816B/en</v>
      </c>
    </row>
    <row r="13670" spans="3:5" x14ac:dyDescent="0.25">
      <c r="C13670" t="s">
        <v>25506</v>
      </c>
      <c r="D13670" t="s">
        <v>25507</v>
      </c>
      <c r="E13670" t="str">
        <f>HYPERLINK("https://patents.google.com/patent/WO2016128200A1/en")</f>
        <v>https://patents.google.com/patent/WO2016128200A1/en</v>
      </c>
    </row>
    <row r="13671" spans="3:5" x14ac:dyDescent="0.25">
      <c r="C13671" t="s">
        <v>25508</v>
      </c>
      <c r="D13671" t="s">
        <v>25509</v>
      </c>
      <c r="E13671" t="str">
        <f>HYPERLINK("https://patents.google.com/patent/CN106103281A/en")</f>
        <v>https://patents.google.com/patent/CN106103281A/en</v>
      </c>
    </row>
    <row r="13672" spans="3:5" x14ac:dyDescent="0.25">
      <c r="C13672" t="s">
        <v>25510</v>
      </c>
      <c r="D13672" t="s">
        <v>25511</v>
      </c>
      <c r="E13672" t="str">
        <f>HYPERLINK("https://patents.google.com/patent/CN106291169A/en")</f>
        <v>https://patents.google.com/patent/CN106291169A/en</v>
      </c>
    </row>
    <row r="13673" spans="3:5" x14ac:dyDescent="0.25">
      <c r="C13673" t="s">
        <v>25512</v>
      </c>
      <c r="D13673" t="s">
        <v>25513</v>
      </c>
      <c r="E13673" t="str">
        <f>HYPERLINK("https://patents.google.com/patent/EP2641851A1/en")</f>
        <v>https://patents.google.com/patent/EP2641851A1/en</v>
      </c>
    </row>
    <row r="13674" spans="3:5" x14ac:dyDescent="0.25">
      <c r="C13674" t="s">
        <v>25514</v>
      </c>
      <c r="D13674" t="s">
        <v>25515</v>
      </c>
      <c r="E13674" t="str">
        <f>HYPERLINK("https://patents.google.com/patent/WO2017092904A1/en")</f>
        <v>https://patents.google.com/patent/WO2017092904A1/en</v>
      </c>
    </row>
    <row r="13675" spans="3:5" x14ac:dyDescent="0.25">
      <c r="C13675" t="s">
        <v>25516</v>
      </c>
      <c r="D13675" t="s">
        <v>25517</v>
      </c>
      <c r="E13675" t="str">
        <f>HYPERLINK("https://patents.google.com/patent/JP2018055362A/en")</f>
        <v>https://patents.google.com/patent/JP2018055362A/en</v>
      </c>
    </row>
    <row r="13676" spans="3:5" x14ac:dyDescent="0.25">
      <c r="C13676" t="s">
        <v>25518</v>
      </c>
      <c r="D13676" t="s">
        <v>25519</v>
      </c>
      <c r="E13676" t="str">
        <f>HYPERLINK("https://patents.google.com/patent/JP2008310577A/en")</f>
        <v>https://patents.google.com/patent/JP2008310577A/en</v>
      </c>
    </row>
    <row r="13677" spans="3:5" x14ac:dyDescent="0.25">
      <c r="C13677" t="s">
        <v>25520</v>
      </c>
      <c r="D13677" t="s">
        <v>25521</v>
      </c>
      <c r="E13677" t="str">
        <f>HYPERLINK("https://patents.google.com/patent/CN106737872A/en")</f>
        <v>https://patents.google.com/patent/CN106737872A/en</v>
      </c>
    </row>
    <row r="13678" spans="3:5" x14ac:dyDescent="0.25">
      <c r="C13678" t="s">
        <v>25522</v>
      </c>
      <c r="D13678" t="s">
        <v>25523</v>
      </c>
      <c r="E13678" t="str">
        <f>HYPERLINK("https://patents.google.com/patent/JP2005037276A/en")</f>
        <v>https://patents.google.com/patent/JP2005037276A/en</v>
      </c>
    </row>
    <row r="13679" spans="3:5" x14ac:dyDescent="0.25">
      <c r="C13679" t="s">
        <v>25524</v>
      </c>
      <c r="D13679" t="s">
        <v>25525</v>
      </c>
      <c r="E13679" t="str">
        <f>HYPERLINK("https://patents.google.com/patent/JPH10257661A/en")</f>
        <v>https://patents.google.com/patent/JPH10257661A/en</v>
      </c>
    </row>
    <row r="13680" spans="3:5" x14ac:dyDescent="0.25">
      <c r="C13680" t="s">
        <v>25526</v>
      </c>
      <c r="D13680" t="s">
        <v>25527</v>
      </c>
      <c r="E13680" t="str">
        <f>HYPERLINK("https://patents.google.com/patent/JP2005123081A/en")</f>
        <v>https://patents.google.com/patent/JP2005123081A/en</v>
      </c>
    </row>
    <row r="13681" spans="3:5" x14ac:dyDescent="0.25">
      <c r="C13681" t="s">
        <v>25528</v>
      </c>
      <c r="D13681" t="s">
        <v>25529</v>
      </c>
      <c r="E13681" t="str">
        <f>HYPERLINK("https://patents.google.com/patent/ES2239612T3/en")</f>
        <v>https://patents.google.com/patent/ES2239612T3/en</v>
      </c>
    </row>
    <row r="13682" spans="3:5" x14ac:dyDescent="0.25">
      <c r="C13682" t="s">
        <v>25530</v>
      </c>
      <c r="D13682" t="s">
        <v>25531</v>
      </c>
      <c r="E13682" t="str">
        <f>HYPERLINK("https://patents.google.com/patent/US20160299506A1/en")</f>
        <v>https://patents.google.com/patent/US20160299506A1/en</v>
      </c>
    </row>
    <row r="13683" spans="3:5" x14ac:dyDescent="0.25">
      <c r="C13683" t="s">
        <v>25532</v>
      </c>
      <c r="D13683" t="s">
        <v>25533</v>
      </c>
      <c r="E13683" t="str">
        <f>HYPERLINK("https://patents.google.com/patent/JPH11211497A/en")</f>
        <v>https://patents.google.com/patent/JPH11211497A/en</v>
      </c>
    </row>
    <row r="13684" spans="3:5" x14ac:dyDescent="0.25">
      <c r="C13684" t="s">
        <v>25534</v>
      </c>
      <c r="D13684" t="s">
        <v>25535</v>
      </c>
      <c r="E13684" t="str">
        <f>HYPERLINK("https://patents.google.com/patent/JP2007052562A/en")</f>
        <v>https://patents.google.com/patent/JP2007052562A/en</v>
      </c>
    </row>
    <row r="13685" spans="3:5" x14ac:dyDescent="0.25">
      <c r="C13685" t="s">
        <v>25536</v>
      </c>
      <c r="D13685" t="s">
        <v>25537</v>
      </c>
      <c r="E13685" t="str">
        <f>HYPERLINK("https://patents.google.com/patent/DE102014214364A1/en")</f>
        <v>https://patents.google.com/patent/DE102014214364A1/en</v>
      </c>
    </row>
    <row r="13686" spans="3:5" x14ac:dyDescent="0.25">
      <c r="C13686" t="s">
        <v>25538</v>
      </c>
      <c r="D13686" t="s">
        <v>25539</v>
      </c>
      <c r="E13686" t="str">
        <f>HYPERLINK("https://patents.google.com/patent/DE102013110852A1/en")</f>
        <v>https://patents.google.com/patent/DE102013110852A1/en</v>
      </c>
    </row>
    <row r="13687" spans="3:5" x14ac:dyDescent="0.25">
      <c r="C13687" t="s">
        <v>25540</v>
      </c>
      <c r="D13687" t="s">
        <v>25541</v>
      </c>
      <c r="E13687" t="str">
        <f>HYPERLINK("https://patents.google.com/patent/CN202783759U/en")</f>
        <v>https://patents.google.com/patent/CN202783759U/en</v>
      </c>
    </row>
    <row r="13688" spans="3:5" x14ac:dyDescent="0.25">
      <c r="C13688" t="s">
        <v>25542</v>
      </c>
      <c r="D13688" t="s">
        <v>25543</v>
      </c>
      <c r="E13688" t="str">
        <f>HYPERLINK("https://patents.google.com/patent/US20160125470A1/en")</f>
        <v>https://patents.google.com/patent/US20160125470A1/en</v>
      </c>
    </row>
    <row r="13689" spans="3:5" x14ac:dyDescent="0.25">
      <c r="C13689" t="s">
        <v>25544</v>
      </c>
      <c r="D13689" t="s">
        <v>25545</v>
      </c>
      <c r="E13689" t="str">
        <f>HYPERLINK("https://patents.google.com/patent/FR2704845A1/en")</f>
        <v>https://patents.google.com/patent/FR2704845A1/en</v>
      </c>
    </row>
    <row r="13690" spans="3:5" x14ac:dyDescent="0.25">
      <c r="C13690" t="s">
        <v>25546</v>
      </c>
      <c r="D13690" t="s">
        <v>25547</v>
      </c>
      <c r="E13690" t="str">
        <f>HYPERLINK("https://patents.google.com/patent/FR2540322A1/en")</f>
        <v>https://patents.google.com/patent/FR2540322A1/en</v>
      </c>
    </row>
    <row r="13691" spans="3:5" x14ac:dyDescent="0.25">
      <c r="C13691" t="s">
        <v>25548</v>
      </c>
      <c r="D13691" t="s">
        <v>25549</v>
      </c>
      <c r="E13691" t="str">
        <f>HYPERLINK("https://patents.google.com/patent/EP2242011A1/en")</f>
        <v>https://patents.google.com/patent/EP2242011A1/en</v>
      </c>
    </row>
    <row r="13692" spans="3:5" x14ac:dyDescent="0.25">
      <c r="C13692" t="s">
        <v>25550</v>
      </c>
      <c r="D13692" t="s">
        <v>25551</v>
      </c>
      <c r="E13692" t="str">
        <f>HYPERLINK("https://patents.google.com/patent/EP1648143B1/en")</f>
        <v>https://patents.google.com/patent/EP1648143B1/en</v>
      </c>
    </row>
    <row r="13693" spans="3:5" x14ac:dyDescent="0.25">
      <c r="C13693" t="s">
        <v>25552</v>
      </c>
      <c r="D13693" t="s">
        <v>25553</v>
      </c>
      <c r="E13693" t="str">
        <f>HYPERLINK("https://patents.google.com/patent/KR101590007B1/en")</f>
        <v>https://patents.google.com/patent/KR101590007B1/en</v>
      </c>
    </row>
    <row r="13694" spans="3:5" x14ac:dyDescent="0.25">
      <c r="C13694" t="s">
        <v>25554</v>
      </c>
      <c r="D13694" t="s">
        <v>25555</v>
      </c>
      <c r="E13694" t="str">
        <f>HYPERLINK("https://patents.google.com/patent/EP0710938A2/en")</f>
        <v>https://patents.google.com/patent/EP0710938A2/en</v>
      </c>
    </row>
    <row r="13695" spans="3:5" x14ac:dyDescent="0.25">
      <c r="C13695" t="s">
        <v>25556</v>
      </c>
      <c r="D13695" t="s">
        <v>25557</v>
      </c>
      <c r="E13695" t="str">
        <f>HYPERLINK("https://patents.google.com/patent/US20100153009A1/en")</f>
        <v>https://patents.google.com/patent/US20100153009A1/en</v>
      </c>
    </row>
    <row r="13696" spans="3:5" x14ac:dyDescent="0.25">
      <c r="C13696" t="s">
        <v>25558</v>
      </c>
      <c r="D13696" t="s">
        <v>25559</v>
      </c>
      <c r="E13696" t="str">
        <f>HYPERLINK("https://patents.google.com/patent/JP2007333433A/en")</f>
        <v>https://patents.google.com/patent/JP2007333433A/en</v>
      </c>
    </row>
    <row r="13697" spans="3:5" x14ac:dyDescent="0.25">
      <c r="C13697" t="s">
        <v>25560</v>
      </c>
      <c r="D13697" t="s">
        <v>25561</v>
      </c>
      <c r="E13697" t="str">
        <f>HYPERLINK("https://patents.google.com/patent/CN104536456A/en")</f>
        <v>https://patents.google.com/patent/CN104536456A/en</v>
      </c>
    </row>
    <row r="13698" spans="3:5" x14ac:dyDescent="0.25">
      <c r="C13698" t="s">
        <v>25562</v>
      </c>
      <c r="D13698" t="s">
        <v>25563</v>
      </c>
      <c r="E13698" t="str">
        <f>HYPERLINK("https://patents.google.com/patent/FR2804994A1/en")</f>
        <v>https://patents.google.com/patent/FR2804994A1/en</v>
      </c>
    </row>
    <row r="13699" spans="3:5" x14ac:dyDescent="0.25">
      <c r="C13699" t="s">
        <v>25564</v>
      </c>
      <c r="D13699" t="s">
        <v>25565</v>
      </c>
      <c r="E13699" t="str">
        <f>HYPERLINK("https://patents.google.com/patent/DE102014223242A1/en")</f>
        <v>https://patents.google.com/patent/DE102014223242A1/en</v>
      </c>
    </row>
    <row r="13700" spans="3:5" x14ac:dyDescent="0.25">
      <c r="C13700" t="s">
        <v>25566</v>
      </c>
      <c r="D13700" t="s">
        <v>25567</v>
      </c>
      <c r="E13700" t="str">
        <f>HYPERLINK("https://patents.google.com/patent/CN104914866A/en")</f>
        <v>https://patents.google.com/patent/CN104914866A/en</v>
      </c>
    </row>
    <row r="13701" spans="3:5" x14ac:dyDescent="0.25">
      <c r="C13701" t="s">
        <v>25568</v>
      </c>
      <c r="D13701" t="s">
        <v>25569</v>
      </c>
      <c r="E13701" t="str">
        <f>HYPERLINK("https://patents.google.com/patent/CN1701813A/en")</f>
        <v>https://patents.google.com/patent/CN1701813A/en</v>
      </c>
    </row>
    <row r="13702" spans="3:5" x14ac:dyDescent="0.25">
      <c r="C13702" t="s">
        <v>23013</v>
      </c>
      <c r="D13702" t="s">
        <v>25570</v>
      </c>
      <c r="E13702" t="str">
        <f>HYPERLINK("https://patents.google.com/patent/US20120186921A1/en")</f>
        <v>https://patents.google.com/patent/US20120186921A1/en</v>
      </c>
    </row>
    <row r="13703" spans="3:5" x14ac:dyDescent="0.25">
      <c r="C13703" t="s">
        <v>25571</v>
      </c>
      <c r="D13703" t="s">
        <v>25572</v>
      </c>
      <c r="E13703" t="str">
        <f>HYPERLINK("https://patents.google.com/patent/WO2005020602A2/en")</f>
        <v>https://patents.google.com/patent/WO2005020602A2/en</v>
      </c>
    </row>
    <row r="13704" spans="3:5" x14ac:dyDescent="0.25">
      <c r="C13704" t="s">
        <v>25573</v>
      </c>
      <c r="D13704" t="s">
        <v>25574</v>
      </c>
      <c r="E13704" t="str">
        <f>HYPERLINK("https://patents.google.com/patent/CN205942444U/en")</f>
        <v>https://patents.google.com/patent/CN205942444U/en</v>
      </c>
    </row>
    <row r="13705" spans="3:5" x14ac:dyDescent="0.25">
      <c r="C13705" t="s">
        <v>25575</v>
      </c>
      <c r="D13705" t="s">
        <v>25576</v>
      </c>
      <c r="E13705" t="str">
        <f>HYPERLINK("https://patents.google.com/patent/CN1094607C/en")</f>
        <v>https://patents.google.com/patent/CN1094607C/en</v>
      </c>
    </row>
    <row r="13706" spans="3:5" x14ac:dyDescent="0.25">
      <c r="C13706" t="s">
        <v>25577</v>
      </c>
      <c r="D13706" t="s">
        <v>25578</v>
      </c>
      <c r="E13706" t="str">
        <f>HYPERLINK("https://patents.google.com/patent/EP2487652A1/en")</f>
        <v>https://patents.google.com/patent/EP2487652A1/en</v>
      </c>
    </row>
    <row r="13707" spans="3:5" x14ac:dyDescent="0.25">
      <c r="C13707" t="s">
        <v>25579</v>
      </c>
      <c r="D13707" t="s">
        <v>25580</v>
      </c>
      <c r="E13707" t="str">
        <f>HYPERLINK("https://patents.google.com/patent/CN202126764U/en")</f>
        <v>https://patents.google.com/patent/CN202126764U/en</v>
      </c>
    </row>
    <row r="13708" spans="3:5" x14ac:dyDescent="0.25">
      <c r="C13708" t="s">
        <v>25581</v>
      </c>
      <c r="D13708" t="s">
        <v>25582</v>
      </c>
      <c r="E13708" t="str">
        <f>HYPERLINK("https://patents.google.com/patent/US20140207959A1/en")</f>
        <v>https://patents.google.com/patent/US20140207959A1/en</v>
      </c>
    </row>
    <row r="13709" spans="3:5" x14ac:dyDescent="0.25">
      <c r="C13709" t="s">
        <v>25583</v>
      </c>
      <c r="D13709" t="s">
        <v>25584</v>
      </c>
      <c r="E13709" t="str">
        <f>HYPERLINK("https://patents.google.com/patent/CN103057678A/en")</f>
        <v>https://patents.google.com/patent/CN103057678A/en</v>
      </c>
    </row>
    <row r="13710" spans="3:5" x14ac:dyDescent="0.25">
      <c r="C13710" t="s">
        <v>25585</v>
      </c>
      <c r="D13710" t="s">
        <v>25586</v>
      </c>
      <c r="E13710" t="str">
        <f>HYPERLINK("https://patents.google.com/patent/BE382158A/en")</f>
        <v>https://patents.google.com/patent/BE382158A/en</v>
      </c>
    </row>
    <row r="13711" spans="3:5" x14ac:dyDescent="0.25">
      <c r="C13711" t="s">
        <v>25587</v>
      </c>
      <c r="D13711" t="s">
        <v>25588</v>
      </c>
      <c r="E13711" t="str">
        <f>HYPERLINK("https://patents.google.com/patent/CN101578367B/en")</f>
        <v>https://patents.google.com/patent/CN101578367B/en</v>
      </c>
    </row>
    <row r="13712" spans="3:5" x14ac:dyDescent="0.25">
      <c r="C13712" t="s">
        <v>25589</v>
      </c>
      <c r="D13712" t="s">
        <v>25590</v>
      </c>
      <c r="E13712" t="str">
        <f>HYPERLINK("https://patents.google.com/patent/CN103589717B/en")</f>
        <v>https://patents.google.com/patent/CN103589717B/en</v>
      </c>
    </row>
    <row r="13713" spans="1:5" x14ac:dyDescent="0.25">
      <c r="C13713" t="s">
        <v>25591</v>
      </c>
      <c r="D13713" t="s">
        <v>25592</v>
      </c>
      <c r="E13713" t="str">
        <f>HYPERLINK("https://patents.google.com/patent/ES2529717T3/en")</f>
        <v>https://patents.google.com/patent/ES2529717T3/en</v>
      </c>
    </row>
    <row r="13714" spans="1:5" x14ac:dyDescent="0.25">
      <c r="C13714" t="s">
        <v>25593</v>
      </c>
      <c r="D13714" t="s">
        <v>25594</v>
      </c>
      <c r="E13714" t="str">
        <f>HYPERLINK("https://patents.google.com/patent/ES2532835T3/en")</f>
        <v>https://patents.google.com/patent/ES2532835T3/en</v>
      </c>
    </row>
    <row r="13715" spans="1:5" x14ac:dyDescent="0.25">
      <c r="C13715" t="s">
        <v>25595</v>
      </c>
      <c r="D13715" t="s">
        <v>25596</v>
      </c>
      <c r="E13715" t="str">
        <f>HYPERLINK("https://patents.google.com/patent/KR101774752B1/en")</f>
        <v>https://patents.google.com/patent/KR101774752B1/en</v>
      </c>
    </row>
    <row r="13716" spans="1:5" x14ac:dyDescent="0.25">
      <c r="C13716" t="s">
        <v>25597</v>
      </c>
      <c r="D13716" t="s">
        <v>25598</v>
      </c>
      <c r="E13716" t="str">
        <f>HYPERLINK("https://patents.google.com/patent/US10013486B2/en")</f>
        <v>https://patents.google.com/patent/US10013486B2/en</v>
      </c>
    </row>
    <row r="13717" spans="1:5" x14ac:dyDescent="0.25">
      <c r="C13717" t="s">
        <v>25599</v>
      </c>
      <c r="D13717" t="s">
        <v>25600</v>
      </c>
      <c r="E13717" t="str">
        <f>HYPERLINK("https://patents.google.com/patent/CN1409925A/en")</f>
        <v>https://patents.google.com/patent/CN1409925A/en</v>
      </c>
    </row>
    <row r="13718" spans="1:5" x14ac:dyDescent="0.25">
      <c r="C13718" t="s">
        <v>22562</v>
      </c>
      <c r="D13718" t="s">
        <v>25601</v>
      </c>
      <c r="E13718" t="str">
        <f>HYPERLINK("https://patents.google.com/patent/JP5505035B2/en")</f>
        <v>https://patents.google.com/patent/JP5505035B2/en</v>
      </c>
    </row>
    <row r="13719" spans="1:5" x14ac:dyDescent="0.25">
      <c r="C13719" t="s">
        <v>25602</v>
      </c>
      <c r="D13719" t="s">
        <v>25603</v>
      </c>
      <c r="E13719" t="str">
        <f>HYPERLINK("https://patents.google.com/patent/KR101647567B1/en")</f>
        <v>https://patents.google.com/patent/KR101647567B1/en</v>
      </c>
    </row>
    <row r="13720" spans="1:5" x14ac:dyDescent="0.25">
      <c r="C13720" t="s">
        <v>25604</v>
      </c>
      <c r="D13720" t="s">
        <v>25605</v>
      </c>
      <c r="E13720" t="str">
        <f>HYPERLINK("https://patents.google.com/patent/FR2765374A1/en")</f>
        <v>https://patents.google.com/patent/FR2765374A1/en</v>
      </c>
    </row>
    <row r="13721" spans="1:5" x14ac:dyDescent="0.25">
      <c r="C13721" t="s">
        <v>25606</v>
      </c>
      <c r="D13721" t="s">
        <v>25607</v>
      </c>
      <c r="E13721" t="str">
        <f>HYPERLINK("https://patents.google.com/patent/EP0278853A1/fr")</f>
        <v>https://patents.google.com/patent/EP0278853A1/fr</v>
      </c>
    </row>
    <row r="13722" spans="1:5" x14ac:dyDescent="0.25">
      <c r="C13722" t="s">
        <v>25608</v>
      </c>
      <c r="D13722" t="s">
        <v>25609</v>
      </c>
      <c r="E13722" t="str">
        <f>HYPERLINK("https://patents.google.com/patent/EP1333345A1/fr")</f>
        <v>https://patents.google.com/patent/EP1333345A1/fr</v>
      </c>
    </row>
    <row r="13723" spans="1:5" x14ac:dyDescent="0.25">
      <c r="C13723" t="s">
        <v>25610</v>
      </c>
      <c r="D13723" t="s">
        <v>25611</v>
      </c>
      <c r="E13723" t="str">
        <f>HYPERLINK("https://patents.google.com/patent/EP1003088A1/fr")</f>
        <v>https://patents.google.com/patent/EP1003088A1/fr</v>
      </c>
    </row>
    <row r="13724" spans="1:5" x14ac:dyDescent="0.25">
      <c r="C13724" t="s">
        <v>25612</v>
      </c>
      <c r="D13724" t="s">
        <v>25613</v>
      </c>
      <c r="E13724" t="str">
        <f>HYPERLINK("https://patents.google.com/patent/EP0913702A1/fr")</f>
        <v>https://patents.google.com/patent/EP0913702A1/fr</v>
      </c>
    </row>
    <row r="13725" spans="1:5" x14ac:dyDescent="0.25">
      <c r="A13725" t="s">
        <v>4316</v>
      </c>
      <c r="B13725">
        <v>621</v>
      </c>
    </row>
    <row r="13726" spans="1:5" x14ac:dyDescent="0.25">
      <c r="C13726" t="s">
        <v>25614</v>
      </c>
      <c r="D13726" t="s">
        <v>25615</v>
      </c>
      <c r="E13726" t="str">
        <f>HYPERLINK("https://patents.google.com/patent/US7908645B2/en")</f>
        <v>https://patents.google.com/patent/US7908645B2/en</v>
      </c>
    </row>
    <row r="13727" spans="1:5" x14ac:dyDescent="0.25">
      <c r="C13727" t="s">
        <v>14262</v>
      </c>
      <c r="D13727" t="s">
        <v>25616</v>
      </c>
      <c r="E13727" t="str">
        <f>HYPERLINK("https://patents.google.com/patent/US4638445A/en")</f>
        <v>https://patents.google.com/patent/US4638445A/en</v>
      </c>
    </row>
    <row r="13728" spans="1:5" x14ac:dyDescent="0.25">
      <c r="C13728" t="s">
        <v>25617</v>
      </c>
      <c r="D13728" t="s">
        <v>25618</v>
      </c>
      <c r="E13728" t="str">
        <f>HYPERLINK("https://patents.google.com/patent/US7185075B1/en")</f>
        <v>https://patents.google.com/patent/US7185075B1/en</v>
      </c>
    </row>
    <row r="13729" spans="3:5" x14ac:dyDescent="0.25">
      <c r="C13729" t="s">
        <v>25619</v>
      </c>
      <c r="D13729" t="s">
        <v>25620</v>
      </c>
      <c r="E13729" t="str">
        <f>HYPERLINK("https://patents.google.com/patent/US5978804A/en")</f>
        <v>https://patents.google.com/patent/US5978804A/en</v>
      </c>
    </row>
    <row r="13730" spans="3:5" x14ac:dyDescent="0.25">
      <c r="C13730" t="s">
        <v>25621</v>
      </c>
      <c r="D13730" t="s">
        <v>25622</v>
      </c>
      <c r="E13730" t="str">
        <f>HYPERLINK("https://patents.google.com/patent/US6965205B2/en")</f>
        <v>https://patents.google.com/patent/US6965205B2/en</v>
      </c>
    </row>
    <row r="13731" spans="3:5" x14ac:dyDescent="0.25">
      <c r="C13731" t="s">
        <v>25623</v>
      </c>
      <c r="D13731" t="s">
        <v>25624</v>
      </c>
      <c r="E13731" t="str">
        <f>HYPERLINK("https://patents.google.com/patent/US7055168B1/en")</f>
        <v>https://patents.google.com/patent/US7055168B1/en</v>
      </c>
    </row>
    <row r="13732" spans="3:5" x14ac:dyDescent="0.25">
      <c r="C13732" t="s">
        <v>25625</v>
      </c>
      <c r="D13732" t="s">
        <v>25626</v>
      </c>
      <c r="E13732" t="str">
        <f>HYPERLINK("https://patents.google.com/patent/US6426947B1/en")</f>
        <v>https://patents.google.com/patent/US6426947B1/en</v>
      </c>
    </row>
    <row r="13733" spans="3:5" x14ac:dyDescent="0.25">
      <c r="C13733" t="s">
        <v>25627</v>
      </c>
      <c r="D13733" t="s">
        <v>25628</v>
      </c>
      <c r="E13733" t="str">
        <f>HYPERLINK("https://patents.google.com/patent/US7630986B1/en")</f>
        <v>https://patents.google.com/patent/US7630986B1/en</v>
      </c>
    </row>
    <row r="13734" spans="3:5" x14ac:dyDescent="0.25">
      <c r="C13734" t="s">
        <v>25629</v>
      </c>
      <c r="D13734" t="s">
        <v>25630</v>
      </c>
      <c r="E13734" t="str">
        <f>HYPERLINK("https://patents.google.com/patent/US7550935B2/en")</f>
        <v>https://patents.google.com/patent/US7550935B2/en</v>
      </c>
    </row>
    <row r="13735" spans="3:5" x14ac:dyDescent="0.25">
      <c r="C13735" t="s">
        <v>25621</v>
      </c>
      <c r="D13735" t="s">
        <v>25631</v>
      </c>
      <c r="E13735" t="str">
        <f>HYPERLINK("https://patents.google.com/patent/US7161313B2/en")</f>
        <v>https://patents.google.com/patent/US7161313B2/en</v>
      </c>
    </row>
    <row r="13736" spans="3:5" x14ac:dyDescent="0.25">
      <c r="C13736" t="s">
        <v>25632</v>
      </c>
      <c r="D13736" t="s">
        <v>25633</v>
      </c>
      <c r="E13736" t="str">
        <f>HYPERLINK("https://patents.google.com/patent/US6681115B1/en")</f>
        <v>https://patents.google.com/patent/US6681115B1/en</v>
      </c>
    </row>
    <row r="13737" spans="3:5" x14ac:dyDescent="0.25">
      <c r="C13737" t="s">
        <v>25625</v>
      </c>
      <c r="D13737" t="s">
        <v>25634</v>
      </c>
      <c r="E13737" t="str">
        <f>HYPERLINK("https://patents.google.com/patent/US6847614B2/en")</f>
        <v>https://patents.google.com/patent/US6847614B2/en</v>
      </c>
    </row>
    <row r="13738" spans="3:5" x14ac:dyDescent="0.25">
      <c r="C13738" t="s">
        <v>25635</v>
      </c>
      <c r="D13738" t="s">
        <v>25636</v>
      </c>
      <c r="E13738" t="str">
        <f>HYPERLINK("https://patents.google.com/patent/US6687498B2/en")</f>
        <v>https://patents.google.com/patent/US6687498B2/en</v>
      </c>
    </row>
    <row r="13739" spans="3:5" x14ac:dyDescent="0.25">
      <c r="C13739" t="s">
        <v>25637</v>
      </c>
      <c r="D13739" t="s">
        <v>25638</v>
      </c>
      <c r="E13739" t="str">
        <f>HYPERLINK("https://patents.google.com/patent/CN108198099A/en")</f>
        <v>https://patents.google.com/patent/CN108198099A/en</v>
      </c>
    </row>
    <row r="13740" spans="3:5" x14ac:dyDescent="0.25">
      <c r="C13740" t="s">
        <v>25639</v>
      </c>
      <c r="D13740" t="s">
        <v>25640</v>
      </c>
      <c r="E13740" t="str">
        <f>HYPERLINK("https://patents.google.com/patent/US6574979B2/en")</f>
        <v>https://patents.google.com/patent/US6574979B2/en</v>
      </c>
    </row>
    <row r="13741" spans="3:5" x14ac:dyDescent="0.25">
      <c r="C13741" t="s">
        <v>25641</v>
      </c>
      <c r="D13741" t="s">
        <v>25642</v>
      </c>
      <c r="E13741" t="str">
        <f>HYPERLINK("https://patents.google.com/patent/US7113934B2/en")</f>
        <v>https://patents.google.com/patent/US7113934B2/en</v>
      </c>
    </row>
    <row r="13742" spans="3:5" x14ac:dyDescent="0.25">
      <c r="C13742" t="s">
        <v>25643</v>
      </c>
      <c r="D13742" t="s">
        <v>25644</v>
      </c>
      <c r="E13742" t="str">
        <f>HYPERLINK("https://patents.google.com/patent/US5623878A/en")</f>
        <v>https://patents.google.com/patent/US5623878A/en</v>
      </c>
    </row>
    <row r="13743" spans="3:5" x14ac:dyDescent="0.25">
      <c r="C13743" t="s">
        <v>25645</v>
      </c>
      <c r="D13743" t="s">
        <v>25646</v>
      </c>
      <c r="E13743" t="str">
        <f>HYPERLINK("https://patents.google.com/patent/US6473704B1/en")</f>
        <v>https://patents.google.com/patent/US6473704B1/en</v>
      </c>
    </row>
    <row r="13744" spans="3:5" x14ac:dyDescent="0.25">
      <c r="C13744" t="s">
        <v>25647</v>
      </c>
      <c r="D13744" t="s">
        <v>25648</v>
      </c>
      <c r="E13744" t="str">
        <f>HYPERLINK("https://patents.google.com/patent/US5486112A/en")</f>
        <v>https://patents.google.com/patent/US5486112A/en</v>
      </c>
    </row>
    <row r="13745" spans="3:5" x14ac:dyDescent="0.25">
      <c r="C13745" t="s">
        <v>21792</v>
      </c>
      <c r="D13745" t="s">
        <v>25649</v>
      </c>
      <c r="E13745" t="str">
        <f>HYPERLINK("https://patents.google.com/patent/CN100501719C/en")</f>
        <v>https://patents.google.com/patent/CN100501719C/en</v>
      </c>
    </row>
    <row r="13746" spans="3:5" x14ac:dyDescent="0.25">
      <c r="C13746" t="s">
        <v>25650</v>
      </c>
      <c r="D13746" t="s">
        <v>25651</v>
      </c>
      <c r="E13746" t="str">
        <f>HYPERLINK("https://patents.google.com/patent/CN106709828A/en")</f>
        <v>https://patents.google.com/patent/CN106709828A/en</v>
      </c>
    </row>
    <row r="13747" spans="3:5" x14ac:dyDescent="0.25">
      <c r="C13747" t="s">
        <v>25652</v>
      </c>
      <c r="D13747" t="s">
        <v>25653</v>
      </c>
      <c r="E13747" t="str">
        <f>HYPERLINK("https://patents.google.com/patent/US7363359B1/en")</f>
        <v>https://patents.google.com/patent/US7363359B1/en</v>
      </c>
    </row>
    <row r="13748" spans="3:5" x14ac:dyDescent="0.25">
      <c r="C13748" t="s">
        <v>25654</v>
      </c>
      <c r="D13748" t="s">
        <v>25655</v>
      </c>
      <c r="E13748" t="str">
        <f>HYPERLINK("https://patents.google.com/patent/US7366989B2/en")</f>
        <v>https://patents.google.com/patent/US7366989B2/en</v>
      </c>
    </row>
    <row r="13749" spans="3:5" x14ac:dyDescent="0.25">
      <c r="C13749" t="s">
        <v>25656</v>
      </c>
      <c r="D13749" t="s">
        <v>25657</v>
      </c>
      <c r="E13749" t="str">
        <f>HYPERLINK("https://patents.google.com/patent/US6450452B1/en")</f>
        <v>https://patents.google.com/patent/US6450452B1/en</v>
      </c>
    </row>
    <row r="13750" spans="3:5" x14ac:dyDescent="0.25">
      <c r="C13750" t="s">
        <v>25658</v>
      </c>
      <c r="D13750" t="s">
        <v>25659</v>
      </c>
      <c r="E13750" t="str">
        <f>HYPERLINK("https://patents.google.com/patent/US20020059584A1/en")</f>
        <v>https://patents.google.com/patent/US20020059584A1/en</v>
      </c>
    </row>
    <row r="13751" spans="3:5" x14ac:dyDescent="0.25">
      <c r="C13751" t="s">
        <v>25660</v>
      </c>
      <c r="D13751" t="s">
        <v>25661</v>
      </c>
      <c r="E13751" t="str">
        <f>HYPERLINK("https://patents.google.com/patent/US20110208822A1/en")</f>
        <v>https://patents.google.com/patent/US20110208822A1/en</v>
      </c>
    </row>
    <row r="13752" spans="3:5" x14ac:dyDescent="0.25">
      <c r="C13752" t="s">
        <v>19596</v>
      </c>
      <c r="D13752" t="s">
        <v>25662</v>
      </c>
      <c r="E13752" t="str">
        <f>HYPERLINK("https://patents.google.com/patent/US20050244858A1/en")</f>
        <v>https://patents.google.com/patent/US20050244858A1/en</v>
      </c>
    </row>
    <row r="13753" spans="3:5" x14ac:dyDescent="0.25">
      <c r="C13753" t="s">
        <v>25663</v>
      </c>
      <c r="D13753" t="s">
        <v>25664</v>
      </c>
      <c r="E13753" t="str">
        <f>HYPERLINK("https://patents.google.com/patent/US20070033072A1/en")</f>
        <v>https://patents.google.com/patent/US20070033072A1/en</v>
      </c>
    </row>
    <row r="13754" spans="3:5" x14ac:dyDescent="0.25">
      <c r="C13754" t="s">
        <v>25658</v>
      </c>
      <c r="D13754" t="s">
        <v>25665</v>
      </c>
      <c r="E13754" t="str">
        <f>HYPERLINK("https://patents.google.com/patent/US20030061610A1/en")</f>
        <v>https://patents.google.com/patent/US20030061610A1/en</v>
      </c>
    </row>
    <row r="13755" spans="3:5" x14ac:dyDescent="0.25">
      <c r="C13755" t="s">
        <v>25666</v>
      </c>
      <c r="D13755" t="s">
        <v>25667</v>
      </c>
      <c r="E13755" t="str">
        <f>HYPERLINK("https://patents.google.com/patent/US20040255150A1/en")</f>
        <v>https://patents.google.com/patent/US20040255150A1/en</v>
      </c>
    </row>
    <row r="13756" spans="3:5" x14ac:dyDescent="0.25">
      <c r="C13756" t="s">
        <v>25658</v>
      </c>
      <c r="D13756" t="s">
        <v>25668</v>
      </c>
      <c r="E13756" t="str">
        <f>HYPERLINK("https://patents.google.com/patent/US20030206710A1/en")</f>
        <v>https://patents.google.com/patent/US20030206710A1/en</v>
      </c>
    </row>
    <row r="13757" spans="3:5" x14ac:dyDescent="0.25">
      <c r="C13757" t="s">
        <v>25669</v>
      </c>
      <c r="D13757" t="s">
        <v>25670</v>
      </c>
      <c r="E13757" t="str">
        <f>HYPERLINK("https://patents.google.com/patent/CN102152688A/en")</f>
        <v>https://patents.google.com/patent/CN102152688A/en</v>
      </c>
    </row>
    <row r="13758" spans="3:5" x14ac:dyDescent="0.25">
      <c r="C13758" t="s">
        <v>25671</v>
      </c>
      <c r="D13758" t="s">
        <v>25672</v>
      </c>
      <c r="E13758" t="str">
        <f>HYPERLINK("https://patents.google.com/patent/US20140136187A1/en")</f>
        <v>https://patents.google.com/patent/US20140136187A1/en</v>
      </c>
    </row>
    <row r="13759" spans="3:5" x14ac:dyDescent="0.25">
      <c r="C13759" t="s">
        <v>25673</v>
      </c>
      <c r="D13759" t="s">
        <v>25674</v>
      </c>
      <c r="E13759" t="str">
        <f>HYPERLINK("https://patents.google.com/patent/US20050209776A1/en")</f>
        <v>https://patents.google.com/patent/US20050209776A1/en</v>
      </c>
    </row>
    <row r="13760" spans="3:5" x14ac:dyDescent="0.25">
      <c r="C13760" t="s">
        <v>25675</v>
      </c>
      <c r="D13760" t="s">
        <v>25676</v>
      </c>
      <c r="E13760" t="str">
        <f>HYPERLINK("https://patents.google.com/patent/US20080154495A1/en")</f>
        <v>https://patents.google.com/patent/US20080154495A1/en</v>
      </c>
    </row>
    <row r="13761" spans="3:5" x14ac:dyDescent="0.25">
      <c r="C13761" t="s">
        <v>25666</v>
      </c>
      <c r="D13761" t="s">
        <v>25677</v>
      </c>
      <c r="E13761" t="str">
        <f>HYPERLINK("https://patents.google.com/patent/US8028314B1/en")</f>
        <v>https://patents.google.com/patent/US8028314B1/en</v>
      </c>
    </row>
    <row r="13762" spans="3:5" x14ac:dyDescent="0.25">
      <c r="C13762" t="s">
        <v>25678</v>
      </c>
      <c r="D13762" t="s">
        <v>25679</v>
      </c>
      <c r="E13762" t="str">
        <f>HYPERLINK("https://patents.google.com/patent/US20120092191A1/en")</f>
        <v>https://patents.google.com/patent/US20120092191A1/en</v>
      </c>
    </row>
    <row r="13763" spans="3:5" x14ac:dyDescent="0.25">
      <c r="C13763" t="s">
        <v>25680</v>
      </c>
      <c r="D13763" t="s">
        <v>25681</v>
      </c>
      <c r="E13763" t="str">
        <f>HYPERLINK("https://patents.google.com/patent/US20160364823A1/en")</f>
        <v>https://patents.google.com/patent/US20160364823A1/en</v>
      </c>
    </row>
    <row r="13764" spans="3:5" x14ac:dyDescent="0.25">
      <c r="C13764" t="s">
        <v>25682</v>
      </c>
      <c r="D13764" t="s">
        <v>25683</v>
      </c>
      <c r="E13764" t="str">
        <f>HYPERLINK("https://patents.google.com/patent/US20070095909A1/en")</f>
        <v>https://patents.google.com/patent/US20070095909A1/en</v>
      </c>
    </row>
    <row r="13765" spans="3:5" x14ac:dyDescent="0.25">
      <c r="C13765" t="s">
        <v>25684</v>
      </c>
      <c r="D13765" t="s">
        <v>25685</v>
      </c>
      <c r="E13765" t="str">
        <f>HYPERLINK("https://patents.google.com/patent/US20140335497A1/en")</f>
        <v>https://patents.google.com/patent/US20140335497A1/en</v>
      </c>
    </row>
    <row r="13766" spans="3:5" x14ac:dyDescent="0.25">
      <c r="C13766" t="s">
        <v>25686</v>
      </c>
      <c r="D13766" t="s">
        <v>25687</v>
      </c>
      <c r="E13766" t="str">
        <f>HYPERLINK("https://patents.google.com/patent/JP2002245079A/en")</f>
        <v>https://patents.google.com/patent/JP2002245079A/en</v>
      </c>
    </row>
    <row r="13767" spans="3:5" x14ac:dyDescent="0.25">
      <c r="C13767" t="s">
        <v>25621</v>
      </c>
      <c r="D13767" t="s">
        <v>25688</v>
      </c>
      <c r="E13767" t="str">
        <f>HYPERLINK("https://patents.google.com/patent/WO2003026358A1/en")</f>
        <v>https://patents.google.com/patent/WO2003026358A1/en</v>
      </c>
    </row>
    <row r="13768" spans="3:5" x14ac:dyDescent="0.25">
      <c r="C13768" t="s">
        <v>25689</v>
      </c>
      <c r="D13768" t="s">
        <v>25690</v>
      </c>
      <c r="E13768" t="str">
        <f>HYPERLINK("https://patents.google.com/patent/US20110125850A1/en")</f>
        <v>https://patents.google.com/patent/US20110125850A1/en</v>
      </c>
    </row>
    <row r="13769" spans="3:5" x14ac:dyDescent="0.25">
      <c r="C13769" t="s">
        <v>25691</v>
      </c>
      <c r="D13769" t="s">
        <v>25692</v>
      </c>
      <c r="E13769" t="str">
        <f>HYPERLINK("https://patents.google.com/patent/US20040160141A1/en")</f>
        <v>https://patents.google.com/patent/US20040160141A1/en</v>
      </c>
    </row>
    <row r="13770" spans="3:5" x14ac:dyDescent="0.25">
      <c r="C13770" t="s">
        <v>25693</v>
      </c>
      <c r="D13770" t="s">
        <v>25694</v>
      </c>
      <c r="E13770" t="str">
        <f>HYPERLINK("https://patents.google.com/patent/WO2005035778A1/en")</f>
        <v>https://patents.google.com/patent/WO2005035778A1/en</v>
      </c>
    </row>
    <row r="13771" spans="3:5" x14ac:dyDescent="0.25">
      <c r="C13771" t="s">
        <v>25695</v>
      </c>
      <c r="D13771" t="s">
        <v>25696</v>
      </c>
      <c r="E13771" t="str">
        <f>HYPERLINK("https://patents.google.com/patent/WO2014018423A2/en")</f>
        <v>https://patents.google.com/patent/WO2014018423A2/en</v>
      </c>
    </row>
    <row r="13772" spans="3:5" x14ac:dyDescent="0.25">
      <c r="C13772" t="s">
        <v>25697</v>
      </c>
      <c r="D13772" t="s">
        <v>25698</v>
      </c>
      <c r="E13772" t="str">
        <f>HYPERLINK("https://patents.google.com/patent/WO2007089607A2/en")</f>
        <v>https://patents.google.com/patent/WO2007089607A2/en</v>
      </c>
    </row>
    <row r="13773" spans="3:5" x14ac:dyDescent="0.25">
      <c r="C13773" t="s">
        <v>25699</v>
      </c>
      <c r="D13773" t="s">
        <v>25700</v>
      </c>
      <c r="E13773" t="str">
        <f>HYPERLINK("https://patents.google.com/patent/US20080263595A1/en")</f>
        <v>https://patents.google.com/patent/US20080263595A1/en</v>
      </c>
    </row>
    <row r="13774" spans="3:5" x14ac:dyDescent="0.25">
      <c r="C13774" t="s">
        <v>25701</v>
      </c>
      <c r="D13774" t="s">
        <v>25702</v>
      </c>
      <c r="E13774" t="str">
        <f>HYPERLINK("https://patents.google.com/patent/US20140359647A1/en")</f>
        <v>https://patents.google.com/patent/US20140359647A1/en</v>
      </c>
    </row>
    <row r="13775" spans="3:5" x14ac:dyDescent="0.25">
      <c r="C13775" t="s">
        <v>25703</v>
      </c>
      <c r="D13775" t="s">
        <v>25704</v>
      </c>
      <c r="E13775" t="str">
        <f>HYPERLINK("https://patents.google.com/patent/US20090105558A1/en")</f>
        <v>https://patents.google.com/patent/US20090105558A1/en</v>
      </c>
    </row>
    <row r="13776" spans="3:5" x14ac:dyDescent="0.25">
      <c r="C13776" t="s">
        <v>25705</v>
      </c>
      <c r="D13776" t="s">
        <v>25706</v>
      </c>
      <c r="E13776" t="str">
        <f>HYPERLINK("https://patents.google.com/patent/US20080009984A1/en")</f>
        <v>https://patents.google.com/patent/US20080009984A1/en</v>
      </c>
    </row>
    <row r="13777" spans="3:5" x14ac:dyDescent="0.25">
      <c r="C13777" t="s">
        <v>25707</v>
      </c>
      <c r="D13777" t="s">
        <v>25708</v>
      </c>
      <c r="E13777" t="str">
        <f>HYPERLINK("https://patents.google.com/patent/US5443076A/en")</f>
        <v>https://patents.google.com/patent/US5443076A/en</v>
      </c>
    </row>
    <row r="13778" spans="3:5" x14ac:dyDescent="0.25">
      <c r="C13778" t="s">
        <v>25709</v>
      </c>
      <c r="D13778" t="s">
        <v>25710</v>
      </c>
      <c r="E13778" t="str">
        <f>HYPERLINK("https://patents.google.com/patent/WO2001088100A1/en")</f>
        <v>https://patents.google.com/patent/WO2001088100A1/en</v>
      </c>
    </row>
    <row r="13779" spans="3:5" x14ac:dyDescent="0.25">
      <c r="C13779" t="s">
        <v>25711</v>
      </c>
      <c r="D13779" t="s">
        <v>25712</v>
      </c>
      <c r="E13779" t="str">
        <f>HYPERLINK("https://patents.google.com/patent/US20070239856A1/en")</f>
        <v>https://patents.google.com/patent/US20070239856A1/en</v>
      </c>
    </row>
    <row r="13780" spans="3:5" x14ac:dyDescent="0.25">
      <c r="C13780" t="s">
        <v>25713</v>
      </c>
      <c r="D13780" t="s">
        <v>25714</v>
      </c>
      <c r="E13780" t="str">
        <f>HYPERLINK("https://patents.google.com/patent/US20070050262A1/en")</f>
        <v>https://patents.google.com/patent/US20070050262A1/en</v>
      </c>
    </row>
    <row r="13781" spans="3:5" x14ac:dyDescent="0.25">
      <c r="C13781" t="s">
        <v>25715</v>
      </c>
      <c r="D13781" t="s">
        <v>25716</v>
      </c>
      <c r="E13781" t="str">
        <f>HYPERLINK("https://patents.google.com/patent/US7673319B1/en")</f>
        <v>https://patents.google.com/patent/US7673319B1/en</v>
      </c>
    </row>
    <row r="13782" spans="3:5" x14ac:dyDescent="0.25">
      <c r="C13782" t="s">
        <v>25717</v>
      </c>
      <c r="D13782" t="s">
        <v>25718</v>
      </c>
      <c r="E13782" t="str">
        <f>HYPERLINK("https://patents.google.com/patent/US6598703B1/en")</f>
        <v>https://patents.google.com/patent/US6598703B1/en</v>
      </c>
    </row>
    <row r="13783" spans="3:5" x14ac:dyDescent="0.25">
      <c r="C13783" t="s">
        <v>25719</v>
      </c>
      <c r="D13783" t="s">
        <v>25720</v>
      </c>
      <c r="E13783" t="str">
        <f>HYPERLINK("https://patents.google.com/patent/JP2002148061A/en")</f>
        <v>https://patents.google.com/patent/JP2002148061A/en</v>
      </c>
    </row>
    <row r="13784" spans="3:5" x14ac:dyDescent="0.25">
      <c r="C13784" t="s">
        <v>25721</v>
      </c>
      <c r="D13784" t="s">
        <v>25722</v>
      </c>
      <c r="E13784" t="str">
        <f>HYPERLINK("https://patents.google.com/patent/JPH1089989A/en")</f>
        <v>https://patents.google.com/patent/JPH1089989A/en</v>
      </c>
    </row>
    <row r="13785" spans="3:5" x14ac:dyDescent="0.25">
      <c r="C13785" t="s">
        <v>25723</v>
      </c>
      <c r="D13785" t="s">
        <v>25724</v>
      </c>
      <c r="E13785" t="str">
        <f>HYPERLINK("https://patents.google.com/patent/US20030202645A1/en")</f>
        <v>https://patents.google.com/patent/US20030202645A1/en</v>
      </c>
    </row>
    <row r="13786" spans="3:5" x14ac:dyDescent="0.25">
      <c r="C13786" t="s">
        <v>25725</v>
      </c>
      <c r="D13786" t="s">
        <v>25726</v>
      </c>
      <c r="E13786" t="str">
        <f>HYPERLINK("https://patents.google.com/patent/WO2000056866A2/en")</f>
        <v>https://patents.google.com/patent/WO2000056866A2/en</v>
      </c>
    </row>
    <row r="13787" spans="3:5" x14ac:dyDescent="0.25">
      <c r="C13787" t="s">
        <v>22562</v>
      </c>
      <c r="D13787" t="s">
        <v>25727</v>
      </c>
      <c r="E13787" t="str">
        <f>HYPERLINK("https://patents.google.com/patent/JP2005062043A/en")</f>
        <v>https://patents.google.com/patent/JP2005062043A/en</v>
      </c>
    </row>
    <row r="13788" spans="3:5" x14ac:dyDescent="0.25">
      <c r="C13788" t="s">
        <v>25728</v>
      </c>
      <c r="D13788" t="s">
        <v>25729</v>
      </c>
      <c r="E13788" t="str">
        <f>HYPERLINK("https://patents.google.com/patent/CN202453733U/en")</f>
        <v>https://patents.google.com/patent/CN202453733U/en</v>
      </c>
    </row>
    <row r="13789" spans="3:5" x14ac:dyDescent="0.25">
      <c r="C13789" t="s">
        <v>25730</v>
      </c>
      <c r="D13789" t="s">
        <v>25731</v>
      </c>
      <c r="E13789" t="str">
        <f>HYPERLINK("https://patents.google.com/patent/CN101493329A/en")</f>
        <v>https://patents.google.com/patent/CN101493329A/en</v>
      </c>
    </row>
    <row r="13790" spans="3:5" x14ac:dyDescent="0.25">
      <c r="C13790" t="s">
        <v>25732</v>
      </c>
      <c r="D13790" t="s">
        <v>25733</v>
      </c>
      <c r="E13790" t="str">
        <f>HYPERLINK("https://patents.google.com/patent/DE102012101686A1/en")</f>
        <v>https://patents.google.com/patent/DE102012101686A1/en</v>
      </c>
    </row>
    <row r="13791" spans="3:5" x14ac:dyDescent="0.25">
      <c r="C13791" t="s">
        <v>25734</v>
      </c>
      <c r="D13791" t="s">
        <v>25735</v>
      </c>
      <c r="E13791" t="str">
        <f>HYPERLINK("https://patents.google.com/patent/WO2015166811A1/en")</f>
        <v>https://patents.google.com/patent/WO2015166811A1/en</v>
      </c>
    </row>
    <row r="13792" spans="3:5" x14ac:dyDescent="0.25">
      <c r="C13792" t="s">
        <v>25671</v>
      </c>
      <c r="D13792" t="s">
        <v>25736</v>
      </c>
      <c r="E13792" t="str">
        <f>HYPERLINK("https://patents.google.com/patent/US9085303B2/en")</f>
        <v>https://patents.google.com/patent/US9085303B2/en</v>
      </c>
    </row>
    <row r="13793" spans="3:5" x14ac:dyDescent="0.25">
      <c r="C13793" t="s">
        <v>25737</v>
      </c>
      <c r="D13793" t="s">
        <v>25738</v>
      </c>
      <c r="E13793" t="str">
        <f>HYPERLINK("https://patents.google.com/patent/JP2005227049A/en")</f>
        <v>https://patents.google.com/patent/JP2005227049A/en</v>
      </c>
    </row>
    <row r="13794" spans="3:5" x14ac:dyDescent="0.25">
      <c r="C13794" t="s">
        <v>25739</v>
      </c>
      <c r="D13794" t="s">
        <v>25740</v>
      </c>
      <c r="E13794" t="str">
        <f>HYPERLINK("https://patents.google.com/patent/JP2004340689A/en")</f>
        <v>https://patents.google.com/patent/JP2004340689A/en</v>
      </c>
    </row>
    <row r="13795" spans="3:5" x14ac:dyDescent="0.25">
      <c r="C13795" t="s">
        <v>25741</v>
      </c>
      <c r="D13795" t="s">
        <v>25742</v>
      </c>
      <c r="E13795" t="str">
        <f>HYPERLINK("https://patents.google.com/patent/CN101789569A/en")</f>
        <v>https://patents.google.com/patent/CN101789569A/en</v>
      </c>
    </row>
    <row r="13796" spans="3:5" x14ac:dyDescent="0.25">
      <c r="C13796" t="s">
        <v>25743</v>
      </c>
      <c r="D13796" t="s">
        <v>25744</v>
      </c>
      <c r="E13796" t="str">
        <f>HYPERLINK("https://patents.google.com/patent/US20040133339A1/en")</f>
        <v>https://patents.google.com/patent/US20040133339A1/en</v>
      </c>
    </row>
    <row r="13797" spans="3:5" x14ac:dyDescent="0.25">
      <c r="C13797" t="s">
        <v>25745</v>
      </c>
      <c r="D13797" t="s">
        <v>25746</v>
      </c>
      <c r="E13797" t="str">
        <f>HYPERLINK("https://patents.google.com/patent/JP2001023089A/en")</f>
        <v>https://patents.google.com/patent/JP2001023089A/en</v>
      </c>
    </row>
    <row r="13798" spans="3:5" x14ac:dyDescent="0.25">
      <c r="C13798" t="s">
        <v>25747</v>
      </c>
      <c r="D13798" t="s">
        <v>25748</v>
      </c>
      <c r="E13798" t="str">
        <f>HYPERLINK("https://patents.google.com/patent/WO2015162182A1/en")</f>
        <v>https://patents.google.com/patent/WO2015162182A1/en</v>
      </c>
    </row>
    <row r="13799" spans="3:5" x14ac:dyDescent="0.25">
      <c r="C13799" t="s">
        <v>25749</v>
      </c>
      <c r="D13799" t="s">
        <v>25750</v>
      </c>
      <c r="E13799" t="str">
        <f>HYPERLINK("https://patents.google.com/patent/CN101344969A/en")</f>
        <v>https://patents.google.com/patent/CN101344969A/en</v>
      </c>
    </row>
    <row r="13800" spans="3:5" x14ac:dyDescent="0.25">
      <c r="C13800" t="s">
        <v>25751</v>
      </c>
      <c r="D13800" t="s">
        <v>25752</v>
      </c>
      <c r="E13800" t="str">
        <f>HYPERLINK("https://patents.google.com/patent/CN103646366A/en")</f>
        <v>https://patents.google.com/patent/CN103646366A/en</v>
      </c>
    </row>
    <row r="13801" spans="3:5" x14ac:dyDescent="0.25">
      <c r="C13801" t="s">
        <v>25753</v>
      </c>
      <c r="D13801" t="s">
        <v>25754</v>
      </c>
      <c r="E13801" t="str">
        <f>HYPERLINK("https://patents.google.com/patent/CN101813943A/en")</f>
        <v>https://patents.google.com/patent/CN101813943A/en</v>
      </c>
    </row>
    <row r="13802" spans="3:5" x14ac:dyDescent="0.25">
      <c r="C13802" t="s">
        <v>25755</v>
      </c>
      <c r="D13802" t="s">
        <v>25756</v>
      </c>
      <c r="E13802" t="str">
        <f>HYPERLINK("https://patents.google.com/patent/JP2004114178A/en")</f>
        <v>https://patents.google.com/patent/JP2004114178A/en</v>
      </c>
    </row>
    <row r="13803" spans="3:5" x14ac:dyDescent="0.25">
      <c r="C13803" t="s">
        <v>25757</v>
      </c>
      <c r="D13803" t="s">
        <v>25758</v>
      </c>
      <c r="E13803" t="str">
        <f>HYPERLINK("https://patents.google.com/patent/CN101619983A/en")</f>
        <v>https://patents.google.com/patent/CN101619983A/en</v>
      </c>
    </row>
    <row r="13804" spans="3:5" x14ac:dyDescent="0.25">
      <c r="C13804" t="s">
        <v>25759</v>
      </c>
      <c r="D13804" t="s">
        <v>25760</v>
      </c>
      <c r="E13804" t="str">
        <f>HYPERLINK("https://patents.google.com/patent/KR20160104784A/en")</f>
        <v>https://patents.google.com/patent/KR20160104784A/en</v>
      </c>
    </row>
    <row r="13805" spans="3:5" x14ac:dyDescent="0.25">
      <c r="C13805" t="s">
        <v>25761</v>
      </c>
      <c r="D13805" t="s">
        <v>25762</v>
      </c>
      <c r="E13805" t="str">
        <f>HYPERLINK("https://patents.google.com/patent/CN101454025A/en")</f>
        <v>https://patents.google.com/patent/CN101454025A/en</v>
      </c>
    </row>
    <row r="13806" spans="3:5" x14ac:dyDescent="0.25">
      <c r="C13806" t="s">
        <v>25763</v>
      </c>
      <c r="D13806" t="s">
        <v>25764</v>
      </c>
      <c r="E13806" t="str">
        <f>HYPERLINK("https://patents.google.com/patent/FR2697227A1/en")</f>
        <v>https://patents.google.com/patent/FR2697227A1/en</v>
      </c>
    </row>
    <row r="13807" spans="3:5" x14ac:dyDescent="0.25">
      <c r="C13807" t="s">
        <v>25765</v>
      </c>
      <c r="D13807" t="s">
        <v>25766</v>
      </c>
      <c r="E13807" t="str">
        <f>HYPERLINK("https://patents.google.com/patent/JP2000074687A/en")</f>
        <v>https://patents.google.com/patent/JP2000074687A/en</v>
      </c>
    </row>
    <row r="13808" spans="3:5" x14ac:dyDescent="0.25">
      <c r="C13808" t="s">
        <v>25767</v>
      </c>
      <c r="D13808" t="s">
        <v>25768</v>
      </c>
      <c r="E13808" t="str">
        <f>HYPERLINK("https://patents.google.com/patent/CN101443792A/en")</f>
        <v>https://patents.google.com/patent/CN101443792A/en</v>
      </c>
    </row>
    <row r="13809" spans="3:5" x14ac:dyDescent="0.25">
      <c r="C13809" t="s">
        <v>25769</v>
      </c>
      <c r="D13809" t="s">
        <v>25770</v>
      </c>
      <c r="E13809" t="str">
        <f>HYPERLINK("https://patents.google.com/patent/FR2661032A1/en")</f>
        <v>https://patents.google.com/patent/FR2661032A1/en</v>
      </c>
    </row>
    <row r="13810" spans="3:5" x14ac:dyDescent="0.25">
      <c r="C13810" t="s">
        <v>25771</v>
      </c>
      <c r="D13810" t="s">
        <v>25772</v>
      </c>
      <c r="E13810" t="str">
        <f>HYPERLINK("https://patents.google.com/patent/WO2016110453A1/en")</f>
        <v>https://patents.google.com/patent/WO2016110453A1/en</v>
      </c>
    </row>
    <row r="13811" spans="3:5" x14ac:dyDescent="0.25">
      <c r="C13811" t="s">
        <v>25773</v>
      </c>
      <c r="D13811" t="s">
        <v>25774</v>
      </c>
      <c r="E13811" t="str">
        <f>HYPERLINK("https://patents.google.com/patent/WO1998026396A1/en")</f>
        <v>https://patents.google.com/patent/WO1998026396A1/en</v>
      </c>
    </row>
    <row r="13812" spans="3:5" x14ac:dyDescent="0.25">
      <c r="C13812" t="s">
        <v>25775</v>
      </c>
      <c r="D13812" t="s">
        <v>25776</v>
      </c>
      <c r="E13812" t="str">
        <f>HYPERLINK("https://patents.google.com/patent/JP2010102279A/en")</f>
        <v>https://patents.google.com/patent/JP2010102279A/en</v>
      </c>
    </row>
    <row r="13813" spans="3:5" x14ac:dyDescent="0.25">
      <c r="C13813" t="s">
        <v>25777</v>
      </c>
      <c r="D13813" t="s">
        <v>25778</v>
      </c>
      <c r="E13813" t="str">
        <f>HYPERLINK("https://patents.google.com/patent/CN201570226U/en")</f>
        <v>https://patents.google.com/patent/CN201570226U/en</v>
      </c>
    </row>
    <row r="13814" spans="3:5" x14ac:dyDescent="0.25">
      <c r="C13814" t="s">
        <v>25779</v>
      </c>
      <c r="D13814" t="s">
        <v>25780</v>
      </c>
      <c r="E13814" t="str">
        <f>HYPERLINK("https://patents.google.com/patent/JP2004279172A/en")</f>
        <v>https://patents.google.com/patent/JP2004279172A/en</v>
      </c>
    </row>
    <row r="13815" spans="3:5" x14ac:dyDescent="0.25">
      <c r="C13815" t="s">
        <v>25781</v>
      </c>
      <c r="D13815" t="s">
        <v>25782</v>
      </c>
      <c r="E13815" t="str">
        <f>HYPERLINK("https://patents.google.com/patent/WO2008025901A2/en")</f>
        <v>https://patents.google.com/patent/WO2008025901A2/en</v>
      </c>
    </row>
    <row r="13816" spans="3:5" x14ac:dyDescent="0.25">
      <c r="C13816" t="s">
        <v>25783</v>
      </c>
      <c r="D13816" t="s">
        <v>25784</v>
      </c>
      <c r="E13816" t="str">
        <f>HYPERLINK("https://patents.google.com/patent/WO2016110511A1/en")</f>
        <v>https://patents.google.com/patent/WO2016110511A1/en</v>
      </c>
    </row>
    <row r="13817" spans="3:5" x14ac:dyDescent="0.25">
      <c r="C13817" t="s">
        <v>25785</v>
      </c>
      <c r="D13817" t="s">
        <v>25786</v>
      </c>
      <c r="E13817" t="str">
        <f>HYPERLINK("https://patents.google.com/patent/EP0886383A1/en")</f>
        <v>https://patents.google.com/patent/EP0886383A1/en</v>
      </c>
    </row>
    <row r="13818" spans="3:5" x14ac:dyDescent="0.25">
      <c r="C13818" t="s">
        <v>25787</v>
      </c>
      <c r="D13818" t="s">
        <v>25788</v>
      </c>
      <c r="E13818" t="str">
        <f>HYPERLINK("https://patents.google.com/patent/CN204368143U/en")</f>
        <v>https://patents.google.com/patent/CN204368143U/en</v>
      </c>
    </row>
    <row r="13819" spans="3:5" x14ac:dyDescent="0.25">
      <c r="C13819" t="s">
        <v>25789</v>
      </c>
      <c r="D13819" t="s">
        <v>25790</v>
      </c>
      <c r="E13819" t="str">
        <f>HYPERLINK("https://patents.google.com/patent/CN101287838A/en")</f>
        <v>https://patents.google.com/patent/CN101287838A/en</v>
      </c>
    </row>
    <row r="13820" spans="3:5" x14ac:dyDescent="0.25">
      <c r="C13820" t="s">
        <v>25791</v>
      </c>
      <c r="D13820" t="s">
        <v>25792</v>
      </c>
      <c r="E13820" t="str">
        <f>HYPERLINK("https://patents.google.com/patent/JP2002048558A/en")</f>
        <v>https://patents.google.com/patent/JP2002048558A/en</v>
      </c>
    </row>
    <row r="13821" spans="3:5" x14ac:dyDescent="0.25">
      <c r="C13821" t="s">
        <v>25793</v>
      </c>
      <c r="D13821" t="s">
        <v>25794</v>
      </c>
      <c r="E13821" t="str">
        <f>HYPERLINK("https://patents.google.com/patent/FR2909491A1/en")</f>
        <v>https://patents.google.com/patent/FR2909491A1/en</v>
      </c>
    </row>
    <row r="13822" spans="3:5" x14ac:dyDescent="0.25">
      <c r="C13822" t="s">
        <v>25795</v>
      </c>
      <c r="D13822" t="s">
        <v>25796</v>
      </c>
      <c r="E13822" t="str">
        <f>HYPERLINK("https://patents.google.com/patent/KR20070091756A/en")</f>
        <v>https://patents.google.com/patent/KR20070091756A/en</v>
      </c>
    </row>
    <row r="13823" spans="3:5" x14ac:dyDescent="0.25">
      <c r="C13823" t="s">
        <v>25797</v>
      </c>
      <c r="D13823" t="s">
        <v>25798</v>
      </c>
      <c r="E13823" t="str">
        <f>HYPERLINK("https://patents.google.com/patent/US20110049821A1/en")</f>
        <v>https://patents.google.com/patent/US20110049821A1/en</v>
      </c>
    </row>
    <row r="13824" spans="3:5" x14ac:dyDescent="0.25">
      <c r="C13824" t="s">
        <v>25799</v>
      </c>
      <c r="D13824" t="s">
        <v>25800</v>
      </c>
      <c r="E13824" t="str">
        <f>HYPERLINK("https://patents.google.com/patent/JP2000337914A/en")</f>
        <v>https://patents.google.com/patent/JP2000337914A/en</v>
      </c>
    </row>
    <row r="13825" spans="3:5" x14ac:dyDescent="0.25">
      <c r="C13825" t="s">
        <v>25801</v>
      </c>
      <c r="D13825" t="s">
        <v>25802</v>
      </c>
      <c r="E13825" t="str">
        <f>HYPERLINK("https://patents.google.com/patent/KR20000050182A/en")</f>
        <v>https://patents.google.com/patent/KR20000050182A/en</v>
      </c>
    </row>
    <row r="13826" spans="3:5" x14ac:dyDescent="0.25">
      <c r="C13826" t="s">
        <v>25803</v>
      </c>
      <c r="D13826" t="s">
        <v>25804</v>
      </c>
      <c r="E13826" t="str">
        <f>HYPERLINK("https://patents.google.com/patent/KR100811176B1/en")</f>
        <v>https://patents.google.com/patent/KR100811176B1/en</v>
      </c>
    </row>
    <row r="13827" spans="3:5" x14ac:dyDescent="0.25">
      <c r="C13827" t="s">
        <v>25252</v>
      </c>
      <c r="D13827" t="s">
        <v>25805</v>
      </c>
      <c r="E13827" t="str">
        <f>HYPERLINK("https://patents.google.com/patent/WO2006015473A1/en")</f>
        <v>https://patents.google.com/patent/WO2006015473A1/en</v>
      </c>
    </row>
    <row r="13828" spans="3:5" x14ac:dyDescent="0.25">
      <c r="C13828" t="s">
        <v>25806</v>
      </c>
      <c r="D13828" t="s">
        <v>25807</v>
      </c>
      <c r="E13828" t="str">
        <f>HYPERLINK("https://patents.google.com/patent/CN101490267A/en")</f>
        <v>https://patents.google.com/patent/CN101490267A/en</v>
      </c>
    </row>
    <row r="13829" spans="3:5" x14ac:dyDescent="0.25">
      <c r="C13829" t="s">
        <v>25808</v>
      </c>
      <c r="D13829" t="s">
        <v>25809</v>
      </c>
      <c r="E13829" t="str">
        <f>HYPERLINK("https://patents.google.com/patent/JP2002117487A/en")</f>
        <v>https://patents.google.com/patent/JP2002117487A/en</v>
      </c>
    </row>
    <row r="13830" spans="3:5" x14ac:dyDescent="0.25">
      <c r="C13830" t="s">
        <v>25810</v>
      </c>
      <c r="D13830" t="s">
        <v>25811</v>
      </c>
      <c r="E13830" t="str">
        <f>HYPERLINK("https://patents.google.com/patent/US20140316934A1/en")</f>
        <v>https://patents.google.com/patent/US20140316934A1/en</v>
      </c>
    </row>
    <row r="13831" spans="3:5" x14ac:dyDescent="0.25">
      <c r="C13831" t="s">
        <v>25812</v>
      </c>
      <c r="D13831" t="s">
        <v>25813</v>
      </c>
      <c r="E13831" t="str">
        <f>HYPERLINK("https://patents.google.com/patent/US20150094096A1/en")</f>
        <v>https://patents.google.com/patent/US20150094096A1/en</v>
      </c>
    </row>
    <row r="13832" spans="3:5" x14ac:dyDescent="0.25">
      <c r="C13832" t="s">
        <v>25814</v>
      </c>
      <c r="D13832" t="s">
        <v>25815</v>
      </c>
      <c r="E13832" t="str">
        <f>HYPERLINK("https://patents.google.com/patent/KR20020074591A/en")</f>
        <v>https://patents.google.com/patent/KR20020074591A/en</v>
      </c>
    </row>
    <row r="13833" spans="3:5" x14ac:dyDescent="0.25">
      <c r="C13833" t="s">
        <v>25816</v>
      </c>
      <c r="D13833" t="s">
        <v>25817</v>
      </c>
      <c r="E13833" t="str">
        <f>HYPERLINK("https://patents.google.com/patent/CN201595779U/en")</f>
        <v>https://patents.google.com/patent/CN201595779U/en</v>
      </c>
    </row>
    <row r="13834" spans="3:5" x14ac:dyDescent="0.25">
      <c r="C13834" t="s">
        <v>25818</v>
      </c>
      <c r="D13834" t="s">
        <v>25819</v>
      </c>
      <c r="E13834" t="str">
        <f>HYPERLINK("https://patents.google.com/patent/US20060170169A1/en")</f>
        <v>https://patents.google.com/patent/US20060170169A1/en</v>
      </c>
    </row>
    <row r="13835" spans="3:5" x14ac:dyDescent="0.25">
      <c r="C13835" t="s">
        <v>25820</v>
      </c>
      <c r="D13835" t="s">
        <v>25821</v>
      </c>
      <c r="E13835" t="str">
        <f>HYPERLINK("https://patents.google.com/patent/CN100582226C/en")</f>
        <v>https://patents.google.com/patent/CN100582226C/en</v>
      </c>
    </row>
    <row r="13836" spans="3:5" x14ac:dyDescent="0.25">
      <c r="C13836" t="s">
        <v>25822</v>
      </c>
      <c r="D13836" t="s">
        <v>25823</v>
      </c>
      <c r="E13836" t="str">
        <f>HYPERLINK("https://patents.google.com/patent/US8812421B1/en")</f>
        <v>https://patents.google.com/patent/US8812421B1/en</v>
      </c>
    </row>
    <row r="13837" spans="3:5" x14ac:dyDescent="0.25">
      <c r="C13837" t="s">
        <v>25824</v>
      </c>
      <c r="D13837" t="s">
        <v>25825</v>
      </c>
      <c r="E13837" t="str">
        <f>HYPERLINK("https://patents.google.com/patent/DE10015314A1/en")</f>
        <v>https://patents.google.com/patent/DE10015314A1/en</v>
      </c>
    </row>
    <row r="13838" spans="3:5" x14ac:dyDescent="0.25">
      <c r="C13838" t="s">
        <v>25826</v>
      </c>
      <c r="D13838" t="s">
        <v>25827</v>
      </c>
      <c r="E13838" t="str">
        <f>HYPERLINK("https://patents.google.com/patent/US20140034750A1/en")</f>
        <v>https://patents.google.com/patent/US20140034750A1/en</v>
      </c>
    </row>
    <row r="13839" spans="3:5" x14ac:dyDescent="0.25">
      <c r="C13839" t="s">
        <v>25828</v>
      </c>
      <c r="D13839" t="s">
        <v>25829</v>
      </c>
      <c r="E13839" t="str">
        <f>HYPERLINK("https://patents.google.com/patent/DE202015103992U1/en")</f>
        <v>https://patents.google.com/patent/DE202015103992U1/en</v>
      </c>
    </row>
    <row r="13840" spans="3:5" x14ac:dyDescent="0.25">
      <c r="C13840" t="s">
        <v>25830</v>
      </c>
      <c r="D13840" t="s">
        <v>25831</v>
      </c>
      <c r="E13840" t="str">
        <f>HYPERLINK("https://patents.google.com/patent/ES2249140B1/en")</f>
        <v>https://patents.google.com/patent/ES2249140B1/en</v>
      </c>
    </row>
    <row r="13841" spans="3:5" x14ac:dyDescent="0.25">
      <c r="C13841" t="s">
        <v>25832</v>
      </c>
      <c r="D13841" t="s">
        <v>25833</v>
      </c>
      <c r="E13841" t="str">
        <f>HYPERLINK("https://patents.google.com/patent/JP2008134158A/en")</f>
        <v>https://patents.google.com/patent/JP2008134158A/en</v>
      </c>
    </row>
    <row r="13842" spans="3:5" x14ac:dyDescent="0.25">
      <c r="C13842" t="s">
        <v>25834</v>
      </c>
      <c r="D13842" t="s">
        <v>25835</v>
      </c>
      <c r="E13842" t="str">
        <f>HYPERLINK("https://patents.google.com/patent/CN107835384A/en")</f>
        <v>https://patents.google.com/patent/CN107835384A/en</v>
      </c>
    </row>
    <row r="13843" spans="3:5" x14ac:dyDescent="0.25">
      <c r="C13843" t="s">
        <v>25836</v>
      </c>
      <c r="D13843" t="s">
        <v>25837</v>
      </c>
      <c r="E13843" t="str">
        <f>HYPERLINK("https://patents.google.com/patent/CN105069716A/en")</f>
        <v>https://patents.google.com/patent/CN105069716A/en</v>
      </c>
    </row>
    <row r="13844" spans="3:5" x14ac:dyDescent="0.25">
      <c r="C13844" t="s">
        <v>25838</v>
      </c>
      <c r="D13844" t="s">
        <v>25839</v>
      </c>
      <c r="E13844" t="str">
        <f>HYPERLINK("https://patents.google.com/patent/CN205124003U/en")</f>
        <v>https://patents.google.com/patent/CN205124003U/en</v>
      </c>
    </row>
    <row r="13845" spans="3:5" x14ac:dyDescent="0.25">
      <c r="C13845" t="s">
        <v>25840</v>
      </c>
      <c r="D13845" t="s">
        <v>25841</v>
      </c>
      <c r="E13845" t="str">
        <f>HYPERLINK("https://patents.google.com/patent/US20140172734A1/en")</f>
        <v>https://patents.google.com/patent/US20140172734A1/en</v>
      </c>
    </row>
    <row r="13846" spans="3:5" x14ac:dyDescent="0.25">
      <c r="C13846" t="s">
        <v>25842</v>
      </c>
      <c r="D13846" t="s">
        <v>25843</v>
      </c>
      <c r="E13846" t="str">
        <f>HYPERLINK("https://patents.google.com/patent/US20160115211A1/en")</f>
        <v>https://patents.google.com/patent/US20160115211A1/en</v>
      </c>
    </row>
    <row r="13847" spans="3:5" x14ac:dyDescent="0.25">
      <c r="C13847" t="s">
        <v>25844</v>
      </c>
      <c r="D13847" t="s">
        <v>25845</v>
      </c>
      <c r="E13847" t="str">
        <f>HYPERLINK("https://patents.google.com/patent/JPH08215310A/en")</f>
        <v>https://patents.google.com/patent/JPH08215310A/en</v>
      </c>
    </row>
    <row r="13848" spans="3:5" x14ac:dyDescent="0.25">
      <c r="C13848" t="s">
        <v>25846</v>
      </c>
      <c r="D13848" t="s">
        <v>25847</v>
      </c>
      <c r="E13848" t="str">
        <f>HYPERLINK("https://patents.google.com/patent/DE102016221905A1/en")</f>
        <v>https://patents.google.com/patent/DE102016221905A1/en</v>
      </c>
    </row>
    <row r="13849" spans="3:5" x14ac:dyDescent="0.25">
      <c r="C13849" t="s">
        <v>25848</v>
      </c>
      <c r="D13849" t="s">
        <v>25849</v>
      </c>
      <c r="E13849" t="str">
        <f>HYPERLINK("https://patents.google.com/patent/KR101678785B1/en")</f>
        <v>https://patents.google.com/patent/KR101678785B1/en</v>
      </c>
    </row>
    <row r="13850" spans="3:5" x14ac:dyDescent="0.25">
      <c r="C13850" t="s">
        <v>25850</v>
      </c>
      <c r="D13850" t="s">
        <v>25851</v>
      </c>
      <c r="E13850" t="str">
        <f>HYPERLINK("https://patents.google.com/patent/DE112007003067B4/en")</f>
        <v>https://patents.google.com/patent/DE112007003067B4/en</v>
      </c>
    </row>
    <row r="13851" spans="3:5" x14ac:dyDescent="0.25">
      <c r="C13851" t="s">
        <v>25852</v>
      </c>
      <c r="D13851" t="s">
        <v>25853</v>
      </c>
      <c r="E13851" t="str">
        <f>HYPERLINK("https://patents.google.com/patent/JP4200617B2/en")</f>
        <v>https://patents.google.com/patent/JP4200617B2/en</v>
      </c>
    </row>
    <row r="13852" spans="3:5" x14ac:dyDescent="0.25">
      <c r="C13852" t="s">
        <v>25854</v>
      </c>
      <c r="D13852" t="s">
        <v>25855</v>
      </c>
      <c r="E13852" t="str">
        <f>HYPERLINK("https://patents.google.com/patent/JP4829362B2/en")</f>
        <v>https://patents.google.com/patent/JP4829362B2/en</v>
      </c>
    </row>
    <row r="13853" spans="3:5" x14ac:dyDescent="0.25">
      <c r="C13853" t="s">
        <v>25854</v>
      </c>
      <c r="D13853" t="s">
        <v>25856</v>
      </c>
      <c r="E13853" t="str">
        <f>HYPERLINK("https://patents.google.com/patent/JP4614364B2/en")</f>
        <v>https://patents.google.com/patent/JP4614364B2/en</v>
      </c>
    </row>
    <row r="13854" spans="3:5" x14ac:dyDescent="0.25">
      <c r="C13854" t="s">
        <v>25857</v>
      </c>
      <c r="D13854" t="s">
        <v>25858</v>
      </c>
      <c r="E13854" t="str">
        <f>HYPERLINK("https://patents.google.com/patent/RU136911U1/en")</f>
        <v>https://patents.google.com/patent/RU136911U1/en</v>
      </c>
    </row>
    <row r="13855" spans="3:5" x14ac:dyDescent="0.25">
      <c r="C13855" t="s">
        <v>25859</v>
      </c>
      <c r="D13855" t="s">
        <v>25860</v>
      </c>
      <c r="E13855" t="str">
        <f>HYPERLINK("https://patents.google.com/patent/JP5225304B2/en")</f>
        <v>https://patents.google.com/patent/JP5225304B2/en</v>
      </c>
    </row>
    <row r="13856" spans="3:5" x14ac:dyDescent="0.25">
      <c r="C13856" t="s">
        <v>25861</v>
      </c>
      <c r="D13856" t="s">
        <v>25862</v>
      </c>
      <c r="E13856" t="str">
        <f>HYPERLINK("https://patents.google.com/patent/EP0304419B1/en")</f>
        <v>https://patents.google.com/patent/EP0304419B1/en</v>
      </c>
    </row>
    <row r="13857" spans="3:5" x14ac:dyDescent="0.25">
      <c r="C13857" t="s">
        <v>25863</v>
      </c>
      <c r="D13857" t="s">
        <v>25864</v>
      </c>
      <c r="E13857" t="str">
        <f>HYPERLINK("https://patents.google.com/patent/CN105407457A/en")</f>
        <v>https://patents.google.com/patent/CN105407457A/en</v>
      </c>
    </row>
    <row r="13858" spans="3:5" x14ac:dyDescent="0.25">
      <c r="C13858" t="s">
        <v>25865</v>
      </c>
      <c r="D13858" t="s">
        <v>25866</v>
      </c>
      <c r="E13858" t="str">
        <f>HYPERLINK("https://patents.google.com/patent/CN107238384A/en")</f>
        <v>https://patents.google.com/patent/CN107238384A/en</v>
      </c>
    </row>
    <row r="13859" spans="3:5" x14ac:dyDescent="0.25">
      <c r="C13859" t="s">
        <v>25867</v>
      </c>
      <c r="D13859" t="s">
        <v>25868</v>
      </c>
      <c r="E13859" t="str">
        <f>HYPERLINK("https://patents.google.com/patent/FR2827100A1/en")</f>
        <v>https://patents.google.com/patent/FR2827100A1/en</v>
      </c>
    </row>
    <row r="13860" spans="3:5" x14ac:dyDescent="0.25">
      <c r="C13860" t="s">
        <v>25869</v>
      </c>
      <c r="D13860" t="s">
        <v>25870</v>
      </c>
      <c r="E13860" t="str">
        <f>HYPERLINK("https://patents.google.com/patent/CN100338962C/en")</f>
        <v>https://patents.google.com/patent/CN100338962C/en</v>
      </c>
    </row>
    <row r="13861" spans="3:5" x14ac:dyDescent="0.25">
      <c r="C13861" t="s">
        <v>25871</v>
      </c>
      <c r="D13861" t="s">
        <v>25872</v>
      </c>
      <c r="E13861" t="str">
        <f>HYPERLINK("https://patents.google.com/patent/WO2016125728A1/en")</f>
        <v>https://patents.google.com/patent/WO2016125728A1/en</v>
      </c>
    </row>
    <row r="13862" spans="3:5" x14ac:dyDescent="0.25">
      <c r="C13862" t="s">
        <v>25873</v>
      </c>
      <c r="D13862" t="s">
        <v>25874</v>
      </c>
      <c r="E13862" t="str">
        <f>HYPERLINK("https://patents.google.com/patent/US20180060789A1/en")</f>
        <v>https://patents.google.com/patent/US20180060789A1/en</v>
      </c>
    </row>
    <row r="13863" spans="3:5" x14ac:dyDescent="0.25">
      <c r="C13863" t="s">
        <v>25875</v>
      </c>
      <c r="D13863" t="s">
        <v>25876</v>
      </c>
      <c r="E13863" t="str">
        <f>HYPERLINK("https://patents.google.com/patent/JP2004131289A/en")</f>
        <v>https://patents.google.com/patent/JP2004131289A/en</v>
      </c>
    </row>
    <row r="13864" spans="3:5" x14ac:dyDescent="0.25">
      <c r="C13864" t="s">
        <v>25877</v>
      </c>
      <c r="D13864" t="s">
        <v>25878</v>
      </c>
      <c r="E13864" t="str">
        <f>HYPERLINK("https://patents.google.com/patent/JP2016145032A/en")</f>
        <v>https://patents.google.com/patent/JP2016145032A/en</v>
      </c>
    </row>
    <row r="13865" spans="3:5" x14ac:dyDescent="0.25">
      <c r="C13865" t="s">
        <v>25879</v>
      </c>
      <c r="D13865" t="s">
        <v>25880</v>
      </c>
      <c r="E13865" t="str">
        <f>HYPERLINK("https://patents.google.com/patent/CN107364578A/en")</f>
        <v>https://patents.google.com/patent/CN107364578A/en</v>
      </c>
    </row>
    <row r="13866" spans="3:5" x14ac:dyDescent="0.25">
      <c r="C13866" t="s">
        <v>25881</v>
      </c>
      <c r="D13866" t="s">
        <v>25882</v>
      </c>
      <c r="E13866" t="str">
        <f>HYPERLINK("https://patents.google.com/patent/KR20170088214A/en")</f>
        <v>https://patents.google.com/patent/KR20170088214A/en</v>
      </c>
    </row>
    <row r="13867" spans="3:5" x14ac:dyDescent="0.25">
      <c r="C13867" t="s">
        <v>25883</v>
      </c>
      <c r="D13867" t="s">
        <v>25884</v>
      </c>
      <c r="E13867" t="str">
        <f>HYPERLINK("https://patents.google.com/patent/JPWO2017030188A1/en")</f>
        <v>https://patents.google.com/patent/JPWO2017030188A1/en</v>
      </c>
    </row>
    <row r="13868" spans="3:5" x14ac:dyDescent="0.25">
      <c r="C13868" t="s">
        <v>25885</v>
      </c>
      <c r="D13868" t="s">
        <v>25886</v>
      </c>
      <c r="E13868" t="str">
        <f>HYPERLINK("https://patents.google.com/patent/FR2786854A1/en")</f>
        <v>https://patents.google.com/patent/FR2786854A1/en</v>
      </c>
    </row>
    <row r="13869" spans="3:5" x14ac:dyDescent="0.25">
      <c r="C13869" t="s">
        <v>25887</v>
      </c>
      <c r="D13869" t="s">
        <v>25888</v>
      </c>
      <c r="E13869" t="str">
        <f>HYPERLINK("https://patents.google.com/patent/CN107472852A/en")</f>
        <v>https://patents.google.com/patent/CN107472852A/en</v>
      </c>
    </row>
    <row r="13870" spans="3:5" x14ac:dyDescent="0.25">
      <c r="C13870" t="s">
        <v>25889</v>
      </c>
      <c r="D13870" t="s">
        <v>25890</v>
      </c>
      <c r="E13870" t="str">
        <f>HYPERLINK("https://patents.google.com/patent/ES2656737A1/en")</f>
        <v>https://patents.google.com/patent/ES2656737A1/en</v>
      </c>
    </row>
    <row r="13871" spans="3:5" x14ac:dyDescent="0.25">
      <c r="C13871" t="s">
        <v>25891</v>
      </c>
      <c r="D13871" t="s">
        <v>25892</v>
      </c>
      <c r="E13871" t="str">
        <f>HYPERLINK("https://patents.google.com/patent/US20170176206A1/en")</f>
        <v>https://patents.google.com/patent/US20170176206A1/en</v>
      </c>
    </row>
    <row r="13872" spans="3:5" x14ac:dyDescent="0.25">
      <c r="C13872" t="s">
        <v>25893</v>
      </c>
      <c r="D13872" t="s">
        <v>25894</v>
      </c>
      <c r="E13872" t="str">
        <f>HYPERLINK("https://patents.google.com/patent/KR20170085405A/en")</f>
        <v>https://patents.google.com/patent/KR20170085405A/en</v>
      </c>
    </row>
    <row r="13873" spans="3:5" x14ac:dyDescent="0.25">
      <c r="C13873" t="s">
        <v>25895</v>
      </c>
      <c r="D13873" t="s">
        <v>25896</v>
      </c>
      <c r="E13873" t="str">
        <f>HYPERLINK("https://patents.google.com/patent/CN107820260A/en")</f>
        <v>https://patents.google.com/patent/CN107820260A/en</v>
      </c>
    </row>
    <row r="13874" spans="3:5" x14ac:dyDescent="0.25">
      <c r="C13874" t="s">
        <v>25897</v>
      </c>
      <c r="D13874" t="s">
        <v>25898</v>
      </c>
      <c r="E13874" t="str">
        <f>HYPERLINK("https://patents.google.com/patent/US20180144167A1/en")</f>
        <v>https://patents.google.com/patent/US20180144167A1/en</v>
      </c>
    </row>
    <row r="13875" spans="3:5" x14ac:dyDescent="0.25">
      <c r="C13875" t="s">
        <v>25899</v>
      </c>
      <c r="D13875" t="s">
        <v>25900</v>
      </c>
      <c r="E13875" t="str">
        <f>HYPERLINK("https://patents.google.com/patent/CN108572661A/en")</f>
        <v>https://patents.google.com/patent/CN108572661A/en</v>
      </c>
    </row>
    <row r="13876" spans="3:5" x14ac:dyDescent="0.25">
      <c r="C13876" t="s">
        <v>25901</v>
      </c>
      <c r="D13876" t="s">
        <v>25902</v>
      </c>
      <c r="E13876" t="str">
        <f>HYPERLINK("https://patents.google.com/patent/ES1182661U/en")</f>
        <v>https://patents.google.com/patent/ES1182661U/en</v>
      </c>
    </row>
    <row r="13877" spans="3:5" x14ac:dyDescent="0.25">
      <c r="C13877" t="s">
        <v>25903</v>
      </c>
      <c r="D13877" t="s">
        <v>25904</v>
      </c>
      <c r="E13877" t="str">
        <f>HYPERLINK("https://patents.google.com/patent/ES2647830T3/en")</f>
        <v>https://patents.google.com/patent/ES2647830T3/en</v>
      </c>
    </row>
    <row r="13878" spans="3:5" x14ac:dyDescent="0.25">
      <c r="C13878" t="s">
        <v>25905</v>
      </c>
      <c r="D13878" t="s">
        <v>25906</v>
      </c>
      <c r="E13878" t="str">
        <f>HYPERLINK("https://patents.google.com/patent/FR2613964A1/en")</f>
        <v>https://patents.google.com/patent/FR2613964A1/en</v>
      </c>
    </row>
    <row r="13879" spans="3:5" x14ac:dyDescent="0.25">
      <c r="C13879" t="s">
        <v>25270</v>
      </c>
      <c r="D13879" t="s">
        <v>25907</v>
      </c>
      <c r="E13879" t="str">
        <f>HYPERLINK("https://patents.google.com/patent/WO2016105836A1/en")</f>
        <v>https://patents.google.com/patent/WO2016105836A1/en</v>
      </c>
    </row>
    <row r="13880" spans="3:5" x14ac:dyDescent="0.25">
      <c r="C13880" t="s">
        <v>25908</v>
      </c>
      <c r="D13880" t="s">
        <v>25909</v>
      </c>
      <c r="E13880" t="str">
        <f>HYPERLINK("https://patents.google.com/patent/CN107360218A/en")</f>
        <v>https://patents.google.com/patent/CN107360218A/en</v>
      </c>
    </row>
    <row r="13881" spans="3:5" x14ac:dyDescent="0.25">
      <c r="C13881" t="s">
        <v>25910</v>
      </c>
      <c r="D13881" t="s">
        <v>25911</v>
      </c>
      <c r="E13881" t="str">
        <f>HYPERLINK("https://patents.google.com/patent/KR20010021468A/en")</f>
        <v>https://patents.google.com/patent/KR20010021468A/en</v>
      </c>
    </row>
    <row r="13882" spans="3:5" x14ac:dyDescent="0.25">
      <c r="C13882" t="s">
        <v>25912</v>
      </c>
      <c r="D13882" t="s">
        <v>25913</v>
      </c>
      <c r="E13882" t="str">
        <f>HYPERLINK("https://patents.google.com/patent/ES2349612B1/en")</f>
        <v>https://patents.google.com/patent/ES2349612B1/en</v>
      </c>
    </row>
    <row r="13883" spans="3:5" x14ac:dyDescent="0.25">
      <c r="C13883" t="s">
        <v>25914</v>
      </c>
      <c r="D13883" t="s">
        <v>25915</v>
      </c>
      <c r="E13883" t="str">
        <f>HYPERLINK("https://patents.google.com/patent/KR20150053345A/en")</f>
        <v>https://patents.google.com/patent/KR20150053345A/en</v>
      </c>
    </row>
    <row r="13884" spans="3:5" x14ac:dyDescent="0.25">
      <c r="C13884" t="s">
        <v>25916</v>
      </c>
      <c r="D13884" t="s">
        <v>25917</v>
      </c>
      <c r="E13884" t="str">
        <f>HYPERLINK("https://patents.google.com/patent/CN106774427A/en")</f>
        <v>https://patents.google.com/patent/CN106774427A/en</v>
      </c>
    </row>
    <row r="13885" spans="3:5" x14ac:dyDescent="0.25">
      <c r="C13885" t="s">
        <v>25918</v>
      </c>
      <c r="D13885" t="s">
        <v>25919</v>
      </c>
      <c r="E13885" t="str">
        <f>HYPERLINK("https://patents.google.com/patent/WO1992003640A1/en")</f>
        <v>https://patents.google.com/patent/WO1992003640A1/en</v>
      </c>
    </row>
    <row r="13886" spans="3:5" x14ac:dyDescent="0.25">
      <c r="C13886" t="s">
        <v>25482</v>
      </c>
      <c r="D13886" t="s">
        <v>25920</v>
      </c>
      <c r="E13886" t="str">
        <f>HYPERLINK("https://patents.google.com/patent/ES2633945T3/en")</f>
        <v>https://patents.google.com/patent/ES2633945T3/en</v>
      </c>
    </row>
    <row r="13887" spans="3:5" x14ac:dyDescent="0.25">
      <c r="C13887" t="s">
        <v>25921</v>
      </c>
      <c r="D13887" t="s">
        <v>25922</v>
      </c>
      <c r="E13887" t="str">
        <f>HYPERLINK("https://patents.google.com/patent/DE112015000783T5/en")</f>
        <v>https://patents.google.com/patent/DE112015000783T5/en</v>
      </c>
    </row>
    <row r="13888" spans="3:5" x14ac:dyDescent="0.25">
      <c r="C13888" t="s">
        <v>25923</v>
      </c>
      <c r="D13888" t="s">
        <v>25924</v>
      </c>
      <c r="E13888" t="str">
        <f>HYPERLINK("https://patents.google.com/patent/ES2346460T3/en")</f>
        <v>https://patents.google.com/patent/ES2346460T3/en</v>
      </c>
    </row>
    <row r="13889" spans="1:5" x14ac:dyDescent="0.25">
      <c r="C13889" t="s">
        <v>25925</v>
      </c>
      <c r="D13889" t="s">
        <v>25926</v>
      </c>
      <c r="E13889" t="str">
        <f>HYPERLINK("https://patents.google.com/patent/BE505039A/en")</f>
        <v>https://patents.google.com/patent/BE505039A/en</v>
      </c>
    </row>
    <row r="13890" spans="1:5" x14ac:dyDescent="0.25">
      <c r="C13890" t="s">
        <v>25927</v>
      </c>
      <c r="D13890" t="s">
        <v>25928</v>
      </c>
      <c r="E13890" t="str">
        <f>HYPERLINK("https://patents.google.com/patent/CN100562338C/en")</f>
        <v>https://patents.google.com/patent/CN100562338C/en</v>
      </c>
    </row>
    <row r="13891" spans="1:5" x14ac:dyDescent="0.25">
      <c r="C13891" t="s">
        <v>25929</v>
      </c>
      <c r="D13891" t="s">
        <v>25930</v>
      </c>
      <c r="E13891" t="str">
        <f>HYPERLINK("https://patents.google.com/patent/CN1298607A/en")</f>
        <v>https://patents.google.com/patent/CN1298607A/en</v>
      </c>
    </row>
    <row r="13892" spans="1:5" x14ac:dyDescent="0.25">
      <c r="C13892" t="s">
        <v>25931</v>
      </c>
      <c r="D13892" t="s">
        <v>25932</v>
      </c>
      <c r="E13892" t="str">
        <f>HYPERLINK("https://patents.google.com/patent/CN107450587A/en")</f>
        <v>https://patents.google.com/patent/CN107450587A/en</v>
      </c>
    </row>
    <row r="13893" spans="1:5" x14ac:dyDescent="0.25">
      <c r="C13893" t="s">
        <v>25850</v>
      </c>
      <c r="D13893" t="s">
        <v>25933</v>
      </c>
      <c r="E13893" t="str">
        <f>HYPERLINK("https://patents.google.com/patent/DE112012006128T5/en")</f>
        <v>https://patents.google.com/patent/DE112012006128T5/en</v>
      </c>
    </row>
    <row r="13894" spans="1:5" x14ac:dyDescent="0.25">
      <c r="C13894" t="s">
        <v>25934</v>
      </c>
      <c r="D13894" t="s">
        <v>25935</v>
      </c>
      <c r="E13894" t="str">
        <f>HYPERLINK("https://patents.google.com/patent/CN103173492A/en")</f>
        <v>https://patents.google.com/patent/CN103173492A/en</v>
      </c>
    </row>
    <row r="13895" spans="1:5" x14ac:dyDescent="0.25">
      <c r="C13895" t="s">
        <v>25936</v>
      </c>
      <c r="D13895" t="s">
        <v>25937</v>
      </c>
      <c r="E13895" t="str">
        <f>HYPERLINK("https://patents.google.com/patent/WO2018127611A1/en")</f>
        <v>https://patents.google.com/patent/WO2018127611A1/en</v>
      </c>
    </row>
    <row r="13896" spans="1:5" x14ac:dyDescent="0.25">
      <c r="C13896" t="s">
        <v>25938</v>
      </c>
      <c r="D13896" t="s">
        <v>25939</v>
      </c>
      <c r="E13896" t="str">
        <f>HYPERLINK("https://patents.google.com/patent/CN104302530A/en")</f>
        <v>https://patents.google.com/patent/CN104302530A/en</v>
      </c>
    </row>
    <row r="13897" spans="1:5" x14ac:dyDescent="0.25">
      <c r="C13897" t="s">
        <v>25940</v>
      </c>
      <c r="D13897" t="s">
        <v>25941</v>
      </c>
      <c r="E13897" t="str">
        <f>HYPERLINK("https://patents.google.com/patent/CN102311986B/en")</f>
        <v>https://patents.google.com/patent/CN102311986B/en</v>
      </c>
    </row>
    <row r="13898" spans="1:5" x14ac:dyDescent="0.25">
      <c r="C13898" t="s">
        <v>25942</v>
      </c>
      <c r="D13898" t="s">
        <v>25943</v>
      </c>
      <c r="E13898" t="str">
        <f>HYPERLINK("https://patents.google.com/patent/JP2014121188A/en")</f>
        <v>https://patents.google.com/patent/JP2014121188A/en</v>
      </c>
    </row>
    <row r="13899" spans="1:5" x14ac:dyDescent="0.25">
      <c r="C13899" t="s">
        <v>25944</v>
      </c>
      <c r="D13899" t="s">
        <v>25945</v>
      </c>
      <c r="E13899" t="str">
        <f>HYPERLINK("https://patents.google.com/patent/FR3027246A1/fr")</f>
        <v>https://patents.google.com/patent/FR3027246A1/fr</v>
      </c>
    </row>
    <row r="13900" spans="1:5" x14ac:dyDescent="0.25">
      <c r="A13900" t="s">
        <v>4317</v>
      </c>
      <c r="B13900">
        <v>600</v>
      </c>
    </row>
    <row r="13901" spans="1:5" x14ac:dyDescent="0.25">
      <c r="C13901" t="s">
        <v>19134</v>
      </c>
      <c r="D13901" t="s">
        <v>25946</v>
      </c>
      <c r="E13901" t="str">
        <f>HYPERLINK("https://patents.google.com/patent/CN107082109A/en")</f>
        <v>https://patents.google.com/patent/CN107082109A/en</v>
      </c>
    </row>
    <row r="13902" spans="1:5" x14ac:dyDescent="0.25">
      <c r="C13902" t="s">
        <v>25947</v>
      </c>
      <c r="D13902" t="s">
        <v>25948</v>
      </c>
      <c r="E13902" t="str">
        <f>HYPERLINK("https://patents.google.com/patent/US5758298A/en")</f>
        <v>https://patents.google.com/patent/US5758298A/en</v>
      </c>
    </row>
    <row r="13903" spans="1:5" x14ac:dyDescent="0.25">
      <c r="C13903" t="s">
        <v>25949</v>
      </c>
      <c r="D13903" t="s">
        <v>25950</v>
      </c>
      <c r="E13903" t="str">
        <f>HYPERLINK("https://patents.google.com/patent/US5956250A/en")</f>
        <v>https://patents.google.com/patent/US5956250A/en</v>
      </c>
    </row>
    <row r="13904" spans="1:5" x14ac:dyDescent="0.25">
      <c r="C13904" t="s">
        <v>25951</v>
      </c>
      <c r="D13904" t="s">
        <v>25952</v>
      </c>
      <c r="E13904" t="str">
        <f>HYPERLINK("https://patents.google.com/patent/US6157621A/en")</f>
        <v>https://patents.google.com/patent/US6157621A/en</v>
      </c>
    </row>
    <row r="13905" spans="3:5" x14ac:dyDescent="0.25">
      <c r="C13905" t="s">
        <v>25953</v>
      </c>
      <c r="D13905" t="s">
        <v>25954</v>
      </c>
      <c r="E13905" t="str">
        <f>HYPERLINK("https://patents.google.com/patent/US6427119B1/en")</f>
        <v>https://patents.google.com/patent/US6427119B1/en</v>
      </c>
    </row>
    <row r="13906" spans="3:5" x14ac:dyDescent="0.25">
      <c r="C13906" t="s">
        <v>25955</v>
      </c>
      <c r="D13906" t="s">
        <v>25956</v>
      </c>
      <c r="E13906" t="str">
        <f>HYPERLINK("https://patents.google.com/patent/US8060308B2/en")</f>
        <v>https://patents.google.com/patent/US8060308B2/en</v>
      </c>
    </row>
    <row r="13907" spans="3:5" x14ac:dyDescent="0.25">
      <c r="C13907" t="s">
        <v>25957</v>
      </c>
      <c r="D13907" t="s">
        <v>25958</v>
      </c>
      <c r="E13907" t="str">
        <f>HYPERLINK("https://patents.google.com/patent/US6336073B1/en")</f>
        <v>https://patents.google.com/patent/US6336073B1/en</v>
      </c>
    </row>
    <row r="13908" spans="3:5" x14ac:dyDescent="0.25">
      <c r="C13908" t="s">
        <v>25959</v>
      </c>
      <c r="D13908" t="s">
        <v>25960</v>
      </c>
      <c r="E13908" t="str">
        <f>HYPERLINK("https://patents.google.com/patent/US5610815A/en")</f>
        <v>https://patents.google.com/patent/US5610815A/en</v>
      </c>
    </row>
    <row r="13909" spans="3:5" x14ac:dyDescent="0.25">
      <c r="C13909" t="s">
        <v>25961</v>
      </c>
      <c r="D13909" t="s">
        <v>25962</v>
      </c>
      <c r="E13909" t="str">
        <f>HYPERLINK("https://patents.google.com/patent/US6628233B2/en")</f>
        <v>https://patents.google.com/patent/US6628233B2/en</v>
      </c>
    </row>
    <row r="13910" spans="3:5" x14ac:dyDescent="0.25">
      <c r="C13910" t="s">
        <v>25963</v>
      </c>
      <c r="D13910" t="s">
        <v>25964</v>
      </c>
      <c r="E13910" t="str">
        <f>HYPERLINK("https://patents.google.com/patent/US8126642B2/en")</f>
        <v>https://patents.google.com/patent/US8126642B2/en</v>
      </c>
    </row>
    <row r="13911" spans="3:5" x14ac:dyDescent="0.25">
      <c r="C13911" t="s">
        <v>25965</v>
      </c>
      <c r="D13911" t="s">
        <v>25966</v>
      </c>
      <c r="E13911" t="str">
        <f>HYPERLINK("https://patents.google.com/patent/US6812888B2/en")</f>
        <v>https://patents.google.com/patent/US6812888B2/en</v>
      </c>
    </row>
    <row r="13912" spans="3:5" x14ac:dyDescent="0.25">
      <c r="C13912" t="s">
        <v>25967</v>
      </c>
      <c r="D13912" t="s">
        <v>25968</v>
      </c>
      <c r="E13912" t="str">
        <f>HYPERLINK("https://patents.google.com/patent/US6169515B1/en")</f>
        <v>https://patents.google.com/patent/US6169515B1/en</v>
      </c>
    </row>
    <row r="13913" spans="3:5" x14ac:dyDescent="0.25">
      <c r="C13913" t="s">
        <v>25969</v>
      </c>
      <c r="D13913" t="s">
        <v>25970</v>
      </c>
      <c r="E13913" t="str">
        <f>HYPERLINK("https://patents.google.com/patent/US8140335B2/en")</f>
        <v>https://patents.google.com/patent/US8140335B2/en</v>
      </c>
    </row>
    <row r="13914" spans="3:5" x14ac:dyDescent="0.25">
      <c r="C13914" t="s">
        <v>25971</v>
      </c>
      <c r="D13914" t="s">
        <v>25972</v>
      </c>
      <c r="E13914" t="str">
        <f>HYPERLINK("https://patents.google.com/patent/US5995884A/en")</f>
        <v>https://patents.google.com/patent/US5995884A/en</v>
      </c>
    </row>
    <row r="13915" spans="3:5" x14ac:dyDescent="0.25">
      <c r="C13915" t="s">
        <v>25973</v>
      </c>
      <c r="D13915" t="s">
        <v>25974</v>
      </c>
      <c r="E13915" t="str">
        <f>HYPERLINK("https://patents.google.com/patent/US6151539A/en")</f>
        <v>https://patents.google.com/patent/US6151539A/en</v>
      </c>
    </row>
    <row r="13916" spans="3:5" x14ac:dyDescent="0.25">
      <c r="C13916" t="s">
        <v>25975</v>
      </c>
      <c r="D13916" t="s">
        <v>25976</v>
      </c>
      <c r="E13916" t="str">
        <f>HYPERLINK("https://patents.google.com/patent/US5548516A/en")</f>
        <v>https://patents.google.com/patent/US5548516A/en</v>
      </c>
    </row>
    <row r="13917" spans="3:5" x14ac:dyDescent="0.25">
      <c r="C13917" t="s">
        <v>25977</v>
      </c>
      <c r="D13917" t="s">
        <v>25978</v>
      </c>
      <c r="E13917" t="str">
        <f>HYPERLINK("https://patents.google.com/patent/US5452211A/en")</f>
        <v>https://patents.google.com/patent/US5452211A/en</v>
      </c>
    </row>
    <row r="13918" spans="3:5" x14ac:dyDescent="0.25">
      <c r="C13918" t="s">
        <v>25979</v>
      </c>
      <c r="D13918" t="s">
        <v>25980</v>
      </c>
      <c r="E13918" t="str">
        <f>HYPERLINK("https://patents.google.com/patent/US6199010B1/en")</f>
        <v>https://patents.google.com/patent/US6199010B1/en</v>
      </c>
    </row>
    <row r="13919" spans="3:5" x14ac:dyDescent="0.25">
      <c r="C13919" t="s">
        <v>25981</v>
      </c>
      <c r="D13919" t="s">
        <v>25982</v>
      </c>
      <c r="E13919" t="str">
        <f>HYPERLINK("https://patents.google.com/patent/US7143130B2/en")</f>
        <v>https://patents.google.com/patent/US7143130B2/en</v>
      </c>
    </row>
    <row r="13920" spans="3:5" x14ac:dyDescent="0.25">
      <c r="C13920" t="s">
        <v>25983</v>
      </c>
      <c r="D13920" t="s">
        <v>25984</v>
      </c>
      <c r="E13920" t="str">
        <f>HYPERLINK("https://patents.google.com/patent/CN205957979U/en")</f>
        <v>https://patents.google.com/patent/CN205957979U/en</v>
      </c>
    </row>
    <row r="13921" spans="3:5" x14ac:dyDescent="0.25">
      <c r="C13921" t="s">
        <v>25985</v>
      </c>
      <c r="D13921" t="s">
        <v>25986</v>
      </c>
      <c r="E13921" t="str">
        <f>HYPERLINK("https://patents.google.com/patent/US6334089B2/en")</f>
        <v>https://patents.google.com/patent/US6334089B2/en</v>
      </c>
    </row>
    <row r="13922" spans="3:5" x14ac:dyDescent="0.25">
      <c r="C13922" t="s">
        <v>25987</v>
      </c>
      <c r="D13922" t="s">
        <v>25988</v>
      </c>
      <c r="E13922" t="str">
        <f>HYPERLINK("https://patents.google.com/patent/US6701251B2/en")</f>
        <v>https://patents.google.com/patent/US6701251B2/en</v>
      </c>
    </row>
    <row r="13923" spans="3:5" x14ac:dyDescent="0.25">
      <c r="C13923" t="s">
        <v>25989</v>
      </c>
      <c r="D13923" t="s">
        <v>25990</v>
      </c>
      <c r="E13923" t="str">
        <f>HYPERLINK("https://patents.google.com/patent/CN108519615A/en")</f>
        <v>https://patents.google.com/patent/CN108519615A/en</v>
      </c>
    </row>
    <row r="13924" spans="3:5" x14ac:dyDescent="0.25">
      <c r="C13924" t="s">
        <v>25991</v>
      </c>
      <c r="D13924" t="s">
        <v>25992</v>
      </c>
      <c r="E13924" t="str">
        <f>HYPERLINK("https://patents.google.com/patent/US4821192A/en")</f>
        <v>https://patents.google.com/patent/US4821192A/en</v>
      </c>
    </row>
    <row r="13925" spans="3:5" x14ac:dyDescent="0.25">
      <c r="C13925" t="s">
        <v>25993</v>
      </c>
      <c r="D13925" t="s">
        <v>25994</v>
      </c>
      <c r="E13925" t="str">
        <f>HYPERLINK("https://patents.google.com/patent/US7228203B2/en")</f>
        <v>https://patents.google.com/patent/US7228203B2/en</v>
      </c>
    </row>
    <row r="13926" spans="3:5" x14ac:dyDescent="0.25">
      <c r="C13926" t="s">
        <v>25995</v>
      </c>
      <c r="D13926" t="s">
        <v>25996</v>
      </c>
      <c r="E13926" t="str">
        <f>HYPERLINK("https://patents.google.com/patent/US8346426B1/en")</f>
        <v>https://patents.google.com/patent/US8346426B1/en</v>
      </c>
    </row>
    <row r="13927" spans="3:5" x14ac:dyDescent="0.25">
      <c r="C13927" t="s">
        <v>25997</v>
      </c>
      <c r="D13927" t="s">
        <v>25998</v>
      </c>
      <c r="E13927" t="str">
        <f>HYPERLINK("https://patents.google.com/patent/US8000897B2/en")</f>
        <v>https://patents.google.com/patent/US8000897B2/en</v>
      </c>
    </row>
    <row r="13928" spans="3:5" x14ac:dyDescent="0.25">
      <c r="C13928" t="s">
        <v>25999</v>
      </c>
      <c r="D13928" t="s">
        <v>26000</v>
      </c>
      <c r="E13928" t="str">
        <f>HYPERLINK("https://patents.google.com/patent/US7768449B2/en")</f>
        <v>https://patents.google.com/patent/US7768449B2/en</v>
      </c>
    </row>
    <row r="13929" spans="3:5" x14ac:dyDescent="0.25">
      <c r="C13929" t="s">
        <v>18569</v>
      </c>
      <c r="D13929" t="s">
        <v>26001</v>
      </c>
      <c r="E13929" t="str">
        <f>HYPERLINK("https://patents.google.com/patent/US7899621B2/en")</f>
        <v>https://patents.google.com/patent/US7899621B2/en</v>
      </c>
    </row>
    <row r="13930" spans="3:5" x14ac:dyDescent="0.25">
      <c r="C13930" t="s">
        <v>26002</v>
      </c>
      <c r="D13930" t="s">
        <v>26003</v>
      </c>
      <c r="E13930" t="str">
        <f>HYPERLINK("https://patents.google.com/patent/US7791503B2/en")</f>
        <v>https://patents.google.com/patent/US7791503B2/en</v>
      </c>
    </row>
    <row r="13931" spans="3:5" x14ac:dyDescent="0.25">
      <c r="C13931" t="s">
        <v>26004</v>
      </c>
      <c r="D13931" t="s">
        <v>26005</v>
      </c>
      <c r="E13931" t="str">
        <f>HYPERLINK("https://patents.google.com/patent/US8140265B2/en")</f>
        <v>https://patents.google.com/patent/US8140265B2/en</v>
      </c>
    </row>
    <row r="13932" spans="3:5" x14ac:dyDescent="0.25">
      <c r="C13932" t="s">
        <v>26006</v>
      </c>
      <c r="D13932" t="s">
        <v>26007</v>
      </c>
      <c r="E13932" t="str">
        <f>HYPERLINK("https://patents.google.com/patent/US7610146B2/en")</f>
        <v>https://patents.google.com/patent/US7610146B2/en</v>
      </c>
    </row>
    <row r="13933" spans="3:5" x14ac:dyDescent="0.25">
      <c r="C13933" t="s">
        <v>26008</v>
      </c>
      <c r="D13933" t="s">
        <v>26009</v>
      </c>
      <c r="E13933" t="str">
        <f>HYPERLINK("https://patents.google.com/patent/US20090073034A1/en")</f>
        <v>https://patents.google.com/patent/US20090073034A1/en</v>
      </c>
    </row>
    <row r="13934" spans="3:5" x14ac:dyDescent="0.25">
      <c r="C13934" t="s">
        <v>26010</v>
      </c>
      <c r="D13934" t="s">
        <v>26011</v>
      </c>
      <c r="E13934" t="str">
        <f>HYPERLINK("https://patents.google.com/patent/US6456933B1/en")</f>
        <v>https://patents.google.com/patent/US6456933B1/en</v>
      </c>
    </row>
    <row r="13935" spans="3:5" x14ac:dyDescent="0.25">
      <c r="C13935" t="s">
        <v>26012</v>
      </c>
      <c r="D13935" t="s">
        <v>26013</v>
      </c>
      <c r="E13935" t="str">
        <f>HYPERLINK("https://patents.google.com/patent/US7796081B2/en")</f>
        <v>https://patents.google.com/patent/US7796081B2/en</v>
      </c>
    </row>
    <row r="13936" spans="3:5" x14ac:dyDescent="0.25">
      <c r="C13936" t="s">
        <v>26014</v>
      </c>
      <c r="D13936" t="s">
        <v>26015</v>
      </c>
      <c r="E13936" t="str">
        <f>HYPERLINK("https://patents.google.com/patent/US8965677B2/en")</f>
        <v>https://patents.google.com/patent/US8965677B2/en</v>
      </c>
    </row>
    <row r="13937" spans="3:5" x14ac:dyDescent="0.25">
      <c r="C13937" t="s">
        <v>24938</v>
      </c>
      <c r="D13937" t="s">
        <v>26016</v>
      </c>
      <c r="E13937" t="str">
        <f>HYPERLINK("https://patents.google.com/patent/US6249780B1/en")</f>
        <v>https://patents.google.com/patent/US6249780B1/en</v>
      </c>
    </row>
    <row r="13938" spans="3:5" x14ac:dyDescent="0.25">
      <c r="C13938" t="s">
        <v>26017</v>
      </c>
      <c r="D13938" t="s">
        <v>26018</v>
      </c>
      <c r="E13938" t="str">
        <f>HYPERLINK("https://patents.google.com/patent/US8068979B2/en")</f>
        <v>https://patents.google.com/patent/US8068979B2/en</v>
      </c>
    </row>
    <row r="13939" spans="3:5" x14ac:dyDescent="0.25">
      <c r="C13939" t="s">
        <v>26019</v>
      </c>
      <c r="D13939" t="s">
        <v>26020</v>
      </c>
      <c r="E13939" t="str">
        <f>HYPERLINK("https://patents.google.com/patent/US8676431B1/en")</f>
        <v>https://patents.google.com/patent/US8676431B1/en</v>
      </c>
    </row>
    <row r="13940" spans="3:5" x14ac:dyDescent="0.25">
      <c r="C13940" t="s">
        <v>26021</v>
      </c>
      <c r="D13940" t="s">
        <v>26022</v>
      </c>
      <c r="E13940" t="str">
        <f>HYPERLINK("https://patents.google.com/patent/US7983836B2/en")</f>
        <v>https://patents.google.com/patent/US7983836B2/en</v>
      </c>
    </row>
    <row r="13941" spans="3:5" x14ac:dyDescent="0.25">
      <c r="C13941" t="s">
        <v>26023</v>
      </c>
      <c r="D13941" t="s">
        <v>26024</v>
      </c>
      <c r="E13941" t="str">
        <f>HYPERLINK("https://patents.google.com/patent/US8024066B2/en")</f>
        <v>https://patents.google.com/patent/US8024066B2/en</v>
      </c>
    </row>
    <row r="13942" spans="3:5" x14ac:dyDescent="0.25">
      <c r="C13942" t="s">
        <v>26025</v>
      </c>
      <c r="D13942" t="s">
        <v>26026</v>
      </c>
      <c r="E13942" t="str">
        <f>HYPERLINK("https://patents.google.com/patent/US6354235B1/en")</f>
        <v>https://patents.google.com/patent/US6354235B1/en</v>
      </c>
    </row>
    <row r="13943" spans="3:5" x14ac:dyDescent="0.25">
      <c r="C13943" t="s">
        <v>26027</v>
      </c>
      <c r="D13943" t="s">
        <v>26028</v>
      </c>
      <c r="E13943" t="str">
        <f>HYPERLINK("https://patents.google.com/patent/US20140136414A1/en")</f>
        <v>https://patents.google.com/patent/US20140136414A1/en</v>
      </c>
    </row>
    <row r="13944" spans="3:5" x14ac:dyDescent="0.25">
      <c r="C13944" t="s">
        <v>26029</v>
      </c>
      <c r="D13944" t="s">
        <v>26030</v>
      </c>
      <c r="E13944" t="str">
        <f>HYPERLINK("https://patents.google.com/patent/US20070089057A1/en")</f>
        <v>https://patents.google.com/patent/US20070089057A1/en</v>
      </c>
    </row>
    <row r="13945" spans="3:5" x14ac:dyDescent="0.25">
      <c r="C13945" t="s">
        <v>26031</v>
      </c>
      <c r="D13945" t="s">
        <v>26032</v>
      </c>
      <c r="E13945" t="str">
        <f>HYPERLINK("https://patents.google.com/patent/US20080147253A1/en")</f>
        <v>https://patents.google.com/patent/US20080147253A1/en</v>
      </c>
    </row>
    <row r="13946" spans="3:5" x14ac:dyDescent="0.25">
      <c r="C13946" t="s">
        <v>26033</v>
      </c>
      <c r="D13946" t="s">
        <v>26034</v>
      </c>
      <c r="E13946" t="str">
        <f>HYPERLINK("https://patents.google.com/patent/US20100280751A1/en")</f>
        <v>https://patents.google.com/patent/US20100280751A1/en</v>
      </c>
    </row>
    <row r="13947" spans="3:5" x14ac:dyDescent="0.25">
      <c r="C13947" t="s">
        <v>26035</v>
      </c>
      <c r="D13947" t="s">
        <v>26036</v>
      </c>
      <c r="E13947" t="str">
        <f>HYPERLINK("https://patents.google.com/patent/US20150339928A1/en")</f>
        <v>https://patents.google.com/patent/US20150339928A1/en</v>
      </c>
    </row>
    <row r="13948" spans="3:5" x14ac:dyDescent="0.25">
      <c r="C13948" t="s">
        <v>26037</v>
      </c>
      <c r="D13948" t="s">
        <v>26038</v>
      </c>
      <c r="E13948" t="str">
        <f>HYPERLINK("https://patents.google.com/patent/US20080154629A1/en")</f>
        <v>https://patents.google.com/patent/US20080154629A1/en</v>
      </c>
    </row>
    <row r="13949" spans="3:5" x14ac:dyDescent="0.25">
      <c r="C13949" t="s">
        <v>26039</v>
      </c>
      <c r="D13949" t="s">
        <v>26040</v>
      </c>
      <c r="E13949" t="str">
        <f>HYPERLINK("https://patents.google.com/patent/US20080162036A1/en")</f>
        <v>https://patents.google.com/patent/US20080162036A1/en</v>
      </c>
    </row>
    <row r="13950" spans="3:5" x14ac:dyDescent="0.25">
      <c r="C13950" t="s">
        <v>26041</v>
      </c>
      <c r="D13950" t="s">
        <v>26042</v>
      </c>
      <c r="E13950" t="str">
        <f>HYPERLINK("https://patents.google.com/patent/US20080010009A1/en")</f>
        <v>https://patents.google.com/patent/US20080010009A1/en</v>
      </c>
    </row>
    <row r="13951" spans="3:5" x14ac:dyDescent="0.25">
      <c r="C13951" t="s">
        <v>26043</v>
      </c>
      <c r="D13951" t="s">
        <v>26044</v>
      </c>
      <c r="E13951" t="str">
        <f>HYPERLINK("https://patents.google.com/patent/US20070088727A1/en")</f>
        <v>https://patents.google.com/patent/US20070088727A1/en</v>
      </c>
    </row>
    <row r="13952" spans="3:5" x14ac:dyDescent="0.25">
      <c r="C13952" t="s">
        <v>26045</v>
      </c>
      <c r="D13952" t="s">
        <v>26046</v>
      </c>
      <c r="E13952" t="str">
        <f>HYPERLINK("https://patents.google.com/patent/US20080023587A1/en")</f>
        <v>https://patents.google.com/patent/US20080023587A1/en</v>
      </c>
    </row>
    <row r="13953" spans="3:5" x14ac:dyDescent="0.25">
      <c r="C13953" t="s">
        <v>26047</v>
      </c>
      <c r="D13953" t="s">
        <v>26048</v>
      </c>
      <c r="E13953" t="str">
        <f>HYPERLINK("https://patents.google.com/patent/US20070216540A1/en")</f>
        <v>https://patents.google.com/patent/US20070216540A1/en</v>
      </c>
    </row>
    <row r="13954" spans="3:5" x14ac:dyDescent="0.25">
      <c r="C13954" t="s">
        <v>26049</v>
      </c>
      <c r="D13954" t="s">
        <v>26050</v>
      </c>
      <c r="E13954" t="str">
        <f>HYPERLINK("https://patents.google.com/patent/US20080234930A1/en")</f>
        <v>https://patents.google.com/patent/US20080234930A1/en</v>
      </c>
    </row>
    <row r="13955" spans="3:5" x14ac:dyDescent="0.25">
      <c r="C13955" t="s">
        <v>26051</v>
      </c>
      <c r="D13955" t="s">
        <v>26052</v>
      </c>
      <c r="E13955" t="str">
        <f>HYPERLINK("https://patents.google.com/patent/US20150346727A1/en")</f>
        <v>https://patents.google.com/patent/US20150346727A1/en</v>
      </c>
    </row>
    <row r="13956" spans="3:5" x14ac:dyDescent="0.25">
      <c r="C13956" t="s">
        <v>26053</v>
      </c>
      <c r="D13956" t="s">
        <v>26054</v>
      </c>
      <c r="E13956" t="str">
        <f>HYPERLINK("https://patents.google.com/patent/US20120209505A1/en")</f>
        <v>https://patents.google.com/patent/US20120209505A1/en</v>
      </c>
    </row>
    <row r="13957" spans="3:5" x14ac:dyDescent="0.25">
      <c r="C13957" t="s">
        <v>26055</v>
      </c>
      <c r="D13957" t="s">
        <v>26056</v>
      </c>
      <c r="E13957" t="str">
        <f>HYPERLINK("https://patents.google.com/patent/CN108508909A/en")</f>
        <v>https://patents.google.com/patent/CN108508909A/en</v>
      </c>
    </row>
    <row r="13958" spans="3:5" x14ac:dyDescent="0.25">
      <c r="C13958" t="s">
        <v>22562</v>
      </c>
      <c r="D13958" t="s">
        <v>26057</v>
      </c>
      <c r="E13958" t="str">
        <f>HYPERLINK("https://patents.google.com/patent/JPH0883398A/en")</f>
        <v>https://patents.google.com/patent/JPH0883398A/en</v>
      </c>
    </row>
    <row r="13959" spans="3:5" x14ac:dyDescent="0.25">
      <c r="C13959" t="s">
        <v>22562</v>
      </c>
      <c r="D13959" t="s">
        <v>26058</v>
      </c>
      <c r="E13959" t="str">
        <f>HYPERLINK("https://patents.google.com/patent/US20050215269A1/en")</f>
        <v>https://patents.google.com/patent/US20050215269A1/en</v>
      </c>
    </row>
    <row r="13960" spans="3:5" x14ac:dyDescent="0.25">
      <c r="C13960" t="s">
        <v>26059</v>
      </c>
      <c r="D13960" t="s">
        <v>26060</v>
      </c>
      <c r="E13960" t="str">
        <f>HYPERLINK("https://patents.google.com/patent/US20040160365A1/en")</f>
        <v>https://patents.google.com/patent/US20040160365A1/en</v>
      </c>
    </row>
    <row r="13961" spans="3:5" x14ac:dyDescent="0.25">
      <c r="C13961" t="s">
        <v>26061</v>
      </c>
      <c r="D13961" t="s">
        <v>26062</v>
      </c>
      <c r="E13961" t="str">
        <f>HYPERLINK("https://patents.google.com/patent/US20080106436A1/en")</f>
        <v>https://patents.google.com/patent/US20080106436A1/en</v>
      </c>
    </row>
    <row r="13962" spans="3:5" x14ac:dyDescent="0.25">
      <c r="C13962" t="s">
        <v>26063</v>
      </c>
      <c r="D13962" t="s">
        <v>26064</v>
      </c>
      <c r="E13962" t="str">
        <f>HYPERLINK("https://patents.google.com/patent/US20100004860A1/en")</f>
        <v>https://patents.google.com/patent/US20100004860A1/en</v>
      </c>
    </row>
    <row r="13963" spans="3:5" x14ac:dyDescent="0.25">
      <c r="C13963" t="s">
        <v>26065</v>
      </c>
      <c r="D13963" t="s">
        <v>26066</v>
      </c>
      <c r="E13963" t="str">
        <f>HYPERLINK("https://patents.google.com/patent/US20050165789A1/en")</f>
        <v>https://patents.google.com/patent/US20050165789A1/en</v>
      </c>
    </row>
    <row r="13964" spans="3:5" x14ac:dyDescent="0.25">
      <c r="C13964" t="s">
        <v>26067</v>
      </c>
      <c r="D13964" t="s">
        <v>26068</v>
      </c>
      <c r="E13964" t="str">
        <f>HYPERLINK("https://patents.google.com/patent/US20100030400A1/en")</f>
        <v>https://patents.google.com/patent/US20100030400A1/en</v>
      </c>
    </row>
    <row r="13965" spans="3:5" x14ac:dyDescent="0.25">
      <c r="C13965" t="s">
        <v>26067</v>
      </c>
      <c r="D13965" t="s">
        <v>26069</v>
      </c>
      <c r="E13965" t="str">
        <f>HYPERLINK("https://patents.google.com/patent/US7415326B2/en")</f>
        <v>https://patents.google.com/patent/US7415326B2/en</v>
      </c>
    </row>
    <row r="13966" spans="3:5" x14ac:dyDescent="0.25">
      <c r="C13966" t="s">
        <v>10144</v>
      </c>
      <c r="D13966" t="s">
        <v>26070</v>
      </c>
      <c r="E13966" t="str">
        <f>HYPERLINK("https://patents.google.com/patent/US20120010968A1/en")</f>
        <v>https://patents.google.com/patent/US20120010968A1/en</v>
      </c>
    </row>
    <row r="13967" spans="3:5" x14ac:dyDescent="0.25">
      <c r="C13967" t="s">
        <v>26071</v>
      </c>
      <c r="D13967" t="s">
        <v>26072</v>
      </c>
      <c r="E13967" t="str">
        <f>HYPERLINK("https://patents.google.com/patent/US20160196756A1/en")</f>
        <v>https://patents.google.com/patent/US20160196756A1/en</v>
      </c>
    </row>
    <row r="13968" spans="3:5" x14ac:dyDescent="0.25">
      <c r="C13968" t="s">
        <v>26073</v>
      </c>
      <c r="D13968" t="s">
        <v>26074</v>
      </c>
      <c r="E13968" t="str">
        <f>HYPERLINK("https://patents.google.com/patent/US20100324752A1/en")</f>
        <v>https://patents.google.com/patent/US20100324752A1/en</v>
      </c>
    </row>
    <row r="13969" spans="3:5" x14ac:dyDescent="0.25">
      <c r="C13969" t="s">
        <v>17498</v>
      </c>
      <c r="D13969" t="s">
        <v>26075</v>
      </c>
      <c r="E13969" t="str">
        <f>HYPERLINK("https://patents.google.com/patent/US20020152018A1/en")</f>
        <v>https://patents.google.com/patent/US20020152018A1/en</v>
      </c>
    </row>
    <row r="13970" spans="3:5" x14ac:dyDescent="0.25">
      <c r="C13970" t="s">
        <v>26076</v>
      </c>
      <c r="D13970" t="s">
        <v>26077</v>
      </c>
      <c r="E13970" t="str">
        <f>HYPERLINK("https://patents.google.com/patent/US20110112866A1/en")</f>
        <v>https://patents.google.com/patent/US20110112866A1/en</v>
      </c>
    </row>
    <row r="13971" spans="3:5" x14ac:dyDescent="0.25">
      <c r="C13971" t="s">
        <v>26078</v>
      </c>
      <c r="D13971" t="s">
        <v>26079</v>
      </c>
      <c r="E13971" t="str">
        <f>HYPERLINK("https://patents.google.com/patent/US7766274B1/en")</f>
        <v>https://patents.google.com/patent/US7766274B1/en</v>
      </c>
    </row>
    <row r="13972" spans="3:5" x14ac:dyDescent="0.25">
      <c r="C13972" t="s">
        <v>26080</v>
      </c>
      <c r="D13972" t="s">
        <v>26081</v>
      </c>
      <c r="E13972" t="str">
        <f>HYPERLINK("https://patents.google.com/patent/US20080046174A1/en")</f>
        <v>https://patents.google.com/patent/US20080046174A1/en</v>
      </c>
    </row>
    <row r="13973" spans="3:5" x14ac:dyDescent="0.25">
      <c r="C13973" t="s">
        <v>25961</v>
      </c>
      <c r="D13973" t="s">
        <v>26082</v>
      </c>
      <c r="E13973" t="str">
        <f>HYPERLINK("https://patents.google.com/patent/WO1999009374A2/en")</f>
        <v>https://patents.google.com/patent/WO1999009374A2/en</v>
      </c>
    </row>
    <row r="13974" spans="3:5" x14ac:dyDescent="0.25">
      <c r="C13974" t="s">
        <v>26083</v>
      </c>
      <c r="D13974" t="s">
        <v>26084</v>
      </c>
      <c r="E13974" t="str">
        <f>HYPERLINK("https://patents.google.com/patent/JP2006112932A/en")</f>
        <v>https://patents.google.com/patent/JP2006112932A/en</v>
      </c>
    </row>
    <row r="13975" spans="3:5" x14ac:dyDescent="0.25">
      <c r="C13975" t="s">
        <v>25999</v>
      </c>
      <c r="D13975" t="s">
        <v>26085</v>
      </c>
      <c r="E13975" t="str">
        <f>HYPERLINK("https://patents.google.com/patent/US20080088506A1/en")</f>
        <v>https://patents.google.com/patent/US20080088506A1/en</v>
      </c>
    </row>
    <row r="13976" spans="3:5" x14ac:dyDescent="0.25">
      <c r="C13976" t="s">
        <v>26086</v>
      </c>
      <c r="D13976" t="s">
        <v>26087</v>
      </c>
      <c r="E13976" t="str">
        <f>HYPERLINK("https://patents.google.com/patent/US20060116816A1/en")</f>
        <v>https://patents.google.com/patent/US20060116816A1/en</v>
      </c>
    </row>
    <row r="13977" spans="3:5" x14ac:dyDescent="0.25">
      <c r="C13977" t="s">
        <v>26088</v>
      </c>
      <c r="D13977" t="s">
        <v>26089</v>
      </c>
      <c r="E13977" t="str">
        <f>HYPERLINK("https://patents.google.com/patent/US7856938B2/en")</f>
        <v>https://patents.google.com/patent/US7856938B2/en</v>
      </c>
    </row>
    <row r="13978" spans="3:5" x14ac:dyDescent="0.25">
      <c r="C13978" t="s">
        <v>26090</v>
      </c>
      <c r="D13978" t="s">
        <v>26091</v>
      </c>
      <c r="E13978" t="str">
        <f>HYPERLINK("https://patents.google.com/patent/JP2003185453A/en")</f>
        <v>https://patents.google.com/patent/JP2003185453A/en</v>
      </c>
    </row>
    <row r="13979" spans="3:5" x14ac:dyDescent="0.25">
      <c r="C13979" t="s">
        <v>26092</v>
      </c>
      <c r="D13979" t="s">
        <v>26093</v>
      </c>
      <c r="E13979" t="str">
        <f>HYPERLINK("https://patents.google.com/patent/JP2003294464A/en")</f>
        <v>https://patents.google.com/patent/JP2003294464A/en</v>
      </c>
    </row>
    <row r="13980" spans="3:5" x14ac:dyDescent="0.25">
      <c r="C13980" t="s">
        <v>25965</v>
      </c>
      <c r="D13980" t="s">
        <v>26094</v>
      </c>
      <c r="E13980" t="str">
        <f>HYPERLINK("https://patents.google.com/patent/WO2000022593A1/en")</f>
        <v>https://patents.google.com/patent/WO2000022593A1/en</v>
      </c>
    </row>
    <row r="13981" spans="3:5" x14ac:dyDescent="0.25">
      <c r="C13981" t="s">
        <v>26095</v>
      </c>
      <c r="D13981" t="s">
        <v>26096</v>
      </c>
      <c r="E13981" t="str">
        <f>HYPERLINK("https://patents.google.com/patent/US20070052552A1/en")</f>
        <v>https://patents.google.com/patent/US20070052552A1/en</v>
      </c>
    </row>
    <row r="13982" spans="3:5" x14ac:dyDescent="0.25">
      <c r="C13982" t="s">
        <v>26097</v>
      </c>
      <c r="D13982" t="s">
        <v>26098</v>
      </c>
      <c r="E13982" t="str">
        <f>HYPERLINK("https://patents.google.com/patent/US20150338852A1/en")</f>
        <v>https://patents.google.com/patent/US20150338852A1/en</v>
      </c>
    </row>
    <row r="13983" spans="3:5" x14ac:dyDescent="0.25">
      <c r="C13983" t="s">
        <v>26099</v>
      </c>
      <c r="D13983" t="s">
        <v>26100</v>
      </c>
      <c r="E13983" t="str">
        <f>HYPERLINK("https://patents.google.com/patent/US20060247854A1/en")</f>
        <v>https://patents.google.com/patent/US20060247854A1/en</v>
      </c>
    </row>
    <row r="13984" spans="3:5" x14ac:dyDescent="0.25">
      <c r="C13984" t="s">
        <v>26101</v>
      </c>
      <c r="D13984" t="s">
        <v>26102</v>
      </c>
      <c r="E13984" t="str">
        <f>HYPERLINK("https://patents.google.com/patent/JPH08240435A/en")</f>
        <v>https://patents.google.com/patent/JPH08240435A/en</v>
      </c>
    </row>
    <row r="13985" spans="3:5" x14ac:dyDescent="0.25">
      <c r="C13985" t="s">
        <v>26103</v>
      </c>
      <c r="D13985" t="s">
        <v>26104</v>
      </c>
      <c r="E13985" t="str">
        <f>HYPERLINK("https://patents.google.com/patent/JP2004096973A/en")</f>
        <v>https://patents.google.com/patent/JP2004096973A/en</v>
      </c>
    </row>
    <row r="13986" spans="3:5" x14ac:dyDescent="0.25">
      <c r="C13986" t="s">
        <v>26105</v>
      </c>
      <c r="D13986" t="s">
        <v>26106</v>
      </c>
      <c r="E13986" t="str">
        <f>HYPERLINK("https://patents.google.com/patent/US20030212485A1/en")</f>
        <v>https://patents.google.com/patent/US20030212485A1/en</v>
      </c>
    </row>
    <row r="13987" spans="3:5" x14ac:dyDescent="0.25">
      <c r="C13987" t="s">
        <v>26107</v>
      </c>
      <c r="D13987" t="s">
        <v>26108</v>
      </c>
      <c r="E13987" t="str">
        <f>HYPERLINK("https://patents.google.com/patent/JP2002286489A/en")</f>
        <v>https://patents.google.com/patent/JP2002286489A/en</v>
      </c>
    </row>
    <row r="13988" spans="3:5" x14ac:dyDescent="0.25">
      <c r="C13988" t="s">
        <v>26109</v>
      </c>
      <c r="D13988" t="s">
        <v>26110</v>
      </c>
      <c r="E13988" t="str">
        <f>HYPERLINK("https://patents.google.com/patent/US20150197248A1/en")</f>
        <v>https://patents.google.com/patent/US20150197248A1/en</v>
      </c>
    </row>
    <row r="13989" spans="3:5" x14ac:dyDescent="0.25">
      <c r="C13989" t="s">
        <v>26111</v>
      </c>
      <c r="D13989" t="s">
        <v>26112</v>
      </c>
      <c r="E13989" t="str">
        <f>HYPERLINK("https://patents.google.com/patent/US20150081338A1/en")</f>
        <v>https://patents.google.com/patent/US20150081338A1/en</v>
      </c>
    </row>
    <row r="13990" spans="3:5" x14ac:dyDescent="0.25">
      <c r="C13990" t="s">
        <v>22562</v>
      </c>
      <c r="D13990" t="s">
        <v>26113</v>
      </c>
      <c r="E13990" t="str">
        <f>HYPERLINK("https://patents.google.com/patent/JP2002181555A/en")</f>
        <v>https://patents.google.com/patent/JP2002181555A/en</v>
      </c>
    </row>
    <row r="13991" spans="3:5" x14ac:dyDescent="0.25">
      <c r="C13991" t="s">
        <v>26114</v>
      </c>
      <c r="D13991" t="s">
        <v>26115</v>
      </c>
      <c r="E13991" t="str">
        <f>HYPERLINK("https://patents.google.com/patent/CN101140166A/en")</f>
        <v>https://patents.google.com/patent/CN101140166A/en</v>
      </c>
    </row>
    <row r="13992" spans="3:5" x14ac:dyDescent="0.25">
      <c r="C13992" t="s">
        <v>22562</v>
      </c>
      <c r="D13992" t="s">
        <v>26116</v>
      </c>
      <c r="E13992" t="str">
        <f>HYPERLINK("https://patents.google.com/patent/JP2006214980A/en")</f>
        <v>https://patents.google.com/patent/JP2006214980A/en</v>
      </c>
    </row>
    <row r="13993" spans="3:5" x14ac:dyDescent="0.25">
      <c r="C13993" t="s">
        <v>26117</v>
      </c>
      <c r="D13993" t="s">
        <v>26118</v>
      </c>
      <c r="E13993" t="str">
        <f>HYPERLINK("https://patents.google.com/patent/JP2005127994A/en")</f>
        <v>https://patents.google.com/patent/JP2005127994A/en</v>
      </c>
    </row>
    <row r="13994" spans="3:5" x14ac:dyDescent="0.25">
      <c r="C13994" t="s">
        <v>26119</v>
      </c>
      <c r="D13994" t="s">
        <v>26120</v>
      </c>
      <c r="E13994" t="str">
        <f>HYPERLINK("https://patents.google.com/patent/JPH08248953A/en")</f>
        <v>https://patents.google.com/patent/JPH08248953A/en</v>
      </c>
    </row>
    <row r="13995" spans="3:5" x14ac:dyDescent="0.25">
      <c r="C13995" t="s">
        <v>25959</v>
      </c>
      <c r="D13995" t="s">
        <v>26121</v>
      </c>
      <c r="E13995" t="str">
        <f>HYPERLINK("https://patents.google.com/patent/WO1991009375A1/en")</f>
        <v>https://patents.google.com/patent/WO1991009375A1/en</v>
      </c>
    </row>
    <row r="13996" spans="3:5" x14ac:dyDescent="0.25">
      <c r="C13996" t="s">
        <v>26122</v>
      </c>
      <c r="D13996" t="s">
        <v>26123</v>
      </c>
      <c r="E13996" t="str">
        <f>HYPERLINK("https://patents.google.com/patent/JP2005106741A/en")</f>
        <v>https://patents.google.com/patent/JP2005106741A/en</v>
      </c>
    </row>
    <row r="13997" spans="3:5" x14ac:dyDescent="0.25">
      <c r="C13997" t="s">
        <v>26124</v>
      </c>
      <c r="D13997" t="s">
        <v>26125</v>
      </c>
      <c r="E13997" t="str">
        <f>HYPERLINK("https://patents.google.com/patent/CN1512138A/en")</f>
        <v>https://patents.google.com/patent/CN1512138A/en</v>
      </c>
    </row>
    <row r="13998" spans="3:5" x14ac:dyDescent="0.25">
      <c r="C13998" t="s">
        <v>26126</v>
      </c>
      <c r="D13998" t="s">
        <v>26127</v>
      </c>
      <c r="E13998" t="str">
        <f>HYPERLINK("https://patents.google.com/patent/CN101900558A/en")</f>
        <v>https://patents.google.com/patent/CN101900558A/en</v>
      </c>
    </row>
    <row r="13999" spans="3:5" x14ac:dyDescent="0.25">
      <c r="C13999" t="s">
        <v>26128</v>
      </c>
      <c r="D13999" t="s">
        <v>26129</v>
      </c>
      <c r="E13999" t="str">
        <f>HYPERLINK("https://patents.google.com/patent/US20150323932A1/en")</f>
        <v>https://patents.google.com/patent/US20150323932A1/en</v>
      </c>
    </row>
    <row r="14000" spans="3:5" x14ac:dyDescent="0.25">
      <c r="C14000" t="s">
        <v>26130</v>
      </c>
      <c r="D14000" t="s">
        <v>26131</v>
      </c>
      <c r="E14000" t="str">
        <f>HYPERLINK("https://patents.google.com/patent/US20070083325A1/en")</f>
        <v>https://patents.google.com/patent/US20070083325A1/en</v>
      </c>
    </row>
    <row r="14001" spans="3:5" x14ac:dyDescent="0.25">
      <c r="C14001" t="s">
        <v>26132</v>
      </c>
      <c r="D14001" t="s">
        <v>26133</v>
      </c>
      <c r="E14001" t="str">
        <f>HYPERLINK("https://patents.google.com/patent/JPH1183516A/en")</f>
        <v>https://patents.google.com/patent/JPH1183516A/en</v>
      </c>
    </row>
    <row r="14002" spans="3:5" x14ac:dyDescent="0.25">
      <c r="C14002" t="s">
        <v>22562</v>
      </c>
      <c r="D14002" t="s">
        <v>26134</v>
      </c>
      <c r="E14002" t="str">
        <f>HYPERLINK("https://patents.google.com/patent/JP2006184030A/en")</f>
        <v>https://patents.google.com/patent/JP2006184030A/en</v>
      </c>
    </row>
    <row r="14003" spans="3:5" x14ac:dyDescent="0.25">
      <c r="C14003" t="s">
        <v>26135</v>
      </c>
      <c r="D14003" t="s">
        <v>26136</v>
      </c>
      <c r="E14003" t="str">
        <f>HYPERLINK("https://patents.google.com/patent/JP2003232641A/en")</f>
        <v>https://patents.google.com/patent/JP2003232641A/en</v>
      </c>
    </row>
    <row r="14004" spans="3:5" x14ac:dyDescent="0.25">
      <c r="C14004" t="s">
        <v>26137</v>
      </c>
      <c r="D14004" t="s">
        <v>26138</v>
      </c>
      <c r="E14004" t="str">
        <f>HYPERLINK("https://patents.google.com/patent/JP2002251432A/en")</f>
        <v>https://patents.google.com/patent/JP2002251432A/en</v>
      </c>
    </row>
    <row r="14005" spans="3:5" x14ac:dyDescent="0.25">
      <c r="C14005" t="s">
        <v>25386</v>
      </c>
      <c r="D14005" t="s">
        <v>26139</v>
      </c>
      <c r="E14005" t="str">
        <f>HYPERLINK("https://patents.google.com/patent/JP2000035337A/en")</f>
        <v>https://patents.google.com/patent/JP2000035337A/en</v>
      </c>
    </row>
    <row r="14006" spans="3:5" x14ac:dyDescent="0.25">
      <c r="C14006" t="s">
        <v>26140</v>
      </c>
      <c r="D14006" t="s">
        <v>26141</v>
      </c>
      <c r="E14006" t="str">
        <f>HYPERLINK("https://patents.google.com/patent/US20110204644A1/en")</f>
        <v>https://patents.google.com/patent/US20110204644A1/en</v>
      </c>
    </row>
    <row r="14007" spans="3:5" x14ac:dyDescent="0.25">
      <c r="C14007" t="s">
        <v>26142</v>
      </c>
      <c r="D14007" t="s">
        <v>26143</v>
      </c>
      <c r="E14007" t="str">
        <f>HYPERLINK("https://patents.google.com/patent/US20150348335A1/en")</f>
        <v>https://patents.google.com/patent/US20150348335A1/en</v>
      </c>
    </row>
    <row r="14008" spans="3:5" x14ac:dyDescent="0.25">
      <c r="C14008" t="s">
        <v>26144</v>
      </c>
      <c r="D14008" t="s">
        <v>26145</v>
      </c>
      <c r="E14008" t="str">
        <f>HYPERLINK("https://patents.google.com/patent/CN103335853A/en")</f>
        <v>https://patents.google.com/patent/CN103335853A/en</v>
      </c>
    </row>
    <row r="14009" spans="3:5" x14ac:dyDescent="0.25">
      <c r="C14009" t="s">
        <v>26146</v>
      </c>
      <c r="D14009" t="s">
        <v>26147</v>
      </c>
      <c r="E14009" t="str">
        <f>HYPERLINK("https://patents.google.com/patent/JP2009103504A/en")</f>
        <v>https://patents.google.com/patent/JP2009103504A/en</v>
      </c>
    </row>
    <row r="14010" spans="3:5" x14ac:dyDescent="0.25">
      <c r="C14010" t="s">
        <v>26148</v>
      </c>
      <c r="D14010" t="s">
        <v>26149</v>
      </c>
      <c r="E14010" t="str">
        <f>HYPERLINK("https://patents.google.com/patent/CN202071987U/en")</f>
        <v>https://patents.google.com/patent/CN202071987U/en</v>
      </c>
    </row>
    <row r="14011" spans="3:5" x14ac:dyDescent="0.25">
      <c r="C14011" t="s">
        <v>26150</v>
      </c>
      <c r="D14011" t="s">
        <v>26151</v>
      </c>
      <c r="E14011" t="str">
        <f>HYPERLINK("https://patents.google.com/patent/US20150369621A1/en")</f>
        <v>https://patents.google.com/patent/US20150369621A1/en</v>
      </c>
    </row>
    <row r="14012" spans="3:5" x14ac:dyDescent="0.25">
      <c r="C14012" t="s">
        <v>26152</v>
      </c>
      <c r="D14012" t="s">
        <v>26153</v>
      </c>
      <c r="E14012" t="str">
        <f>HYPERLINK("https://patents.google.com/patent/JP2003148974A/en")</f>
        <v>https://patents.google.com/patent/JP2003148974A/en</v>
      </c>
    </row>
    <row r="14013" spans="3:5" x14ac:dyDescent="0.25">
      <c r="C14013" t="s">
        <v>26154</v>
      </c>
      <c r="D14013" t="s">
        <v>26155</v>
      </c>
      <c r="E14013" t="str">
        <f>HYPERLINK("https://patents.google.com/patent/WO2000054177A2/en")</f>
        <v>https://patents.google.com/patent/WO2000054177A2/en</v>
      </c>
    </row>
    <row r="14014" spans="3:5" x14ac:dyDescent="0.25">
      <c r="C14014" t="s">
        <v>25386</v>
      </c>
      <c r="D14014" t="s">
        <v>26156</v>
      </c>
      <c r="E14014" t="str">
        <f>HYPERLINK("https://patents.google.com/patent/JP2003121182A/en")</f>
        <v>https://patents.google.com/patent/JP2003121182A/en</v>
      </c>
    </row>
    <row r="14015" spans="3:5" x14ac:dyDescent="0.25">
      <c r="C14015" t="s">
        <v>26157</v>
      </c>
      <c r="D14015" t="s">
        <v>26158</v>
      </c>
      <c r="E14015" t="str">
        <f>HYPERLINK("https://patents.google.com/patent/DE3925057A1/en")</f>
        <v>https://patents.google.com/patent/DE3925057A1/en</v>
      </c>
    </row>
    <row r="14016" spans="3:5" x14ac:dyDescent="0.25">
      <c r="C14016" t="s">
        <v>26159</v>
      </c>
      <c r="D14016" t="s">
        <v>26160</v>
      </c>
      <c r="E14016" t="str">
        <f>HYPERLINK("https://patents.google.com/patent/JPH07271824A/en")</f>
        <v>https://patents.google.com/patent/JPH07271824A/en</v>
      </c>
    </row>
    <row r="14017" spans="3:5" x14ac:dyDescent="0.25">
      <c r="C14017" t="s">
        <v>26161</v>
      </c>
      <c r="D14017" t="s">
        <v>26162</v>
      </c>
      <c r="E14017" t="str">
        <f>HYPERLINK("https://patents.google.com/patent/JP2000146617A/en")</f>
        <v>https://patents.google.com/patent/JP2000146617A/en</v>
      </c>
    </row>
    <row r="14018" spans="3:5" x14ac:dyDescent="0.25">
      <c r="C14018" t="s">
        <v>26163</v>
      </c>
      <c r="D14018" t="s">
        <v>26164</v>
      </c>
      <c r="E14018" t="str">
        <f>HYPERLINK("https://patents.google.com/patent/US20150149263A1/en")</f>
        <v>https://patents.google.com/patent/US20150149263A1/en</v>
      </c>
    </row>
    <row r="14019" spans="3:5" x14ac:dyDescent="0.25">
      <c r="C14019" t="s">
        <v>26165</v>
      </c>
      <c r="D14019" t="s">
        <v>26166</v>
      </c>
      <c r="E14019" t="str">
        <f>HYPERLINK("https://patents.google.com/patent/JPH11115651A/en")</f>
        <v>https://patents.google.com/patent/JPH11115651A/en</v>
      </c>
    </row>
    <row r="14020" spans="3:5" x14ac:dyDescent="0.25">
      <c r="C14020" t="s">
        <v>26167</v>
      </c>
      <c r="D14020" t="s">
        <v>26168</v>
      </c>
      <c r="E14020" t="str">
        <f>HYPERLINK("https://patents.google.com/patent/JPH08271273A/en")</f>
        <v>https://patents.google.com/patent/JPH08271273A/en</v>
      </c>
    </row>
    <row r="14021" spans="3:5" x14ac:dyDescent="0.25">
      <c r="C14021" t="s">
        <v>26169</v>
      </c>
      <c r="D14021" t="s">
        <v>26170</v>
      </c>
      <c r="E14021" t="str">
        <f>HYPERLINK("https://patents.google.com/patent/WO2000054205A2/en")</f>
        <v>https://patents.google.com/patent/WO2000054205A2/en</v>
      </c>
    </row>
    <row r="14022" spans="3:5" x14ac:dyDescent="0.25">
      <c r="C14022" t="s">
        <v>25532</v>
      </c>
      <c r="D14022" t="s">
        <v>26171</v>
      </c>
      <c r="E14022" t="str">
        <f>HYPERLINK("https://patents.google.com/patent/JP2001056232A/en")</f>
        <v>https://patents.google.com/patent/JP2001056232A/en</v>
      </c>
    </row>
    <row r="14023" spans="3:5" x14ac:dyDescent="0.25">
      <c r="C14023" t="s">
        <v>22562</v>
      </c>
      <c r="D14023" t="s">
        <v>26172</v>
      </c>
      <c r="E14023" t="str">
        <f>HYPERLINK("https://patents.google.com/patent/JP2002133575A/en")</f>
        <v>https://patents.google.com/patent/JP2002133575A/en</v>
      </c>
    </row>
    <row r="14024" spans="3:5" x14ac:dyDescent="0.25">
      <c r="C14024" t="s">
        <v>26173</v>
      </c>
      <c r="D14024" t="s">
        <v>26174</v>
      </c>
      <c r="E14024" t="str">
        <f>HYPERLINK("https://patents.google.com/patent/WO2000054206A2/en")</f>
        <v>https://patents.google.com/patent/WO2000054206A2/en</v>
      </c>
    </row>
    <row r="14025" spans="3:5" x14ac:dyDescent="0.25">
      <c r="C14025" t="s">
        <v>26175</v>
      </c>
      <c r="D14025" t="s">
        <v>26176</v>
      </c>
      <c r="E14025" t="str">
        <f>HYPERLINK("https://patents.google.com/patent/JP2002340589A/en")</f>
        <v>https://patents.google.com/patent/JP2002340589A/en</v>
      </c>
    </row>
    <row r="14026" spans="3:5" x14ac:dyDescent="0.25">
      <c r="C14026" t="s">
        <v>22562</v>
      </c>
      <c r="D14026" t="s">
        <v>26177</v>
      </c>
      <c r="E14026" t="str">
        <f>HYPERLINK("https://patents.google.com/patent/JPH11271071A/en")</f>
        <v>https://patents.google.com/patent/JPH11271071A/en</v>
      </c>
    </row>
    <row r="14027" spans="3:5" x14ac:dyDescent="0.25">
      <c r="C14027" t="s">
        <v>26178</v>
      </c>
      <c r="D14027" t="s">
        <v>26179</v>
      </c>
      <c r="E14027" t="str">
        <f>HYPERLINK("https://patents.google.com/patent/US20160086494A1/en")</f>
        <v>https://patents.google.com/patent/US20160086494A1/en</v>
      </c>
    </row>
    <row r="14028" spans="3:5" x14ac:dyDescent="0.25">
      <c r="C14028" t="s">
        <v>26180</v>
      </c>
      <c r="D14028" t="s">
        <v>26181</v>
      </c>
      <c r="E14028" t="str">
        <f>HYPERLINK("https://patents.google.com/patent/WO2012070595A1/en")</f>
        <v>https://patents.google.com/patent/WO2012070595A1/en</v>
      </c>
    </row>
    <row r="14029" spans="3:5" x14ac:dyDescent="0.25">
      <c r="C14029" t="s">
        <v>26182</v>
      </c>
      <c r="D14029" t="s">
        <v>26183</v>
      </c>
      <c r="E14029" t="str">
        <f>HYPERLINK("https://patents.google.com/patent/CN1412525A/en")</f>
        <v>https://patents.google.com/patent/CN1412525A/en</v>
      </c>
    </row>
    <row r="14030" spans="3:5" x14ac:dyDescent="0.25">
      <c r="C14030" t="s">
        <v>26184</v>
      </c>
      <c r="D14030" t="s">
        <v>26185</v>
      </c>
      <c r="E14030" t="str">
        <f>HYPERLINK("https://patents.google.com/patent/JP2003121173A/en")</f>
        <v>https://patents.google.com/patent/JP2003121173A/en</v>
      </c>
    </row>
    <row r="14031" spans="3:5" x14ac:dyDescent="0.25">
      <c r="C14031" t="s">
        <v>26186</v>
      </c>
      <c r="D14031" t="s">
        <v>26187</v>
      </c>
      <c r="E14031" t="str">
        <f>HYPERLINK("https://patents.google.com/patent/JP2003218718A/en")</f>
        <v>https://patents.google.com/patent/JP2003218718A/en</v>
      </c>
    </row>
    <row r="14032" spans="3:5" x14ac:dyDescent="0.25">
      <c r="C14032" t="s">
        <v>26188</v>
      </c>
      <c r="D14032" t="s">
        <v>26189</v>
      </c>
      <c r="E14032" t="str">
        <f>HYPERLINK("https://patents.google.com/patent/CN105058393A/en")</f>
        <v>https://patents.google.com/patent/CN105058393A/en</v>
      </c>
    </row>
    <row r="14033" spans="3:5" x14ac:dyDescent="0.25">
      <c r="C14033" t="s">
        <v>26190</v>
      </c>
      <c r="D14033" t="s">
        <v>26191</v>
      </c>
      <c r="E14033" t="str">
        <f>HYPERLINK("https://patents.google.com/patent/JPH09257499A/en")</f>
        <v>https://patents.google.com/patent/JPH09257499A/en</v>
      </c>
    </row>
    <row r="14034" spans="3:5" x14ac:dyDescent="0.25">
      <c r="C14034" t="s">
        <v>26192</v>
      </c>
      <c r="D14034" t="s">
        <v>26193</v>
      </c>
      <c r="E14034" t="str">
        <f>HYPERLINK("https://patents.google.com/patent/JP2005156290A/en")</f>
        <v>https://patents.google.com/patent/JP2005156290A/en</v>
      </c>
    </row>
    <row r="14035" spans="3:5" x14ac:dyDescent="0.25">
      <c r="C14035" t="s">
        <v>26194</v>
      </c>
      <c r="D14035" t="s">
        <v>26195</v>
      </c>
      <c r="E14035" t="str">
        <f>HYPERLINK("https://patents.google.com/patent/US20050240341A1/en")</f>
        <v>https://patents.google.com/patent/US20050240341A1/en</v>
      </c>
    </row>
    <row r="14036" spans="3:5" x14ac:dyDescent="0.25">
      <c r="C14036" t="s">
        <v>26196</v>
      </c>
      <c r="D14036" t="s">
        <v>26197</v>
      </c>
      <c r="E14036" t="str">
        <f>HYPERLINK("https://patents.google.com/patent/JP2005229226A/en")</f>
        <v>https://patents.google.com/patent/JP2005229226A/en</v>
      </c>
    </row>
    <row r="14037" spans="3:5" x14ac:dyDescent="0.25">
      <c r="C14037" t="s">
        <v>26198</v>
      </c>
      <c r="D14037" t="s">
        <v>26199</v>
      </c>
      <c r="E14037" t="str">
        <f>HYPERLINK("https://patents.google.com/patent/US20020152024A1/en")</f>
        <v>https://patents.google.com/patent/US20020152024A1/en</v>
      </c>
    </row>
    <row r="14038" spans="3:5" x14ac:dyDescent="0.25">
      <c r="C14038" t="s">
        <v>26200</v>
      </c>
      <c r="D14038" t="s">
        <v>26201</v>
      </c>
      <c r="E14038" t="str">
        <f>HYPERLINK("https://patents.google.com/patent/US20180101179A1/en")</f>
        <v>https://patents.google.com/patent/US20180101179A1/en</v>
      </c>
    </row>
    <row r="14039" spans="3:5" x14ac:dyDescent="0.25">
      <c r="C14039" t="s">
        <v>26202</v>
      </c>
      <c r="D14039" t="s">
        <v>26203</v>
      </c>
      <c r="E14039" t="str">
        <f>HYPERLINK("https://patents.google.com/patent/DE102016117123A1/en")</f>
        <v>https://patents.google.com/patent/DE102016117123A1/en</v>
      </c>
    </row>
    <row r="14040" spans="3:5" x14ac:dyDescent="0.25">
      <c r="C14040" t="s">
        <v>26204</v>
      </c>
      <c r="D14040" t="s">
        <v>26205</v>
      </c>
      <c r="E14040" t="str">
        <f>HYPERLINK("https://patents.google.com/patent/CN103391373A/en")</f>
        <v>https://patents.google.com/patent/CN103391373A/en</v>
      </c>
    </row>
    <row r="14041" spans="3:5" x14ac:dyDescent="0.25">
      <c r="C14041" t="s">
        <v>26206</v>
      </c>
      <c r="D14041" t="s">
        <v>26207</v>
      </c>
      <c r="E14041" t="str">
        <f>HYPERLINK("https://patents.google.com/patent/JP2000074677A/en")</f>
        <v>https://patents.google.com/patent/JP2000074677A/en</v>
      </c>
    </row>
    <row r="14042" spans="3:5" x14ac:dyDescent="0.25">
      <c r="C14042" t="s">
        <v>26208</v>
      </c>
      <c r="D14042" t="s">
        <v>26209</v>
      </c>
      <c r="E14042" t="str">
        <f>HYPERLINK("https://patents.google.com/patent/JPH05216404A/en")</f>
        <v>https://patents.google.com/patent/JPH05216404A/en</v>
      </c>
    </row>
    <row r="14043" spans="3:5" x14ac:dyDescent="0.25">
      <c r="C14043" t="s">
        <v>26210</v>
      </c>
      <c r="D14043" t="s">
        <v>26211</v>
      </c>
      <c r="E14043" t="str">
        <f>HYPERLINK("https://patents.google.com/patent/RU134633U1/en")</f>
        <v>https://patents.google.com/patent/RU134633U1/en</v>
      </c>
    </row>
    <row r="14044" spans="3:5" x14ac:dyDescent="0.25">
      <c r="C14044" t="s">
        <v>26212</v>
      </c>
      <c r="D14044" t="s">
        <v>26213</v>
      </c>
      <c r="E14044" t="str">
        <f>HYPERLINK("https://patents.google.com/patent/JP2006275520A/en")</f>
        <v>https://patents.google.com/patent/JP2006275520A/en</v>
      </c>
    </row>
    <row r="14045" spans="3:5" x14ac:dyDescent="0.25">
      <c r="C14045" t="s">
        <v>26214</v>
      </c>
      <c r="D14045" t="s">
        <v>26215</v>
      </c>
      <c r="E14045" t="str">
        <f>HYPERLINK("https://patents.google.com/patent/CN102589910A/en")</f>
        <v>https://patents.google.com/patent/CN102589910A/en</v>
      </c>
    </row>
    <row r="14046" spans="3:5" x14ac:dyDescent="0.25">
      <c r="C14046" t="s">
        <v>26216</v>
      </c>
      <c r="D14046" t="s">
        <v>26217</v>
      </c>
      <c r="E14046" t="str">
        <f>HYPERLINK("https://patents.google.com/patent/DE10031834A1/en")</f>
        <v>https://patents.google.com/patent/DE10031834A1/en</v>
      </c>
    </row>
    <row r="14047" spans="3:5" x14ac:dyDescent="0.25">
      <c r="C14047" t="s">
        <v>26218</v>
      </c>
      <c r="D14047" t="s">
        <v>26219</v>
      </c>
      <c r="E14047" t="str">
        <f>HYPERLINK("https://patents.google.com/patent/GB2295063A/en")</f>
        <v>https://patents.google.com/patent/GB2295063A/en</v>
      </c>
    </row>
    <row r="14048" spans="3:5" x14ac:dyDescent="0.25">
      <c r="C14048" t="s">
        <v>26220</v>
      </c>
      <c r="D14048" t="s">
        <v>26221</v>
      </c>
      <c r="E14048" t="str">
        <f>HYPERLINK("https://patents.google.com/patent/JP2005040434A/en")</f>
        <v>https://patents.google.com/patent/JP2005040434A/en</v>
      </c>
    </row>
    <row r="14049" spans="3:5" x14ac:dyDescent="0.25">
      <c r="C14049" t="s">
        <v>26222</v>
      </c>
      <c r="D14049" t="s">
        <v>26223</v>
      </c>
      <c r="E14049" t="str">
        <f>HYPERLINK("https://patents.google.com/patent/CN105241454A/en")</f>
        <v>https://patents.google.com/patent/CN105241454A/en</v>
      </c>
    </row>
    <row r="14050" spans="3:5" x14ac:dyDescent="0.25">
      <c r="C14050" t="s">
        <v>26224</v>
      </c>
      <c r="D14050" t="s">
        <v>26225</v>
      </c>
      <c r="E14050" t="str">
        <f>HYPERLINK("https://patents.google.com/patent/DE102006012609A1/en")</f>
        <v>https://patents.google.com/patent/DE102006012609A1/en</v>
      </c>
    </row>
    <row r="14051" spans="3:5" x14ac:dyDescent="0.25">
      <c r="C14051" t="s">
        <v>25532</v>
      </c>
      <c r="D14051" t="s">
        <v>26226</v>
      </c>
      <c r="E14051" t="str">
        <f>HYPERLINK("https://patents.google.com/patent/JP2012057957A/en")</f>
        <v>https://patents.google.com/patent/JP2012057957A/en</v>
      </c>
    </row>
    <row r="14052" spans="3:5" x14ac:dyDescent="0.25">
      <c r="C14052" t="s">
        <v>26227</v>
      </c>
      <c r="D14052" t="s">
        <v>26228</v>
      </c>
      <c r="E14052" t="str">
        <f>HYPERLINK("https://patents.google.com/patent/US20170329329A1/en")</f>
        <v>https://patents.google.com/patent/US20170329329A1/en</v>
      </c>
    </row>
    <row r="14053" spans="3:5" x14ac:dyDescent="0.25">
      <c r="C14053" t="s">
        <v>26229</v>
      </c>
      <c r="D14053" t="s">
        <v>26230</v>
      </c>
      <c r="E14053" t="str">
        <f>HYPERLINK("https://patents.google.com/patent/WO2009062458A1/en")</f>
        <v>https://patents.google.com/patent/WO2009062458A1/en</v>
      </c>
    </row>
    <row r="14054" spans="3:5" x14ac:dyDescent="0.25">
      <c r="C14054" t="s">
        <v>26231</v>
      </c>
      <c r="D14054" t="s">
        <v>26232</v>
      </c>
      <c r="E14054" t="str">
        <f>HYPERLINK("https://patents.google.com/patent/JPH10185596A/en")</f>
        <v>https://patents.google.com/patent/JPH10185596A/en</v>
      </c>
    </row>
    <row r="14055" spans="3:5" x14ac:dyDescent="0.25">
      <c r="C14055" t="s">
        <v>26233</v>
      </c>
      <c r="D14055" t="s">
        <v>26234</v>
      </c>
      <c r="E14055" t="str">
        <f>HYPERLINK("https://patents.google.com/patent/JP2007085939A/en")</f>
        <v>https://patents.google.com/patent/JP2007085939A/en</v>
      </c>
    </row>
    <row r="14056" spans="3:5" x14ac:dyDescent="0.25">
      <c r="C14056" t="s">
        <v>26235</v>
      </c>
      <c r="D14056" t="s">
        <v>26236</v>
      </c>
      <c r="E14056" t="str">
        <f>HYPERLINK("https://patents.google.com/patent/CN100476360C/en")</f>
        <v>https://patents.google.com/patent/CN100476360C/en</v>
      </c>
    </row>
    <row r="14057" spans="3:5" x14ac:dyDescent="0.25">
      <c r="C14057" t="s">
        <v>26237</v>
      </c>
      <c r="D14057" t="s">
        <v>26238</v>
      </c>
      <c r="E14057" t="str">
        <f>HYPERLINK("https://patents.google.com/patent/CN101517362A/en")</f>
        <v>https://patents.google.com/patent/CN101517362A/en</v>
      </c>
    </row>
    <row r="14058" spans="3:5" x14ac:dyDescent="0.25">
      <c r="C14058" t="s">
        <v>25799</v>
      </c>
      <c r="D14058" t="s">
        <v>26239</v>
      </c>
      <c r="E14058" t="str">
        <f>HYPERLINK("https://patents.google.com/patent/JP2000337904A/en")</f>
        <v>https://patents.google.com/patent/JP2000337904A/en</v>
      </c>
    </row>
    <row r="14059" spans="3:5" x14ac:dyDescent="0.25">
      <c r="C14059" t="s">
        <v>26240</v>
      </c>
      <c r="D14059" t="s">
        <v>26241</v>
      </c>
      <c r="E14059" t="str">
        <f>HYPERLINK("https://patents.google.com/patent/JP2010096581A/en")</f>
        <v>https://patents.google.com/patent/JP2010096581A/en</v>
      </c>
    </row>
    <row r="14060" spans="3:5" x14ac:dyDescent="0.25">
      <c r="C14060" t="s">
        <v>26242</v>
      </c>
      <c r="D14060" t="s">
        <v>26243</v>
      </c>
      <c r="E14060" t="str">
        <f>HYPERLINK("https://patents.google.com/patent/KR20170002087A/en")</f>
        <v>https://patents.google.com/patent/KR20170002087A/en</v>
      </c>
    </row>
    <row r="14061" spans="3:5" x14ac:dyDescent="0.25">
      <c r="C14061" t="s">
        <v>25532</v>
      </c>
      <c r="D14061" t="s">
        <v>26244</v>
      </c>
      <c r="E14061" t="str">
        <f>HYPERLINK("https://patents.google.com/patent/JP2008209370A/en")</f>
        <v>https://patents.google.com/patent/JP2008209370A/en</v>
      </c>
    </row>
    <row r="14062" spans="3:5" x14ac:dyDescent="0.25">
      <c r="C14062" t="s">
        <v>26245</v>
      </c>
      <c r="D14062" t="s">
        <v>26246</v>
      </c>
      <c r="E14062" t="str">
        <f>HYPERLINK("https://patents.google.com/patent/JP2005077187A/en")</f>
        <v>https://patents.google.com/patent/JP2005077187A/en</v>
      </c>
    </row>
    <row r="14063" spans="3:5" x14ac:dyDescent="0.25">
      <c r="C14063" t="s">
        <v>26247</v>
      </c>
      <c r="D14063" t="s">
        <v>26248</v>
      </c>
      <c r="E14063" t="str">
        <f>HYPERLINK("https://patents.google.com/patent/JP4330065B2/en")</f>
        <v>https://patents.google.com/patent/JP4330065B2/en</v>
      </c>
    </row>
    <row r="14064" spans="3:5" x14ac:dyDescent="0.25">
      <c r="C14064" t="s">
        <v>26249</v>
      </c>
      <c r="D14064" t="s">
        <v>26250</v>
      </c>
      <c r="E14064" t="str">
        <f>HYPERLINK("https://patents.google.com/patent/JP4144682B2/en")</f>
        <v>https://patents.google.com/patent/JP4144682B2/en</v>
      </c>
    </row>
    <row r="14065" spans="1:5" x14ac:dyDescent="0.25">
      <c r="C14065" t="s">
        <v>25850</v>
      </c>
      <c r="D14065" t="s">
        <v>26251</v>
      </c>
      <c r="E14065" t="str">
        <f>HYPERLINK("https://patents.google.com/patent/DE112007003210B4/en")</f>
        <v>https://patents.google.com/patent/DE112007003210B4/en</v>
      </c>
    </row>
    <row r="14066" spans="1:5" x14ac:dyDescent="0.25">
      <c r="C14066" t="s">
        <v>25532</v>
      </c>
      <c r="D14066" t="s">
        <v>26252</v>
      </c>
      <c r="E14066" t="str">
        <f>HYPERLINK("https://patents.google.com/patent/JP4119776B2/en")</f>
        <v>https://patents.google.com/patent/JP4119776B2/en</v>
      </c>
    </row>
    <row r="14067" spans="1:5" x14ac:dyDescent="0.25">
      <c r="C14067" t="s">
        <v>26253</v>
      </c>
      <c r="D14067" t="s">
        <v>26254</v>
      </c>
      <c r="E14067" t="str">
        <f>HYPERLINK("https://patents.google.com/patent/US9821455B1/en")</f>
        <v>https://patents.google.com/patent/US9821455B1/en</v>
      </c>
    </row>
    <row r="14068" spans="1:5" x14ac:dyDescent="0.25">
      <c r="C14068" t="s">
        <v>26255</v>
      </c>
      <c r="D14068" t="s">
        <v>26256</v>
      </c>
      <c r="E14068" t="str">
        <f>HYPERLINK("https://patents.google.com/patent/JP2000097717A/en")</f>
        <v>https://patents.google.com/patent/JP2000097717A/en</v>
      </c>
    </row>
    <row r="14069" spans="1:5" x14ac:dyDescent="0.25">
      <c r="C14069" t="s">
        <v>26257</v>
      </c>
      <c r="D14069" t="s">
        <v>26258</v>
      </c>
      <c r="E14069" t="str">
        <f>HYPERLINK("https://patents.google.com/patent/CN206095257U/en")</f>
        <v>https://patents.google.com/patent/CN206095257U/en</v>
      </c>
    </row>
    <row r="14070" spans="1:5" x14ac:dyDescent="0.25">
      <c r="C14070" t="s">
        <v>26259</v>
      </c>
      <c r="D14070" t="s">
        <v>26260</v>
      </c>
      <c r="E14070" t="str">
        <f>HYPERLINK("https://patents.google.com/patent/CN106657882A/en")</f>
        <v>https://patents.google.com/patent/CN106657882A/en</v>
      </c>
    </row>
    <row r="14071" spans="1:5" x14ac:dyDescent="0.25">
      <c r="C14071" t="s">
        <v>26261</v>
      </c>
      <c r="D14071" t="s">
        <v>26262</v>
      </c>
      <c r="E14071" t="str">
        <f>HYPERLINK("https://patents.google.com/patent/CN106504362A/en")</f>
        <v>https://patents.google.com/patent/CN106504362A/en</v>
      </c>
    </row>
    <row r="14072" spans="1:5" x14ac:dyDescent="0.25">
      <c r="C14072" t="s">
        <v>26263</v>
      </c>
      <c r="D14072" t="s">
        <v>26264</v>
      </c>
      <c r="E14072" t="str">
        <f>HYPERLINK("https://patents.google.com/patent/CN103984342B/en")</f>
        <v>https://patents.google.com/patent/CN103984342B/en</v>
      </c>
    </row>
    <row r="14073" spans="1:5" x14ac:dyDescent="0.25">
      <c r="C14073" t="s">
        <v>26265</v>
      </c>
      <c r="D14073" t="s">
        <v>26266</v>
      </c>
      <c r="E14073" t="str">
        <f>HYPERLINK("https://patents.google.com/patent/ES2264820T3/en")</f>
        <v>https://patents.google.com/patent/ES2264820T3/en</v>
      </c>
    </row>
    <row r="14074" spans="1:5" x14ac:dyDescent="0.25">
      <c r="C14074" t="s">
        <v>26267</v>
      </c>
      <c r="D14074" t="s">
        <v>26268</v>
      </c>
      <c r="E14074" t="str">
        <f>HYPERLINK("https://patents.google.com/patent/CN206501137U/en")</f>
        <v>https://patents.google.com/patent/CN206501137U/en</v>
      </c>
    </row>
    <row r="14075" spans="1:5" x14ac:dyDescent="0.25">
      <c r="A14075" t="s">
        <v>4318</v>
      </c>
      <c r="B14075">
        <v>596</v>
      </c>
    </row>
    <row r="14076" spans="1:5" x14ac:dyDescent="0.25">
      <c r="C14076" t="s">
        <v>26269</v>
      </c>
      <c r="D14076" t="s">
        <v>26270</v>
      </c>
      <c r="E14076" t="str">
        <f>HYPERLINK("https://patents.google.com/patent/US6151571A/en")</f>
        <v>https://patents.google.com/patent/US6151571A/en</v>
      </c>
    </row>
    <row r="14077" spans="1:5" x14ac:dyDescent="0.25">
      <c r="C14077" t="s">
        <v>26271</v>
      </c>
      <c r="D14077" t="s">
        <v>26272</v>
      </c>
      <c r="E14077" t="str">
        <f>HYPERLINK("https://patents.google.com/patent/US6662357B1/en")</f>
        <v>https://patents.google.com/patent/US6662357B1/en</v>
      </c>
    </row>
    <row r="14078" spans="1:5" x14ac:dyDescent="0.25">
      <c r="C14078" t="s">
        <v>26273</v>
      </c>
      <c r="D14078" t="s">
        <v>26274</v>
      </c>
      <c r="E14078" t="str">
        <f>HYPERLINK("https://patents.google.com/patent/US6405364B1/en")</f>
        <v>https://patents.google.com/patent/US6405364B1/en</v>
      </c>
    </row>
    <row r="14079" spans="1:5" x14ac:dyDescent="0.25">
      <c r="C14079" t="s">
        <v>26275</v>
      </c>
      <c r="D14079" t="s">
        <v>26276</v>
      </c>
      <c r="E14079" t="str">
        <f>HYPERLINK("https://patents.google.com/patent/US9302770B2/en")</f>
        <v>https://patents.google.com/patent/US9302770B2/en</v>
      </c>
    </row>
    <row r="14080" spans="1:5" x14ac:dyDescent="0.25">
      <c r="C14080" t="s">
        <v>26277</v>
      </c>
      <c r="D14080" t="s">
        <v>26278</v>
      </c>
      <c r="E14080" t="str">
        <f>HYPERLINK("https://patents.google.com/patent/US7139999B2/en")</f>
        <v>https://patents.google.com/patent/US7139999B2/en</v>
      </c>
    </row>
    <row r="14081" spans="3:5" x14ac:dyDescent="0.25">
      <c r="C14081" t="s">
        <v>26279</v>
      </c>
      <c r="D14081" t="s">
        <v>26280</v>
      </c>
      <c r="E14081" t="str">
        <f>HYPERLINK("https://patents.google.com/patent/US6256773B1/en")</f>
        <v>https://patents.google.com/patent/US6256773B1/en</v>
      </c>
    </row>
    <row r="14082" spans="3:5" x14ac:dyDescent="0.25">
      <c r="C14082" t="s">
        <v>26281</v>
      </c>
      <c r="D14082" t="s">
        <v>26282</v>
      </c>
      <c r="E14082" t="str">
        <f>HYPERLINK("https://patents.google.com/patent/US6370573B1/en")</f>
        <v>https://patents.google.com/patent/US6370573B1/en</v>
      </c>
    </row>
    <row r="14083" spans="3:5" x14ac:dyDescent="0.25">
      <c r="C14083" t="s">
        <v>26283</v>
      </c>
      <c r="D14083" t="s">
        <v>26284</v>
      </c>
      <c r="E14083" t="str">
        <f>HYPERLINK("https://patents.google.com/patent/US6324647B1/en")</f>
        <v>https://patents.google.com/patent/US6324647B1/en</v>
      </c>
    </row>
    <row r="14084" spans="3:5" x14ac:dyDescent="0.25">
      <c r="C14084" t="s">
        <v>26285</v>
      </c>
      <c r="D14084" t="s">
        <v>26286</v>
      </c>
      <c r="E14084" t="str">
        <f>HYPERLINK("https://patents.google.com/patent/US8880047B2/en")</f>
        <v>https://patents.google.com/patent/US8880047B2/en</v>
      </c>
    </row>
    <row r="14085" spans="3:5" x14ac:dyDescent="0.25">
      <c r="C14085" t="s">
        <v>26287</v>
      </c>
      <c r="D14085" t="s">
        <v>26288</v>
      </c>
      <c r="E14085" t="str">
        <f>HYPERLINK("https://patents.google.com/patent/US8042132B2/en")</f>
        <v>https://patents.google.com/patent/US8042132B2/en</v>
      </c>
    </row>
    <row r="14086" spans="3:5" x14ac:dyDescent="0.25">
      <c r="C14086" t="s">
        <v>26289</v>
      </c>
      <c r="D14086" t="s">
        <v>26290</v>
      </c>
      <c r="E14086" t="str">
        <f>HYPERLINK("https://patents.google.com/patent/US7526458B2/en")</f>
        <v>https://patents.google.com/patent/US7526458B2/en</v>
      </c>
    </row>
    <row r="14087" spans="3:5" x14ac:dyDescent="0.25">
      <c r="C14087" t="s">
        <v>26291</v>
      </c>
      <c r="D14087" t="s">
        <v>26292</v>
      </c>
      <c r="E14087" t="str">
        <f>HYPERLINK("https://patents.google.com/patent/US7606772B2/en")</f>
        <v>https://patents.google.com/patent/US7606772B2/en</v>
      </c>
    </row>
    <row r="14088" spans="3:5" x14ac:dyDescent="0.25">
      <c r="C14088" t="s">
        <v>26293</v>
      </c>
      <c r="D14088" t="s">
        <v>26294</v>
      </c>
      <c r="E14088" t="str">
        <f>HYPERLINK("https://patents.google.com/patent/US7526459B2/en")</f>
        <v>https://patents.google.com/patent/US7526459B2/en</v>
      </c>
    </row>
    <row r="14089" spans="3:5" x14ac:dyDescent="0.25">
      <c r="C14089" t="s">
        <v>26295</v>
      </c>
      <c r="D14089" t="s">
        <v>26296</v>
      </c>
      <c r="E14089" t="str">
        <f>HYPERLINK("https://patents.google.com/patent/US7546295B2/en")</f>
        <v>https://patents.google.com/patent/US7546295B2/en</v>
      </c>
    </row>
    <row r="14090" spans="3:5" x14ac:dyDescent="0.25">
      <c r="C14090" t="s">
        <v>26297</v>
      </c>
      <c r="D14090" t="s">
        <v>26298</v>
      </c>
      <c r="E14090" t="str">
        <f>HYPERLINK("https://patents.google.com/patent/US6505117B1/en")</f>
        <v>https://patents.google.com/patent/US6505117B1/en</v>
      </c>
    </row>
    <row r="14091" spans="3:5" x14ac:dyDescent="0.25">
      <c r="C14091" t="s">
        <v>26299</v>
      </c>
      <c r="D14091" t="s">
        <v>26300</v>
      </c>
      <c r="E14091" t="str">
        <f>HYPERLINK("https://patents.google.com/patent/US7539652B2/en")</f>
        <v>https://patents.google.com/patent/US7539652B2/en</v>
      </c>
    </row>
    <row r="14092" spans="3:5" x14ac:dyDescent="0.25">
      <c r="C14092" t="s">
        <v>26301</v>
      </c>
      <c r="D14092" t="s">
        <v>26302</v>
      </c>
      <c r="E14092" t="str">
        <f>HYPERLINK("https://patents.google.com/patent/CN106406312A/en")</f>
        <v>https://patents.google.com/patent/CN106406312A/en</v>
      </c>
    </row>
    <row r="14093" spans="3:5" x14ac:dyDescent="0.25">
      <c r="C14093" t="s">
        <v>26303</v>
      </c>
      <c r="D14093" t="s">
        <v>26304</v>
      </c>
      <c r="E14093" t="str">
        <f>HYPERLINK("https://patents.google.com/patent/US6446055B1/en")</f>
        <v>https://patents.google.com/patent/US6446055B1/en</v>
      </c>
    </row>
    <row r="14094" spans="3:5" x14ac:dyDescent="0.25">
      <c r="C14094" t="s">
        <v>26305</v>
      </c>
      <c r="D14094" t="s">
        <v>26306</v>
      </c>
      <c r="E14094" t="str">
        <f>HYPERLINK("https://patents.google.com/patent/US8452598B2/en")</f>
        <v>https://patents.google.com/patent/US8452598B2/en</v>
      </c>
    </row>
    <row r="14095" spans="3:5" x14ac:dyDescent="0.25">
      <c r="C14095" t="s">
        <v>26307</v>
      </c>
      <c r="D14095" t="s">
        <v>26308</v>
      </c>
      <c r="E14095" t="str">
        <f>HYPERLINK("https://patents.google.com/patent/US7698270B2/en")</f>
        <v>https://patents.google.com/patent/US7698270B2/en</v>
      </c>
    </row>
    <row r="14096" spans="3:5" x14ac:dyDescent="0.25">
      <c r="C14096" t="s">
        <v>26309</v>
      </c>
      <c r="D14096" t="s">
        <v>26310</v>
      </c>
      <c r="E14096" t="str">
        <f>HYPERLINK("https://patents.google.com/patent/US20040221790A1/en")</f>
        <v>https://patents.google.com/patent/US20040221790A1/en</v>
      </c>
    </row>
    <row r="14097" spans="3:5" x14ac:dyDescent="0.25">
      <c r="C14097" t="s">
        <v>26311</v>
      </c>
      <c r="D14097" t="s">
        <v>26312</v>
      </c>
      <c r="E14097" t="str">
        <f>HYPERLINK("https://patents.google.com/patent/US20020194483A1/en")</f>
        <v>https://patents.google.com/patent/US20020194483A1/en</v>
      </c>
    </row>
    <row r="14098" spans="3:5" x14ac:dyDescent="0.25">
      <c r="C14098" t="s">
        <v>26313</v>
      </c>
      <c r="D14098" t="s">
        <v>26314</v>
      </c>
      <c r="E14098" t="str">
        <f>HYPERLINK("https://patents.google.com/patent/US20050054381A1/en")</f>
        <v>https://patents.google.com/patent/US20050054381A1/en</v>
      </c>
    </row>
    <row r="14099" spans="3:5" x14ac:dyDescent="0.25">
      <c r="C14099" t="s">
        <v>26315</v>
      </c>
      <c r="D14099" t="s">
        <v>26316</v>
      </c>
      <c r="E14099" t="str">
        <f>HYPERLINK("https://patents.google.com/patent/US20050193269A1/en")</f>
        <v>https://patents.google.com/patent/US20050193269A1/en</v>
      </c>
    </row>
    <row r="14100" spans="3:5" x14ac:dyDescent="0.25">
      <c r="C14100" t="s">
        <v>26317</v>
      </c>
      <c r="D14100" t="s">
        <v>26318</v>
      </c>
      <c r="E14100" t="str">
        <f>HYPERLINK("https://patents.google.com/patent/US20020199001A1/en")</f>
        <v>https://patents.google.com/patent/US20020199001A1/en</v>
      </c>
    </row>
    <row r="14101" spans="3:5" x14ac:dyDescent="0.25">
      <c r="C14101" t="s">
        <v>26319</v>
      </c>
      <c r="D14101" t="s">
        <v>26320</v>
      </c>
      <c r="E14101" t="str">
        <f>HYPERLINK("https://patents.google.com/patent/US20020199096A1/en")</f>
        <v>https://patents.google.com/patent/US20020199096A1/en</v>
      </c>
    </row>
    <row r="14102" spans="3:5" x14ac:dyDescent="0.25">
      <c r="C14102" t="s">
        <v>26321</v>
      </c>
      <c r="D14102" t="s">
        <v>26322</v>
      </c>
      <c r="E14102" t="str">
        <f>HYPERLINK("https://patents.google.com/patent/US20020194501A1/en")</f>
        <v>https://patents.google.com/patent/US20020194501A1/en</v>
      </c>
    </row>
    <row r="14103" spans="3:5" x14ac:dyDescent="0.25">
      <c r="C14103" t="s">
        <v>26323</v>
      </c>
      <c r="D14103" t="s">
        <v>26324</v>
      </c>
      <c r="E14103" t="str">
        <f>HYPERLINK("https://patents.google.com/patent/US20050289182A1/en")</f>
        <v>https://patents.google.com/patent/US20050289182A1/en</v>
      </c>
    </row>
    <row r="14104" spans="3:5" x14ac:dyDescent="0.25">
      <c r="C14104" t="s">
        <v>26325</v>
      </c>
      <c r="D14104" t="s">
        <v>26326</v>
      </c>
      <c r="E14104" t="str">
        <f>HYPERLINK("https://patents.google.com/patent/US20020165912A1/en")</f>
        <v>https://patents.google.com/patent/US20020165912A1/en</v>
      </c>
    </row>
    <row r="14105" spans="3:5" x14ac:dyDescent="0.25">
      <c r="C14105" t="s">
        <v>26327</v>
      </c>
      <c r="D14105" t="s">
        <v>26328</v>
      </c>
      <c r="E14105" t="str">
        <f>HYPERLINK("https://patents.google.com/patent/US20020002460A1/en")</f>
        <v>https://patents.google.com/patent/US20020002460A1/en</v>
      </c>
    </row>
    <row r="14106" spans="3:5" x14ac:dyDescent="0.25">
      <c r="C14106" t="s">
        <v>26287</v>
      </c>
      <c r="D14106" t="s">
        <v>26329</v>
      </c>
      <c r="E14106" t="str">
        <f>HYPERLINK("https://patents.google.com/patent/US20040226051A1/en")</f>
        <v>https://patents.google.com/patent/US20040226051A1/en</v>
      </c>
    </row>
    <row r="14107" spans="3:5" x14ac:dyDescent="0.25">
      <c r="C14107" t="s">
        <v>26330</v>
      </c>
      <c r="D14107" t="s">
        <v>26331</v>
      </c>
      <c r="E14107" t="str">
        <f>HYPERLINK("https://patents.google.com/patent/US20020002464A1/en")</f>
        <v>https://patents.google.com/patent/US20020002464A1/en</v>
      </c>
    </row>
    <row r="14108" spans="3:5" x14ac:dyDescent="0.25">
      <c r="C14108" t="s">
        <v>26332</v>
      </c>
      <c r="D14108" t="s">
        <v>26333</v>
      </c>
      <c r="E14108" t="str">
        <f>HYPERLINK("https://patents.google.com/patent/US20030164794A1/en")</f>
        <v>https://patents.google.com/patent/US20030164794A1/en</v>
      </c>
    </row>
    <row r="14109" spans="3:5" x14ac:dyDescent="0.25">
      <c r="C14109" t="s">
        <v>26334</v>
      </c>
      <c r="D14109" t="s">
        <v>26335</v>
      </c>
      <c r="E14109" t="str">
        <f>HYPERLINK("https://patents.google.com/patent/US20100070448A1/en")</f>
        <v>https://patents.google.com/patent/US20100070448A1/en</v>
      </c>
    </row>
    <row r="14110" spans="3:5" x14ac:dyDescent="0.25">
      <c r="C14110" t="s">
        <v>26336</v>
      </c>
      <c r="D14110" t="s">
        <v>26337</v>
      </c>
      <c r="E14110" t="str">
        <f>HYPERLINK("https://patents.google.com/patent/US20020010587A1/en")</f>
        <v>https://patents.google.com/patent/US20020010587A1/en</v>
      </c>
    </row>
    <row r="14111" spans="3:5" x14ac:dyDescent="0.25">
      <c r="C14111" t="s">
        <v>26338</v>
      </c>
      <c r="D14111" t="s">
        <v>26339</v>
      </c>
      <c r="E14111" t="str">
        <f>HYPERLINK("https://patents.google.com/patent/US20030033145A1/en")</f>
        <v>https://patents.google.com/patent/US20030033145A1/en</v>
      </c>
    </row>
    <row r="14112" spans="3:5" x14ac:dyDescent="0.25">
      <c r="C14112" t="s">
        <v>26340</v>
      </c>
      <c r="D14112" t="s">
        <v>26341</v>
      </c>
      <c r="E14112" t="str">
        <f>HYPERLINK("https://patents.google.com/patent/US20020174360A1/en")</f>
        <v>https://patents.google.com/patent/US20020174360A1/en</v>
      </c>
    </row>
    <row r="14113" spans="3:5" x14ac:dyDescent="0.25">
      <c r="C14113" t="s">
        <v>26342</v>
      </c>
      <c r="D14113" t="s">
        <v>26343</v>
      </c>
      <c r="E14113" t="str">
        <f>HYPERLINK("https://patents.google.com/patent/US20030023444A1/en")</f>
        <v>https://patents.google.com/patent/US20030023444A1/en</v>
      </c>
    </row>
    <row r="14114" spans="3:5" x14ac:dyDescent="0.25">
      <c r="C14114" t="s">
        <v>26344</v>
      </c>
      <c r="D14114" t="s">
        <v>26345</v>
      </c>
      <c r="E14114" t="str">
        <f>HYPERLINK("https://patents.google.com/patent/US20080288461A1/en")</f>
        <v>https://patents.google.com/patent/US20080288461A1/en</v>
      </c>
    </row>
    <row r="14115" spans="3:5" x14ac:dyDescent="0.25">
      <c r="C14115" t="s">
        <v>19796</v>
      </c>
      <c r="D14115" t="s">
        <v>26346</v>
      </c>
      <c r="E14115" t="str">
        <f>HYPERLINK("https://patents.google.com/patent/US20140006951A1/en")</f>
        <v>https://patents.google.com/patent/US20140006951A1/en</v>
      </c>
    </row>
    <row r="14116" spans="3:5" x14ac:dyDescent="0.25">
      <c r="C14116" t="s">
        <v>26347</v>
      </c>
      <c r="D14116" t="s">
        <v>26348</v>
      </c>
      <c r="E14116" t="str">
        <f>HYPERLINK("https://patents.google.com/patent/US20010056349A1/en")</f>
        <v>https://patents.google.com/patent/US20010056349A1/en</v>
      </c>
    </row>
    <row r="14117" spans="3:5" x14ac:dyDescent="0.25">
      <c r="C14117" t="s">
        <v>26349</v>
      </c>
      <c r="D14117" t="s">
        <v>26350</v>
      </c>
      <c r="E14117" t="str">
        <f>HYPERLINK("https://patents.google.com/patent/US20110238676A1/en")</f>
        <v>https://patents.google.com/patent/US20110238676A1/en</v>
      </c>
    </row>
    <row r="14118" spans="3:5" x14ac:dyDescent="0.25">
      <c r="C14118" t="s">
        <v>26351</v>
      </c>
      <c r="D14118" t="s">
        <v>26352</v>
      </c>
      <c r="E14118" t="str">
        <f>HYPERLINK("https://patents.google.com/patent/US20090192867A1/en")</f>
        <v>https://patents.google.com/patent/US20090192867A1/en</v>
      </c>
    </row>
    <row r="14119" spans="3:5" x14ac:dyDescent="0.25">
      <c r="C14119" t="s">
        <v>26353</v>
      </c>
      <c r="D14119" t="s">
        <v>26354</v>
      </c>
      <c r="E14119" t="str">
        <f>HYPERLINK("https://patents.google.com/patent/US20020196935A1/en")</f>
        <v>https://patents.google.com/patent/US20020196935A1/en</v>
      </c>
    </row>
    <row r="14120" spans="3:5" x14ac:dyDescent="0.25">
      <c r="C14120" t="s">
        <v>26355</v>
      </c>
      <c r="D14120" t="s">
        <v>26356</v>
      </c>
      <c r="E14120" t="str">
        <f>HYPERLINK("https://patents.google.com/patent/US20110043515A1/en")</f>
        <v>https://patents.google.com/patent/US20110043515A1/en</v>
      </c>
    </row>
    <row r="14121" spans="3:5" x14ac:dyDescent="0.25">
      <c r="C14121" t="s">
        <v>26357</v>
      </c>
      <c r="D14121" t="s">
        <v>26358</v>
      </c>
      <c r="E14121" t="str">
        <f>HYPERLINK("https://patents.google.com/patent/US20150142704A1/en")</f>
        <v>https://patents.google.com/patent/US20150142704A1/en</v>
      </c>
    </row>
    <row r="14122" spans="3:5" x14ac:dyDescent="0.25">
      <c r="C14122" t="s">
        <v>26359</v>
      </c>
      <c r="D14122" t="s">
        <v>26360</v>
      </c>
      <c r="E14122" t="str">
        <f>HYPERLINK("https://patents.google.com/patent/CN105592148A/en")</f>
        <v>https://patents.google.com/patent/CN105592148A/en</v>
      </c>
    </row>
    <row r="14123" spans="3:5" x14ac:dyDescent="0.25">
      <c r="C14123" t="s">
        <v>26361</v>
      </c>
      <c r="D14123" t="s">
        <v>26362</v>
      </c>
      <c r="E14123" t="str">
        <f>HYPERLINK("https://patents.google.com/patent/US20100109918A1/en")</f>
        <v>https://patents.google.com/patent/US20100109918A1/en</v>
      </c>
    </row>
    <row r="14124" spans="3:5" x14ac:dyDescent="0.25">
      <c r="C14124" t="s">
        <v>26363</v>
      </c>
      <c r="D14124" t="s">
        <v>26364</v>
      </c>
      <c r="E14124" t="str">
        <f>HYPERLINK("https://patents.google.com/patent/US20030078860A1/en")</f>
        <v>https://patents.google.com/patent/US20030078860A1/en</v>
      </c>
    </row>
    <row r="14125" spans="3:5" x14ac:dyDescent="0.25">
      <c r="C14125" t="s">
        <v>26365</v>
      </c>
      <c r="D14125" t="s">
        <v>26366</v>
      </c>
      <c r="E14125" t="str">
        <f>HYPERLINK("https://patents.google.com/patent/ES2279541T3/en")</f>
        <v>https://patents.google.com/patent/ES2279541T3/en</v>
      </c>
    </row>
    <row r="14126" spans="3:5" x14ac:dyDescent="0.25">
      <c r="C14126" t="s">
        <v>26367</v>
      </c>
      <c r="D14126" t="s">
        <v>26368</v>
      </c>
      <c r="E14126" t="str">
        <f>HYPERLINK("https://patents.google.com/patent/US9321531B1/en")</f>
        <v>https://patents.google.com/patent/US9321531B1/en</v>
      </c>
    </row>
    <row r="14127" spans="3:5" x14ac:dyDescent="0.25">
      <c r="C14127" t="s">
        <v>26369</v>
      </c>
      <c r="D14127" t="s">
        <v>26370</v>
      </c>
      <c r="E14127" t="str">
        <f>HYPERLINK("https://patents.google.com/patent/US20150018011A1/en")</f>
        <v>https://patents.google.com/patent/US20150018011A1/en</v>
      </c>
    </row>
    <row r="14128" spans="3:5" x14ac:dyDescent="0.25">
      <c r="C14128" t="s">
        <v>26371</v>
      </c>
      <c r="D14128" t="s">
        <v>26372</v>
      </c>
      <c r="E14128" t="str">
        <f>HYPERLINK("https://patents.google.com/patent/US20140143061A1/en")</f>
        <v>https://patents.google.com/patent/US20140143061A1/en</v>
      </c>
    </row>
    <row r="14129" spans="3:5" x14ac:dyDescent="0.25">
      <c r="C14129" t="s">
        <v>26373</v>
      </c>
      <c r="D14129" t="s">
        <v>26374</v>
      </c>
      <c r="E14129" t="str">
        <f>HYPERLINK("https://patents.google.com/patent/JP2004069609A/en")</f>
        <v>https://patents.google.com/patent/JP2004069609A/en</v>
      </c>
    </row>
    <row r="14130" spans="3:5" x14ac:dyDescent="0.25">
      <c r="C14130" t="s">
        <v>26375</v>
      </c>
      <c r="D14130" t="s">
        <v>26376</v>
      </c>
      <c r="E14130" t="str">
        <f>HYPERLINK("https://patents.google.com/patent/WO2005054982A2/en")</f>
        <v>https://patents.google.com/patent/WO2005054982A2/en</v>
      </c>
    </row>
    <row r="14131" spans="3:5" x14ac:dyDescent="0.25">
      <c r="C14131" t="s">
        <v>26377</v>
      </c>
      <c r="D14131" t="s">
        <v>26378</v>
      </c>
      <c r="E14131" t="str">
        <f>HYPERLINK("https://patents.google.com/patent/CN101819334A/en")</f>
        <v>https://patents.google.com/patent/CN101819334A/en</v>
      </c>
    </row>
    <row r="14132" spans="3:5" x14ac:dyDescent="0.25">
      <c r="C14132" t="s">
        <v>26379</v>
      </c>
      <c r="D14132" t="s">
        <v>26380</v>
      </c>
      <c r="E14132" t="str">
        <f>HYPERLINK("https://patents.google.com/patent/JP2003021522A/en")</f>
        <v>https://patents.google.com/patent/JP2003021522A/en</v>
      </c>
    </row>
    <row r="14133" spans="3:5" x14ac:dyDescent="0.25">
      <c r="C14133" t="s">
        <v>26381</v>
      </c>
      <c r="D14133" t="s">
        <v>26382</v>
      </c>
      <c r="E14133" t="str">
        <f>HYPERLINK("https://patents.google.com/patent/JP2000121371A/en")</f>
        <v>https://patents.google.com/patent/JP2000121371A/en</v>
      </c>
    </row>
    <row r="14134" spans="3:5" x14ac:dyDescent="0.25">
      <c r="C14134" t="s">
        <v>26383</v>
      </c>
      <c r="D14134" t="s">
        <v>26384</v>
      </c>
      <c r="E14134" t="str">
        <f>HYPERLINK("https://patents.google.com/patent/WO2008076438A1/en")</f>
        <v>https://patents.google.com/patent/WO2008076438A1/en</v>
      </c>
    </row>
    <row r="14135" spans="3:5" x14ac:dyDescent="0.25">
      <c r="C14135" t="s">
        <v>26385</v>
      </c>
      <c r="D14135" t="s">
        <v>26386</v>
      </c>
      <c r="E14135" t="str">
        <f>HYPERLINK("https://patents.google.com/patent/CN103925920A/en")</f>
        <v>https://patents.google.com/patent/CN103925920A/en</v>
      </c>
    </row>
    <row r="14136" spans="3:5" x14ac:dyDescent="0.25">
      <c r="C14136" t="s">
        <v>25658</v>
      </c>
      <c r="D14136" t="s">
        <v>26387</v>
      </c>
      <c r="E14136" t="str">
        <f>HYPERLINK("https://patents.google.com/patent/US20030121040A1/en")</f>
        <v>https://patents.google.com/patent/US20030121040A1/en</v>
      </c>
    </row>
    <row r="14137" spans="3:5" x14ac:dyDescent="0.25">
      <c r="C14137" t="s">
        <v>26388</v>
      </c>
      <c r="D14137" t="s">
        <v>26389</v>
      </c>
      <c r="E14137" t="str">
        <f>HYPERLINK("https://patents.google.com/patent/US20160029155A1/en")</f>
        <v>https://patents.google.com/patent/US20160029155A1/en</v>
      </c>
    </row>
    <row r="14138" spans="3:5" x14ac:dyDescent="0.25">
      <c r="C14138" t="s">
        <v>26299</v>
      </c>
      <c r="D14138" t="s">
        <v>26390</v>
      </c>
      <c r="E14138" t="str">
        <f>HYPERLINK("https://patents.google.com/patent/USRE44968E1/en")</f>
        <v>https://patents.google.com/patent/USRE44968E1/en</v>
      </c>
    </row>
    <row r="14139" spans="3:5" x14ac:dyDescent="0.25">
      <c r="C14139" t="s">
        <v>26391</v>
      </c>
      <c r="D14139" t="s">
        <v>26392</v>
      </c>
      <c r="E14139" t="str">
        <f>HYPERLINK("https://patents.google.com/patent/CN103017774A/en")</f>
        <v>https://patents.google.com/patent/CN103017774A/en</v>
      </c>
    </row>
    <row r="14140" spans="3:5" x14ac:dyDescent="0.25">
      <c r="C14140" t="s">
        <v>26393</v>
      </c>
      <c r="D14140" t="s">
        <v>26394</v>
      </c>
      <c r="E14140" t="str">
        <f>HYPERLINK("https://patents.google.com/patent/CN1737502A/en")</f>
        <v>https://patents.google.com/patent/CN1737502A/en</v>
      </c>
    </row>
    <row r="14141" spans="3:5" x14ac:dyDescent="0.25">
      <c r="C14141" t="s">
        <v>26395</v>
      </c>
      <c r="D14141" t="s">
        <v>26396</v>
      </c>
      <c r="E14141" t="str">
        <f>HYPERLINK("https://patents.google.com/patent/CN101127621A/en")</f>
        <v>https://patents.google.com/patent/CN101127621A/en</v>
      </c>
    </row>
    <row r="14142" spans="3:5" x14ac:dyDescent="0.25">
      <c r="C14142" t="s">
        <v>26397</v>
      </c>
      <c r="D14142" t="s">
        <v>26398</v>
      </c>
      <c r="E14142" t="str">
        <f>HYPERLINK("https://patents.google.com/patent/JPH1172348A/en")</f>
        <v>https://patents.google.com/patent/JPH1172348A/en</v>
      </c>
    </row>
    <row r="14143" spans="3:5" x14ac:dyDescent="0.25">
      <c r="C14143" t="s">
        <v>26399</v>
      </c>
      <c r="D14143" t="s">
        <v>26400</v>
      </c>
      <c r="E14143" t="str">
        <f>HYPERLINK("https://patents.google.com/patent/CN101876978A/en")</f>
        <v>https://patents.google.com/patent/CN101876978A/en</v>
      </c>
    </row>
    <row r="14144" spans="3:5" x14ac:dyDescent="0.25">
      <c r="C14144" t="s">
        <v>22562</v>
      </c>
      <c r="D14144" t="s">
        <v>26401</v>
      </c>
      <c r="E14144" t="str">
        <f>HYPERLINK("https://patents.google.com/patent/JP2004093422A/en")</f>
        <v>https://patents.google.com/patent/JP2004093422A/en</v>
      </c>
    </row>
    <row r="14145" spans="3:5" x14ac:dyDescent="0.25">
      <c r="C14145" t="s">
        <v>26289</v>
      </c>
      <c r="D14145" t="s">
        <v>26402</v>
      </c>
      <c r="E14145" t="str">
        <f>HYPERLINK("https://patents.google.com/patent/USRE44966E1/en")</f>
        <v>https://patents.google.com/patent/USRE44966E1/en</v>
      </c>
    </row>
    <row r="14146" spans="3:5" x14ac:dyDescent="0.25">
      <c r="C14146" t="s">
        <v>26293</v>
      </c>
      <c r="D14146" t="s">
        <v>26403</v>
      </c>
      <c r="E14146" t="str">
        <f>HYPERLINK("https://patents.google.com/patent/USRE44967E1/en")</f>
        <v>https://patents.google.com/patent/USRE44967E1/en</v>
      </c>
    </row>
    <row r="14147" spans="3:5" x14ac:dyDescent="0.25">
      <c r="C14147" t="s">
        <v>26404</v>
      </c>
      <c r="D14147" t="s">
        <v>26405</v>
      </c>
      <c r="E14147" t="str">
        <f>HYPERLINK("https://patents.google.com/patent/EP1398684A2/en")</f>
        <v>https://patents.google.com/patent/EP1398684A2/en</v>
      </c>
    </row>
    <row r="14148" spans="3:5" x14ac:dyDescent="0.25">
      <c r="C14148" t="s">
        <v>25374</v>
      </c>
      <c r="D14148" t="s">
        <v>26406</v>
      </c>
      <c r="E14148" t="str">
        <f>HYPERLINK("https://patents.google.com/patent/CN201834181U/en")</f>
        <v>https://patents.google.com/patent/CN201834181U/en</v>
      </c>
    </row>
    <row r="14149" spans="3:5" x14ac:dyDescent="0.25">
      <c r="C14149" t="s">
        <v>26206</v>
      </c>
      <c r="D14149" t="s">
        <v>26407</v>
      </c>
      <c r="E14149" t="str">
        <f>HYPERLINK("https://patents.google.com/patent/JP2001304900A/en")</f>
        <v>https://patents.google.com/patent/JP2001304900A/en</v>
      </c>
    </row>
    <row r="14150" spans="3:5" x14ac:dyDescent="0.25">
      <c r="C14150" t="s">
        <v>26408</v>
      </c>
      <c r="D14150" t="s">
        <v>26409</v>
      </c>
      <c r="E14150" t="str">
        <f>HYPERLINK("https://patents.google.com/patent/CN101158584A/en")</f>
        <v>https://patents.google.com/patent/CN101158584A/en</v>
      </c>
    </row>
    <row r="14151" spans="3:5" x14ac:dyDescent="0.25">
      <c r="C14151" t="s">
        <v>26410</v>
      </c>
      <c r="D14151" t="s">
        <v>26411</v>
      </c>
      <c r="E14151" t="str">
        <f>HYPERLINK("https://patents.google.com/patent/JP2004355055A/en")</f>
        <v>https://patents.google.com/patent/JP2004355055A/en</v>
      </c>
    </row>
    <row r="14152" spans="3:5" x14ac:dyDescent="0.25">
      <c r="C14152" t="s">
        <v>26412</v>
      </c>
      <c r="D14152" t="s">
        <v>26413</v>
      </c>
      <c r="E14152" t="str">
        <f>HYPERLINK("https://patents.google.com/patent/JP2003121186A/en")</f>
        <v>https://patents.google.com/patent/JP2003121186A/en</v>
      </c>
    </row>
    <row r="14153" spans="3:5" x14ac:dyDescent="0.25">
      <c r="C14153" t="s">
        <v>26414</v>
      </c>
      <c r="D14153" t="s">
        <v>26415</v>
      </c>
      <c r="E14153" t="str">
        <f>HYPERLINK("https://patents.google.com/patent/JP4245817B2/en")</f>
        <v>https://patents.google.com/patent/JP4245817B2/en</v>
      </c>
    </row>
    <row r="14154" spans="3:5" x14ac:dyDescent="0.25">
      <c r="C14154" t="s">
        <v>26416</v>
      </c>
      <c r="D14154" t="s">
        <v>26417</v>
      </c>
      <c r="E14154" t="str">
        <f>HYPERLINK("https://patents.google.com/patent/JPH10319840A/en")</f>
        <v>https://patents.google.com/patent/JPH10319840A/en</v>
      </c>
    </row>
    <row r="14155" spans="3:5" x14ac:dyDescent="0.25">
      <c r="C14155" t="s">
        <v>26418</v>
      </c>
      <c r="D14155" t="s">
        <v>26419</v>
      </c>
      <c r="E14155" t="str">
        <f>HYPERLINK("https://patents.google.com/patent/DE10322111A1/en")</f>
        <v>https://patents.google.com/patent/DE10322111A1/en</v>
      </c>
    </row>
    <row r="14156" spans="3:5" x14ac:dyDescent="0.25">
      <c r="C14156" t="s">
        <v>26420</v>
      </c>
      <c r="D14156" t="s">
        <v>26421</v>
      </c>
      <c r="E14156" t="str">
        <f>HYPERLINK("https://patents.google.com/patent/JPH1030935A/en")</f>
        <v>https://patents.google.com/patent/JPH1030935A/en</v>
      </c>
    </row>
    <row r="14157" spans="3:5" x14ac:dyDescent="0.25">
      <c r="C14157" t="s">
        <v>26422</v>
      </c>
      <c r="D14157" t="s">
        <v>26423</v>
      </c>
      <c r="E14157" t="str">
        <f>HYPERLINK("https://patents.google.com/patent/WO2005024346A1/en")</f>
        <v>https://patents.google.com/patent/WO2005024346A1/en</v>
      </c>
    </row>
    <row r="14158" spans="3:5" x14ac:dyDescent="0.25">
      <c r="C14158" t="s">
        <v>26424</v>
      </c>
      <c r="D14158" t="s">
        <v>26425</v>
      </c>
      <c r="E14158" t="str">
        <f>HYPERLINK("https://patents.google.com/patent/US9103671B1/en")</f>
        <v>https://patents.google.com/patent/US9103671B1/en</v>
      </c>
    </row>
    <row r="14159" spans="3:5" x14ac:dyDescent="0.25">
      <c r="C14159" t="s">
        <v>25532</v>
      </c>
      <c r="D14159" t="s">
        <v>26426</v>
      </c>
      <c r="E14159" t="str">
        <f>HYPERLINK("https://patents.google.com/patent/US20070156331A1/en")</f>
        <v>https://patents.google.com/patent/US20070156331A1/en</v>
      </c>
    </row>
    <row r="14160" spans="3:5" x14ac:dyDescent="0.25">
      <c r="C14160" t="s">
        <v>26132</v>
      </c>
      <c r="D14160" t="s">
        <v>26427</v>
      </c>
      <c r="E14160" t="str">
        <f>HYPERLINK("https://patents.google.com/patent/JPH1026538A/en")</f>
        <v>https://patents.google.com/patent/JPH1026538A/en</v>
      </c>
    </row>
    <row r="14161" spans="3:5" x14ac:dyDescent="0.25">
      <c r="C14161" t="s">
        <v>26428</v>
      </c>
      <c r="D14161" t="s">
        <v>26429</v>
      </c>
      <c r="E14161" t="str">
        <f>HYPERLINK("https://patents.google.com/patent/JP2006031398A/en")</f>
        <v>https://patents.google.com/patent/JP2006031398A/en</v>
      </c>
    </row>
    <row r="14162" spans="3:5" x14ac:dyDescent="0.25">
      <c r="C14162" t="s">
        <v>26430</v>
      </c>
      <c r="D14162" t="s">
        <v>26431</v>
      </c>
      <c r="E14162" t="str">
        <f>HYPERLINK("https://patents.google.com/patent/WO2008075438A1/en")</f>
        <v>https://patents.google.com/patent/WO2008075438A1/en</v>
      </c>
    </row>
    <row r="14163" spans="3:5" x14ac:dyDescent="0.25">
      <c r="C14163" t="s">
        <v>26432</v>
      </c>
      <c r="D14163" t="s">
        <v>26433</v>
      </c>
      <c r="E14163" t="str">
        <f>HYPERLINK("https://patents.google.com/patent/JP2005156350A/en")</f>
        <v>https://patents.google.com/patent/JP2005156350A/en</v>
      </c>
    </row>
    <row r="14164" spans="3:5" x14ac:dyDescent="0.25">
      <c r="C14164" t="s">
        <v>26434</v>
      </c>
      <c r="D14164" t="s">
        <v>26435</v>
      </c>
      <c r="E14164" t="str">
        <f>HYPERLINK("https://patents.google.com/patent/DE102010041961A1/en")</f>
        <v>https://patents.google.com/patent/DE102010041961A1/en</v>
      </c>
    </row>
    <row r="14165" spans="3:5" x14ac:dyDescent="0.25">
      <c r="C14165" t="s">
        <v>26436</v>
      </c>
      <c r="D14165" t="s">
        <v>26437</v>
      </c>
      <c r="E14165" t="str">
        <f>HYPERLINK("https://patents.google.com/patent/JP2002090167A/en")</f>
        <v>https://patents.google.com/patent/JP2002090167A/en</v>
      </c>
    </row>
    <row r="14166" spans="3:5" x14ac:dyDescent="0.25">
      <c r="C14166" t="s">
        <v>25680</v>
      </c>
      <c r="D14166" t="s">
        <v>26438</v>
      </c>
      <c r="E14166" t="str">
        <f>HYPERLINK("https://patents.google.com/patent/US20160364812A1/en")</f>
        <v>https://patents.google.com/patent/US20160364812A1/en</v>
      </c>
    </row>
    <row r="14167" spans="3:5" x14ac:dyDescent="0.25">
      <c r="C14167" t="s">
        <v>25680</v>
      </c>
      <c r="D14167" t="s">
        <v>26439</v>
      </c>
      <c r="E14167" t="str">
        <f>HYPERLINK("https://patents.google.com/patent/US20160364678A1/en")</f>
        <v>https://patents.google.com/patent/US20160364678A1/en</v>
      </c>
    </row>
    <row r="14168" spans="3:5" x14ac:dyDescent="0.25">
      <c r="C14168" t="s">
        <v>26440</v>
      </c>
      <c r="D14168" t="s">
        <v>26441</v>
      </c>
      <c r="E14168" t="str">
        <f>HYPERLINK("https://patents.google.com/patent/KR101339183B1/en")</f>
        <v>https://patents.google.com/patent/KR101339183B1/en</v>
      </c>
    </row>
    <row r="14169" spans="3:5" x14ac:dyDescent="0.25">
      <c r="C14169" t="s">
        <v>26442</v>
      </c>
      <c r="D14169" t="s">
        <v>26443</v>
      </c>
      <c r="E14169" t="str">
        <f>HYPERLINK("https://patents.google.com/patent/WO2009079036A1/en")</f>
        <v>https://patents.google.com/patent/WO2009079036A1/en</v>
      </c>
    </row>
    <row r="14170" spans="3:5" x14ac:dyDescent="0.25">
      <c r="C14170" t="s">
        <v>26444</v>
      </c>
      <c r="D14170" t="s">
        <v>26445</v>
      </c>
      <c r="E14170" t="str">
        <f>HYPERLINK("https://patents.google.com/patent/JP2004030469A/en")</f>
        <v>https://patents.google.com/patent/JP2004030469A/en</v>
      </c>
    </row>
    <row r="14171" spans="3:5" x14ac:dyDescent="0.25">
      <c r="C14171" t="s">
        <v>26446</v>
      </c>
      <c r="D14171" t="s">
        <v>26447</v>
      </c>
      <c r="E14171" t="str">
        <f>HYPERLINK("https://patents.google.com/patent/KR100857578B1/en")</f>
        <v>https://patents.google.com/patent/KR100857578B1/en</v>
      </c>
    </row>
    <row r="14172" spans="3:5" x14ac:dyDescent="0.25">
      <c r="C14172" t="s">
        <v>26448</v>
      </c>
      <c r="D14172" t="s">
        <v>26449</v>
      </c>
      <c r="E14172" t="str">
        <f>HYPERLINK("https://patents.google.com/patent/JP2006105731A/en")</f>
        <v>https://patents.google.com/patent/JP2006105731A/en</v>
      </c>
    </row>
    <row r="14173" spans="3:5" x14ac:dyDescent="0.25">
      <c r="C14173" t="s">
        <v>26450</v>
      </c>
      <c r="D14173" t="s">
        <v>26451</v>
      </c>
      <c r="E14173" t="str">
        <f>HYPERLINK("https://patents.google.com/patent/US9062986B1/en")</f>
        <v>https://patents.google.com/patent/US9062986B1/en</v>
      </c>
    </row>
    <row r="14174" spans="3:5" x14ac:dyDescent="0.25">
      <c r="C14174" t="s">
        <v>26452</v>
      </c>
      <c r="D14174" t="s">
        <v>26453</v>
      </c>
      <c r="E14174" t="str">
        <f>HYPERLINK("https://patents.google.com/patent/CN105357627A/en")</f>
        <v>https://patents.google.com/patent/CN105357627A/en</v>
      </c>
    </row>
    <row r="14175" spans="3:5" x14ac:dyDescent="0.25">
      <c r="C14175" t="s">
        <v>25799</v>
      </c>
      <c r="D14175" t="s">
        <v>26454</v>
      </c>
      <c r="E14175" t="str">
        <f>HYPERLINK("https://patents.google.com/patent/JP2000337903A/en")</f>
        <v>https://patents.google.com/patent/JP2000337903A/en</v>
      </c>
    </row>
    <row r="14176" spans="3:5" x14ac:dyDescent="0.25">
      <c r="C14176" t="s">
        <v>26455</v>
      </c>
      <c r="D14176" t="s">
        <v>26456</v>
      </c>
      <c r="E14176" t="str">
        <f>HYPERLINK("https://patents.google.com/patent/CN104596533A/en")</f>
        <v>https://patents.google.com/patent/CN104596533A/en</v>
      </c>
    </row>
    <row r="14177" spans="3:5" x14ac:dyDescent="0.25">
      <c r="C14177" t="s">
        <v>26457</v>
      </c>
      <c r="D14177" t="s">
        <v>26458</v>
      </c>
      <c r="E14177" t="str">
        <f>HYPERLINK("https://patents.google.com/patent/CN201886731U/en")</f>
        <v>https://patents.google.com/patent/CN201886731U/en</v>
      </c>
    </row>
    <row r="14178" spans="3:5" x14ac:dyDescent="0.25">
      <c r="C14178" t="s">
        <v>22562</v>
      </c>
      <c r="D14178" t="s">
        <v>26459</v>
      </c>
      <c r="E14178" t="str">
        <f>HYPERLINK("https://patents.google.com/patent/JP2005062044A/en")</f>
        <v>https://patents.google.com/patent/JP2005062044A/en</v>
      </c>
    </row>
    <row r="14179" spans="3:5" x14ac:dyDescent="0.25">
      <c r="C14179" t="s">
        <v>26460</v>
      </c>
      <c r="D14179" t="s">
        <v>26461</v>
      </c>
      <c r="E14179" t="str">
        <f>HYPERLINK("https://patents.google.com/patent/JP2000292184A/en")</f>
        <v>https://patents.google.com/patent/JP2000292184A/en</v>
      </c>
    </row>
    <row r="14180" spans="3:5" x14ac:dyDescent="0.25">
      <c r="C14180" t="s">
        <v>26462</v>
      </c>
      <c r="D14180" t="s">
        <v>26463</v>
      </c>
      <c r="E14180" t="str">
        <f>HYPERLINK("https://patents.google.com/patent/JP2001041759A/en")</f>
        <v>https://patents.google.com/patent/JP2001041759A/en</v>
      </c>
    </row>
    <row r="14181" spans="3:5" x14ac:dyDescent="0.25">
      <c r="C14181" t="s">
        <v>25680</v>
      </c>
      <c r="D14181" t="s">
        <v>26464</v>
      </c>
      <c r="E14181" t="str">
        <f>HYPERLINK("https://patents.google.com/patent/US20160364679A1/en")</f>
        <v>https://patents.google.com/patent/US20160364679A1/en</v>
      </c>
    </row>
    <row r="14182" spans="3:5" x14ac:dyDescent="0.25">
      <c r="C14182" t="s">
        <v>26465</v>
      </c>
      <c r="D14182" t="s">
        <v>26466</v>
      </c>
      <c r="E14182" t="str">
        <f>HYPERLINK("https://patents.google.com/patent/EP1640941A1/en")</f>
        <v>https://patents.google.com/patent/EP1640941A1/en</v>
      </c>
    </row>
    <row r="14183" spans="3:5" x14ac:dyDescent="0.25">
      <c r="C14183" t="s">
        <v>26467</v>
      </c>
      <c r="D14183" t="s">
        <v>26468</v>
      </c>
      <c r="E14183" t="str">
        <f>HYPERLINK("https://patents.google.com/patent/JP2007024700A/en")</f>
        <v>https://patents.google.com/patent/JP2007024700A/en</v>
      </c>
    </row>
    <row r="14184" spans="3:5" x14ac:dyDescent="0.25">
      <c r="C14184" t="s">
        <v>15356</v>
      </c>
      <c r="D14184" t="s">
        <v>26469</v>
      </c>
      <c r="E14184" t="str">
        <f>HYPERLINK("https://patents.google.com/patent/JP2002117488A/en")</f>
        <v>https://patents.google.com/patent/JP2002117488A/en</v>
      </c>
    </row>
    <row r="14185" spans="3:5" x14ac:dyDescent="0.25">
      <c r="C14185" t="s">
        <v>25386</v>
      </c>
      <c r="D14185" t="s">
        <v>26470</v>
      </c>
      <c r="E14185" t="str">
        <f>HYPERLINK("https://patents.google.com/patent/JP2001317951A/en")</f>
        <v>https://patents.google.com/patent/JP2001317951A/en</v>
      </c>
    </row>
    <row r="14186" spans="3:5" x14ac:dyDescent="0.25">
      <c r="C14186" t="s">
        <v>25963</v>
      </c>
      <c r="D14186" t="s">
        <v>26471</v>
      </c>
      <c r="E14186" t="str">
        <f>HYPERLINK("https://patents.google.com/patent/KR20110074629A/en")</f>
        <v>https://patents.google.com/patent/KR20110074629A/en</v>
      </c>
    </row>
    <row r="14187" spans="3:5" x14ac:dyDescent="0.25">
      <c r="C14187" t="s">
        <v>26472</v>
      </c>
      <c r="D14187" t="s">
        <v>26473</v>
      </c>
      <c r="E14187" t="str">
        <f>HYPERLINK("https://patents.google.com/patent/JP2007085884A/en")</f>
        <v>https://patents.google.com/patent/JP2007085884A/en</v>
      </c>
    </row>
    <row r="14188" spans="3:5" x14ac:dyDescent="0.25">
      <c r="C14188" t="s">
        <v>26474</v>
      </c>
      <c r="D14188" t="s">
        <v>26475</v>
      </c>
      <c r="E14188" t="str">
        <f>HYPERLINK("https://patents.google.com/patent/JP2007127519A/en")</f>
        <v>https://patents.google.com/patent/JP2007127519A/en</v>
      </c>
    </row>
    <row r="14189" spans="3:5" x14ac:dyDescent="0.25">
      <c r="C14189" t="s">
        <v>26476</v>
      </c>
      <c r="D14189" t="s">
        <v>26477</v>
      </c>
      <c r="E14189" t="str">
        <f>HYPERLINK("https://patents.google.com/patent/ES2347060T3/en")</f>
        <v>https://patents.google.com/patent/ES2347060T3/en</v>
      </c>
    </row>
    <row r="14190" spans="3:5" x14ac:dyDescent="0.25">
      <c r="C14190" t="s">
        <v>16949</v>
      </c>
      <c r="D14190" t="s">
        <v>26478</v>
      </c>
      <c r="E14190" t="str">
        <f>HYPERLINK("https://patents.google.com/patent/CN102467848A/en")</f>
        <v>https://patents.google.com/patent/CN102467848A/en</v>
      </c>
    </row>
    <row r="14191" spans="3:5" x14ac:dyDescent="0.25">
      <c r="C14191" t="s">
        <v>26479</v>
      </c>
      <c r="D14191" t="s">
        <v>26480</v>
      </c>
      <c r="E14191" t="str">
        <f>HYPERLINK("https://patents.google.com/patent/CN102467859A/en")</f>
        <v>https://patents.google.com/patent/CN102467859A/en</v>
      </c>
    </row>
    <row r="14192" spans="3:5" x14ac:dyDescent="0.25">
      <c r="C14192" t="s">
        <v>26481</v>
      </c>
      <c r="D14192" t="s">
        <v>26482</v>
      </c>
      <c r="E14192" t="str">
        <f>HYPERLINK("https://patents.google.com/patent/JP2002062151A/en")</f>
        <v>https://patents.google.com/patent/JP2002062151A/en</v>
      </c>
    </row>
    <row r="14193" spans="3:5" x14ac:dyDescent="0.25">
      <c r="C14193" t="s">
        <v>26483</v>
      </c>
      <c r="D14193" t="s">
        <v>26484</v>
      </c>
      <c r="E14193" t="str">
        <f>HYPERLINK("https://patents.google.com/patent/KR20020060140A/en")</f>
        <v>https://patents.google.com/patent/KR20020060140A/en</v>
      </c>
    </row>
    <row r="14194" spans="3:5" x14ac:dyDescent="0.25">
      <c r="C14194" t="s">
        <v>26485</v>
      </c>
      <c r="D14194" t="s">
        <v>26486</v>
      </c>
      <c r="E14194" t="str">
        <f>HYPERLINK("https://patents.google.com/patent/JP2006031397A/en")</f>
        <v>https://patents.google.com/patent/JP2006031397A/en</v>
      </c>
    </row>
    <row r="14195" spans="3:5" x14ac:dyDescent="0.25">
      <c r="C14195" t="s">
        <v>26487</v>
      </c>
      <c r="D14195" t="s">
        <v>26488</v>
      </c>
      <c r="E14195" t="str">
        <f>HYPERLINK("https://patents.google.com/patent/JP2006275736A/en")</f>
        <v>https://patents.google.com/patent/JP2006275736A/en</v>
      </c>
    </row>
    <row r="14196" spans="3:5" x14ac:dyDescent="0.25">
      <c r="C14196" t="s">
        <v>26489</v>
      </c>
      <c r="D14196" t="s">
        <v>26490</v>
      </c>
      <c r="E14196" t="str">
        <f>HYPERLINK("https://patents.google.com/patent/KR20100102815A/en")</f>
        <v>https://patents.google.com/patent/KR20100102815A/en</v>
      </c>
    </row>
    <row r="14197" spans="3:5" x14ac:dyDescent="0.25">
      <c r="C14197" t="s">
        <v>26491</v>
      </c>
      <c r="D14197" t="s">
        <v>26492</v>
      </c>
      <c r="E14197" t="str">
        <f>HYPERLINK("https://patents.google.com/patent/KR101458645B1/en")</f>
        <v>https://patents.google.com/patent/KR101458645B1/en</v>
      </c>
    </row>
    <row r="14198" spans="3:5" x14ac:dyDescent="0.25">
      <c r="C14198" t="s">
        <v>26493</v>
      </c>
      <c r="D14198" t="s">
        <v>26494</v>
      </c>
      <c r="E14198" t="str">
        <f>HYPERLINK("https://patents.google.com/patent/KR20020096751A/en")</f>
        <v>https://patents.google.com/patent/KR20020096751A/en</v>
      </c>
    </row>
    <row r="14199" spans="3:5" x14ac:dyDescent="0.25">
      <c r="C14199" t="s">
        <v>26495</v>
      </c>
      <c r="D14199" t="s">
        <v>26496</v>
      </c>
      <c r="E14199" t="str">
        <f>HYPERLINK("https://patents.google.com/patent/DE102009046163A1/en")</f>
        <v>https://patents.google.com/patent/DE102009046163A1/en</v>
      </c>
    </row>
    <row r="14200" spans="3:5" x14ac:dyDescent="0.25">
      <c r="C14200" t="s">
        <v>26497</v>
      </c>
      <c r="D14200" t="s">
        <v>26498</v>
      </c>
      <c r="E14200" t="str">
        <f>HYPERLINK("https://patents.google.com/patent/CN201607231U/en")</f>
        <v>https://patents.google.com/patent/CN201607231U/en</v>
      </c>
    </row>
    <row r="14201" spans="3:5" x14ac:dyDescent="0.25">
      <c r="C14201" t="s">
        <v>26499</v>
      </c>
      <c r="D14201" t="s">
        <v>26500</v>
      </c>
      <c r="E14201" t="str">
        <f>HYPERLINK("https://patents.google.com/patent/JPH10288533A/en")</f>
        <v>https://patents.google.com/patent/JPH10288533A/en</v>
      </c>
    </row>
    <row r="14202" spans="3:5" x14ac:dyDescent="0.25">
      <c r="C14202" t="s">
        <v>25532</v>
      </c>
      <c r="D14202" t="s">
        <v>26501</v>
      </c>
      <c r="E14202" t="str">
        <f>HYPERLINK("https://patents.google.com/patent/JP4172636B2/en")</f>
        <v>https://patents.google.com/patent/JP4172636B2/en</v>
      </c>
    </row>
    <row r="14203" spans="3:5" x14ac:dyDescent="0.25">
      <c r="C14203" t="s">
        <v>26502</v>
      </c>
      <c r="D14203" t="s">
        <v>26503</v>
      </c>
      <c r="E14203" t="str">
        <f>HYPERLINK("https://patents.google.com/patent/DE102014000432A1/en")</f>
        <v>https://patents.google.com/patent/DE102014000432A1/en</v>
      </c>
    </row>
    <row r="14204" spans="3:5" x14ac:dyDescent="0.25">
      <c r="C14204" t="s">
        <v>26504</v>
      </c>
      <c r="D14204" t="s">
        <v>26505</v>
      </c>
      <c r="E14204" t="str">
        <f>HYPERLINK("https://patents.google.com/patent/JP2017102014A/en")</f>
        <v>https://patents.google.com/patent/JP2017102014A/en</v>
      </c>
    </row>
    <row r="14205" spans="3:5" x14ac:dyDescent="0.25">
      <c r="C14205" t="s">
        <v>26506</v>
      </c>
      <c r="D14205" t="s">
        <v>26507</v>
      </c>
      <c r="E14205" t="str">
        <f>HYPERLINK("https://patents.google.com/patent/JP2006177819A/en")</f>
        <v>https://patents.google.com/patent/JP2006177819A/en</v>
      </c>
    </row>
    <row r="14206" spans="3:5" x14ac:dyDescent="0.25">
      <c r="C14206" t="s">
        <v>26508</v>
      </c>
      <c r="D14206" t="s">
        <v>26509</v>
      </c>
      <c r="E14206" t="str">
        <f>HYPERLINK("https://patents.google.com/patent/JP5106152B2/en")</f>
        <v>https://patents.google.com/patent/JP5106152B2/en</v>
      </c>
    </row>
    <row r="14207" spans="3:5" x14ac:dyDescent="0.25">
      <c r="C14207" t="s">
        <v>26510</v>
      </c>
      <c r="D14207" t="s">
        <v>26511</v>
      </c>
      <c r="E14207" t="str">
        <f>HYPERLINK("https://patents.google.com/patent/JP4320498B2/en")</f>
        <v>https://patents.google.com/patent/JP4320498B2/en</v>
      </c>
    </row>
    <row r="14208" spans="3:5" x14ac:dyDescent="0.25">
      <c r="C14208" t="s">
        <v>26512</v>
      </c>
      <c r="D14208" t="s">
        <v>26513</v>
      </c>
      <c r="E14208" t="str">
        <f>HYPERLINK("https://patents.google.com/patent/KR101822896B1/en")</f>
        <v>https://patents.google.com/patent/KR101822896B1/en</v>
      </c>
    </row>
    <row r="14209" spans="1:5" x14ac:dyDescent="0.25">
      <c r="C14209" t="s">
        <v>26512</v>
      </c>
      <c r="D14209" t="s">
        <v>26514</v>
      </c>
      <c r="E14209" t="str">
        <f>HYPERLINK("https://patents.google.com/patent/KR101741433B1/en")</f>
        <v>https://patents.google.com/patent/KR101741433B1/en</v>
      </c>
    </row>
    <row r="14210" spans="1:5" x14ac:dyDescent="0.25">
      <c r="C14210" t="s">
        <v>25532</v>
      </c>
      <c r="D14210" t="s">
        <v>26515</v>
      </c>
      <c r="E14210" t="str">
        <f>HYPERLINK("https://patents.google.com/patent/JP2012007917A/en")</f>
        <v>https://patents.google.com/patent/JP2012007917A/en</v>
      </c>
    </row>
    <row r="14211" spans="1:5" x14ac:dyDescent="0.25">
      <c r="C14211" t="s">
        <v>26516</v>
      </c>
      <c r="D14211" t="s">
        <v>26517</v>
      </c>
      <c r="E14211" t="str">
        <f>HYPERLINK("https://patents.google.com/patent/CN203192243U/en")</f>
        <v>https://patents.google.com/patent/CN203192243U/en</v>
      </c>
    </row>
    <row r="14212" spans="1:5" x14ac:dyDescent="0.25">
      <c r="C14212" t="s">
        <v>26518</v>
      </c>
      <c r="D14212" t="s">
        <v>26519</v>
      </c>
      <c r="E14212" t="str">
        <f>HYPERLINK("https://patents.google.com/patent/CN205440796U/en")</f>
        <v>https://patents.google.com/patent/CN205440796U/en</v>
      </c>
    </row>
    <row r="14213" spans="1:5" x14ac:dyDescent="0.25">
      <c r="C14213" t="s">
        <v>26520</v>
      </c>
      <c r="D14213" t="s">
        <v>26521</v>
      </c>
      <c r="E14213" t="str">
        <f>HYPERLINK("https://patents.google.com/patent/CN104220332B/en")</f>
        <v>https://patents.google.com/patent/CN104220332B/en</v>
      </c>
    </row>
    <row r="14214" spans="1:5" x14ac:dyDescent="0.25">
      <c r="C14214" t="s">
        <v>26522</v>
      </c>
      <c r="D14214" t="s">
        <v>26523</v>
      </c>
      <c r="E14214" t="str">
        <f>HYPERLINK("https://patents.google.com/patent/CA2615681C/en")</f>
        <v>https://patents.google.com/patent/CA2615681C/en</v>
      </c>
    </row>
    <row r="14215" spans="1:5" x14ac:dyDescent="0.25">
      <c r="C14215" t="s">
        <v>26524</v>
      </c>
      <c r="D14215" t="s">
        <v>26525</v>
      </c>
      <c r="E14215" t="str">
        <f>HYPERLINK("https://patents.google.com/patent/CN105043379B/en")</f>
        <v>https://patents.google.com/patent/CN105043379B/en</v>
      </c>
    </row>
    <row r="14216" spans="1:5" x14ac:dyDescent="0.25">
      <c r="A14216" t="s">
        <v>4319</v>
      </c>
      <c r="B14216">
        <v>525</v>
      </c>
    </row>
    <row r="14217" spans="1:5" x14ac:dyDescent="0.25">
      <c r="C14217" t="s">
        <v>26526</v>
      </c>
      <c r="D14217" t="s">
        <v>26527</v>
      </c>
      <c r="E14217" t="str">
        <f>HYPERLINK("https://patents.google.com/patent/CN107518830A/en")</f>
        <v>https://patents.google.com/patent/CN107518830A/en</v>
      </c>
    </row>
    <row r="14218" spans="1:5" x14ac:dyDescent="0.25">
      <c r="C14218" t="s">
        <v>26528</v>
      </c>
      <c r="D14218" t="s">
        <v>26529</v>
      </c>
      <c r="E14218" t="str">
        <f>HYPERLINK("https://patents.google.com/patent/US6720920B2/en")</f>
        <v>https://patents.google.com/patent/US6720920B2/en</v>
      </c>
    </row>
    <row r="14219" spans="1:5" x14ac:dyDescent="0.25">
      <c r="C14219" t="s">
        <v>18569</v>
      </c>
      <c r="D14219" t="s">
        <v>26530</v>
      </c>
      <c r="E14219" t="str">
        <f>HYPERLINK("https://patents.google.com/patent/US6405132B1/en")</f>
        <v>https://patents.google.com/patent/US6405132B1/en</v>
      </c>
    </row>
    <row r="14220" spans="1:5" x14ac:dyDescent="0.25">
      <c r="C14220" t="s">
        <v>26531</v>
      </c>
      <c r="D14220" t="s">
        <v>26532</v>
      </c>
      <c r="E14220" t="str">
        <f>HYPERLINK("https://patents.google.com/patent/US6768944B2/en")</f>
        <v>https://patents.google.com/patent/US6768944B2/en</v>
      </c>
    </row>
    <row r="14221" spans="1:5" x14ac:dyDescent="0.25">
      <c r="C14221" t="s">
        <v>26533</v>
      </c>
      <c r="D14221" t="s">
        <v>26534</v>
      </c>
      <c r="E14221" t="str">
        <f>HYPERLINK("https://patents.google.com/patent/US5711388A/en")</f>
        <v>https://patents.google.com/patent/US5711388A/en</v>
      </c>
    </row>
    <row r="14222" spans="1:5" x14ac:dyDescent="0.25">
      <c r="C14222" t="s">
        <v>26535</v>
      </c>
      <c r="D14222" t="s">
        <v>26536</v>
      </c>
      <c r="E14222" t="str">
        <f>HYPERLINK("https://patents.google.com/patent/US8141111B2/en")</f>
        <v>https://patents.google.com/patent/US8141111B2/en</v>
      </c>
    </row>
    <row r="14223" spans="1:5" x14ac:dyDescent="0.25">
      <c r="C14223" t="s">
        <v>26537</v>
      </c>
      <c r="D14223" t="s">
        <v>26538</v>
      </c>
      <c r="E14223" t="str">
        <f>HYPERLINK("https://patents.google.com/patent/US20070208719A1/en")</f>
        <v>https://patents.google.com/patent/US20070208719A1/en</v>
      </c>
    </row>
    <row r="14224" spans="1:5" x14ac:dyDescent="0.25">
      <c r="C14224" t="s">
        <v>26539</v>
      </c>
      <c r="D14224" t="s">
        <v>26540</v>
      </c>
      <c r="E14224" t="str">
        <f>HYPERLINK("https://patents.google.com/patent/US20070055986A1/en")</f>
        <v>https://patents.google.com/patent/US20070055986A1/en</v>
      </c>
    </row>
    <row r="14225" spans="3:5" x14ac:dyDescent="0.25">
      <c r="C14225" t="s">
        <v>26541</v>
      </c>
      <c r="D14225" t="s">
        <v>26542</v>
      </c>
      <c r="E14225" t="str">
        <f>HYPERLINK("https://patents.google.com/patent/US20070154190A1/en")</f>
        <v>https://patents.google.com/patent/US20070154190A1/en</v>
      </c>
    </row>
    <row r="14226" spans="3:5" x14ac:dyDescent="0.25">
      <c r="C14226" t="s">
        <v>26543</v>
      </c>
      <c r="D14226" t="s">
        <v>26544</v>
      </c>
      <c r="E14226" t="str">
        <f>HYPERLINK("https://patents.google.com/patent/US20120330869A1/en")</f>
        <v>https://patents.google.com/patent/US20120330869A1/en</v>
      </c>
    </row>
    <row r="14227" spans="3:5" x14ac:dyDescent="0.25">
      <c r="C14227" t="s">
        <v>26545</v>
      </c>
      <c r="D14227" t="s">
        <v>26546</v>
      </c>
      <c r="E14227" t="str">
        <f>HYPERLINK("https://patents.google.com/patent/US20090082110A1/en")</f>
        <v>https://patents.google.com/patent/US20090082110A1/en</v>
      </c>
    </row>
    <row r="14228" spans="3:5" x14ac:dyDescent="0.25">
      <c r="C14228" t="s">
        <v>26547</v>
      </c>
      <c r="D14228" t="s">
        <v>26548</v>
      </c>
      <c r="E14228" t="str">
        <f>HYPERLINK("https://patents.google.com/patent/US20150339570A1/en")</f>
        <v>https://patents.google.com/patent/US20150339570A1/en</v>
      </c>
    </row>
    <row r="14229" spans="3:5" x14ac:dyDescent="0.25">
      <c r="C14229" t="s">
        <v>26549</v>
      </c>
      <c r="D14229" t="s">
        <v>26550</v>
      </c>
      <c r="E14229" t="str">
        <f>HYPERLINK("https://patents.google.com/patent/DE102008039838A1/en")</f>
        <v>https://patents.google.com/patent/DE102008039838A1/en</v>
      </c>
    </row>
    <row r="14230" spans="3:5" x14ac:dyDescent="0.25">
      <c r="C14230" t="s">
        <v>26551</v>
      </c>
      <c r="D14230" t="s">
        <v>26552</v>
      </c>
      <c r="E14230" t="str">
        <f>HYPERLINK("https://patents.google.com/patent/US20150140954A1/en")</f>
        <v>https://patents.google.com/patent/US20150140954A1/en</v>
      </c>
    </row>
    <row r="14231" spans="3:5" x14ac:dyDescent="0.25">
      <c r="C14231" t="s">
        <v>26553</v>
      </c>
      <c r="D14231" t="s">
        <v>26554</v>
      </c>
      <c r="E14231" t="str">
        <f>HYPERLINK("https://patents.google.com/patent/KR100405636B1/en")</f>
        <v>https://patents.google.com/patent/KR100405636B1/en</v>
      </c>
    </row>
    <row r="14232" spans="3:5" x14ac:dyDescent="0.25">
      <c r="C14232" t="s">
        <v>26555</v>
      </c>
      <c r="D14232" t="s">
        <v>26556</v>
      </c>
      <c r="E14232" t="str">
        <f>HYPERLINK("https://patents.google.com/patent/US20140152792A1/en")</f>
        <v>https://patents.google.com/patent/US20140152792A1/en</v>
      </c>
    </row>
    <row r="14233" spans="3:5" x14ac:dyDescent="0.25">
      <c r="C14233" t="s">
        <v>26557</v>
      </c>
      <c r="D14233" t="s">
        <v>26558</v>
      </c>
      <c r="E14233" t="str">
        <f>HYPERLINK("https://patents.google.com/patent/DE102007021693A1/en")</f>
        <v>https://patents.google.com/patent/DE102007021693A1/en</v>
      </c>
    </row>
    <row r="14234" spans="3:5" x14ac:dyDescent="0.25">
      <c r="C14234" t="s">
        <v>15447</v>
      </c>
      <c r="D14234" t="s">
        <v>26559</v>
      </c>
      <c r="E14234" t="str">
        <f>HYPERLINK("https://patents.google.com/patent/US20150309264A1/en")</f>
        <v>https://patents.google.com/patent/US20150309264A1/en</v>
      </c>
    </row>
    <row r="14235" spans="3:5" x14ac:dyDescent="0.25">
      <c r="C14235" t="s">
        <v>26560</v>
      </c>
      <c r="D14235" t="s">
        <v>26561</v>
      </c>
      <c r="E14235" t="str">
        <f>HYPERLINK("https://patents.google.com/patent/WO2007043679A1/en")</f>
        <v>https://patents.google.com/patent/WO2007043679A1/en</v>
      </c>
    </row>
    <row r="14236" spans="3:5" x14ac:dyDescent="0.25">
      <c r="C14236" t="s">
        <v>26562</v>
      </c>
      <c r="D14236" t="s">
        <v>26563</v>
      </c>
      <c r="E14236" t="str">
        <f>HYPERLINK("https://patents.google.com/patent/JP2006061632A/en")</f>
        <v>https://patents.google.com/patent/JP2006061632A/en</v>
      </c>
    </row>
    <row r="14237" spans="3:5" x14ac:dyDescent="0.25">
      <c r="C14237" t="s">
        <v>26564</v>
      </c>
      <c r="D14237" t="s">
        <v>26565</v>
      </c>
      <c r="E14237" t="str">
        <f>HYPERLINK("https://patents.google.com/patent/US20150128049A1/en")</f>
        <v>https://patents.google.com/patent/US20150128049A1/en</v>
      </c>
    </row>
    <row r="14238" spans="3:5" x14ac:dyDescent="0.25">
      <c r="C14238" t="s">
        <v>26566</v>
      </c>
      <c r="D14238" t="s">
        <v>26567</v>
      </c>
      <c r="E14238" t="str">
        <f>HYPERLINK("https://patents.google.com/patent/JP2005313303A/en")</f>
        <v>https://patents.google.com/patent/JP2005313303A/en</v>
      </c>
    </row>
    <row r="14239" spans="3:5" x14ac:dyDescent="0.25">
      <c r="C14239" t="s">
        <v>26568</v>
      </c>
      <c r="D14239" t="s">
        <v>26569</v>
      </c>
      <c r="E14239" t="str">
        <f>HYPERLINK("https://patents.google.com/patent/CN1399734A/en")</f>
        <v>https://patents.google.com/patent/CN1399734A/en</v>
      </c>
    </row>
    <row r="14240" spans="3:5" x14ac:dyDescent="0.25">
      <c r="C14240" t="s">
        <v>26570</v>
      </c>
      <c r="D14240" t="s">
        <v>26571</v>
      </c>
      <c r="E14240" t="str">
        <f>HYPERLINK("https://patents.google.com/patent/JP2006109966A/en")</f>
        <v>https://patents.google.com/patent/JP2006109966A/en</v>
      </c>
    </row>
    <row r="14241" spans="3:5" x14ac:dyDescent="0.25">
      <c r="C14241" t="s">
        <v>26572</v>
      </c>
      <c r="D14241" t="s">
        <v>26573</v>
      </c>
      <c r="E14241" t="str">
        <f>HYPERLINK("https://patents.google.com/patent/CN103234763A/en")</f>
        <v>https://patents.google.com/patent/CN103234763A/en</v>
      </c>
    </row>
    <row r="14242" spans="3:5" x14ac:dyDescent="0.25">
      <c r="C14242" t="s">
        <v>26574</v>
      </c>
      <c r="D14242" t="s">
        <v>26575</v>
      </c>
      <c r="E14242" t="str">
        <f>HYPERLINK("https://patents.google.com/patent/US20110161268A1/en")</f>
        <v>https://patents.google.com/patent/US20110161268A1/en</v>
      </c>
    </row>
    <row r="14243" spans="3:5" x14ac:dyDescent="0.25">
      <c r="C14243" t="s">
        <v>26576</v>
      </c>
      <c r="D14243" t="s">
        <v>26577</v>
      </c>
      <c r="E14243" t="str">
        <f>HYPERLINK("https://patents.google.com/patent/US7587764B2/en")</f>
        <v>https://patents.google.com/patent/US7587764B2/en</v>
      </c>
    </row>
    <row r="14244" spans="3:5" x14ac:dyDescent="0.25">
      <c r="C14244" t="s">
        <v>18697</v>
      </c>
      <c r="D14244" t="s">
        <v>26578</v>
      </c>
      <c r="E14244" t="str">
        <f>HYPERLINK("https://patents.google.com/patent/WO2001046895A2/en")</f>
        <v>https://patents.google.com/patent/WO2001046895A2/en</v>
      </c>
    </row>
    <row r="14245" spans="3:5" x14ac:dyDescent="0.25">
      <c r="C14245" t="s">
        <v>26579</v>
      </c>
      <c r="D14245" t="s">
        <v>26580</v>
      </c>
      <c r="E14245" t="str">
        <f>HYPERLINK("https://patents.google.com/patent/DE112006002892T5/en")</f>
        <v>https://patents.google.com/patent/DE112006002892T5/en</v>
      </c>
    </row>
    <row r="14246" spans="3:5" x14ac:dyDescent="0.25">
      <c r="C14246" t="s">
        <v>26581</v>
      </c>
      <c r="D14246" t="s">
        <v>26582</v>
      </c>
      <c r="E14246" t="str">
        <f>HYPERLINK("https://patents.google.com/patent/WO2006087854A1/en")</f>
        <v>https://patents.google.com/patent/WO2006087854A1/en</v>
      </c>
    </row>
    <row r="14247" spans="3:5" x14ac:dyDescent="0.25">
      <c r="C14247" t="s">
        <v>26583</v>
      </c>
      <c r="D14247" t="s">
        <v>26584</v>
      </c>
      <c r="E14247" t="str">
        <f>HYPERLINK("https://patents.google.com/patent/US20080220877A1/en")</f>
        <v>https://patents.google.com/patent/US20080220877A1/en</v>
      </c>
    </row>
    <row r="14248" spans="3:5" x14ac:dyDescent="0.25">
      <c r="C14248" t="s">
        <v>26585</v>
      </c>
      <c r="D14248" t="s">
        <v>26586</v>
      </c>
      <c r="E14248" t="str">
        <f>HYPERLINK("https://patents.google.com/patent/US20170238129A1/en")</f>
        <v>https://patents.google.com/patent/US20170238129A1/en</v>
      </c>
    </row>
    <row r="14249" spans="3:5" x14ac:dyDescent="0.25">
      <c r="C14249" t="s">
        <v>26587</v>
      </c>
      <c r="D14249" t="s">
        <v>26588</v>
      </c>
      <c r="E14249" t="str">
        <f>HYPERLINK("https://patents.google.com/patent/KR20020026165A/en")</f>
        <v>https://patents.google.com/patent/KR20020026165A/en</v>
      </c>
    </row>
    <row r="14250" spans="3:5" x14ac:dyDescent="0.25">
      <c r="C14250" t="s">
        <v>26589</v>
      </c>
      <c r="D14250" t="s">
        <v>26590</v>
      </c>
      <c r="E14250" t="str">
        <f>HYPERLINK("https://patents.google.com/patent/JP2003157489A/en")</f>
        <v>https://patents.google.com/patent/JP2003157489A/en</v>
      </c>
    </row>
    <row r="14251" spans="3:5" x14ac:dyDescent="0.25">
      <c r="C14251" t="s">
        <v>26591</v>
      </c>
      <c r="D14251" t="s">
        <v>26592</v>
      </c>
      <c r="E14251" t="str">
        <f>HYPERLINK("https://patents.google.com/patent/US9610476B1/en")</f>
        <v>https://patents.google.com/patent/US9610476B1/en</v>
      </c>
    </row>
    <row r="14252" spans="3:5" x14ac:dyDescent="0.25">
      <c r="C14252" t="s">
        <v>26593</v>
      </c>
      <c r="D14252" t="s">
        <v>26594</v>
      </c>
      <c r="E14252" t="str">
        <f>HYPERLINK("https://patents.google.com/patent/US10068336B1/en")</f>
        <v>https://patents.google.com/patent/US10068336B1/en</v>
      </c>
    </row>
    <row r="14253" spans="3:5" x14ac:dyDescent="0.25">
      <c r="C14253" t="s">
        <v>26595</v>
      </c>
      <c r="D14253" t="s">
        <v>26596</v>
      </c>
      <c r="E14253" t="str">
        <f>HYPERLINK("https://patents.google.com/patent/KR101497096B1/en")</f>
        <v>https://patents.google.com/patent/KR101497096B1/en</v>
      </c>
    </row>
    <row r="14254" spans="3:5" x14ac:dyDescent="0.25">
      <c r="C14254" t="s">
        <v>26597</v>
      </c>
      <c r="D14254" t="s">
        <v>26598</v>
      </c>
      <c r="E14254" t="str">
        <f>HYPERLINK("https://patents.google.com/patent/KR20160000162A/en")</f>
        <v>https://patents.google.com/patent/KR20160000162A/en</v>
      </c>
    </row>
    <row r="14255" spans="3:5" x14ac:dyDescent="0.25">
      <c r="C14255" t="s">
        <v>26599</v>
      </c>
      <c r="D14255" t="s">
        <v>26600</v>
      </c>
      <c r="E14255" t="str">
        <f>HYPERLINK("https://patents.google.com/patent/ES2293847B2/en")</f>
        <v>https://patents.google.com/patent/ES2293847B2/en</v>
      </c>
    </row>
    <row r="14256" spans="3:5" x14ac:dyDescent="0.25">
      <c r="C14256" t="s">
        <v>26601</v>
      </c>
      <c r="D14256" t="s">
        <v>26602</v>
      </c>
      <c r="E14256" t="str">
        <f>HYPERLINK("https://patents.google.com/patent/KR20180037855A/en")</f>
        <v>https://patents.google.com/patent/KR20180037855A/en</v>
      </c>
    </row>
    <row r="14257" spans="3:5" x14ac:dyDescent="0.25">
      <c r="C14257" t="s">
        <v>26603</v>
      </c>
      <c r="D14257" t="s">
        <v>26604</v>
      </c>
      <c r="E14257" t="str">
        <f>HYPERLINK("https://patents.google.com/patent/RU6183U1/en")</f>
        <v>https://patents.google.com/patent/RU6183U1/en</v>
      </c>
    </row>
    <row r="14258" spans="3:5" x14ac:dyDescent="0.25">
      <c r="C14258" t="s">
        <v>26605</v>
      </c>
      <c r="D14258" t="s">
        <v>26606</v>
      </c>
      <c r="E14258" t="str">
        <f>HYPERLINK("https://patents.google.com/patent/CN105844614A/en")</f>
        <v>https://patents.google.com/patent/CN105844614A/en</v>
      </c>
    </row>
    <row r="14259" spans="3:5" x14ac:dyDescent="0.25">
      <c r="C14259" t="s">
        <v>26607</v>
      </c>
      <c r="D14259" t="s">
        <v>26608</v>
      </c>
      <c r="E14259" t="str">
        <f>HYPERLINK("https://patents.google.com/patent/CN103748623A/en")</f>
        <v>https://patents.google.com/patent/CN103748623A/en</v>
      </c>
    </row>
    <row r="14260" spans="3:5" x14ac:dyDescent="0.25">
      <c r="C14260" t="s">
        <v>26609</v>
      </c>
      <c r="D14260" t="s">
        <v>26610</v>
      </c>
      <c r="E14260" t="str">
        <f>HYPERLINK("https://patents.google.com/patent/CN104626204A/en")</f>
        <v>https://patents.google.com/patent/CN104626204A/en</v>
      </c>
    </row>
    <row r="14261" spans="3:5" x14ac:dyDescent="0.25">
      <c r="C14261" t="s">
        <v>26611</v>
      </c>
      <c r="D14261" t="s">
        <v>26612</v>
      </c>
      <c r="E14261" t="str">
        <f>HYPERLINK("https://patents.google.com/patent/US9223312B2/en")</f>
        <v>https://patents.google.com/patent/US9223312B2/en</v>
      </c>
    </row>
    <row r="14262" spans="3:5" x14ac:dyDescent="0.25">
      <c r="C14262" t="s">
        <v>26613</v>
      </c>
      <c r="D14262" t="s">
        <v>26614</v>
      </c>
      <c r="E14262" t="str">
        <f>HYPERLINK("https://patents.google.com/patent/US20110093191A1/en")</f>
        <v>https://patents.google.com/patent/US20110093191A1/en</v>
      </c>
    </row>
    <row r="14263" spans="3:5" x14ac:dyDescent="0.25">
      <c r="C14263" t="s">
        <v>26615</v>
      </c>
      <c r="D14263" t="s">
        <v>26616</v>
      </c>
      <c r="E14263" t="str">
        <f>HYPERLINK("https://patents.google.com/patent/US20170064498A1/en")</f>
        <v>https://patents.google.com/patent/US20170064498A1/en</v>
      </c>
    </row>
    <row r="14264" spans="3:5" x14ac:dyDescent="0.25">
      <c r="C14264" t="s">
        <v>26617</v>
      </c>
      <c r="D14264" t="s">
        <v>26618</v>
      </c>
      <c r="E14264" t="str">
        <f>HYPERLINK("https://patents.google.com/patent/JP2010517875A/en")</f>
        <v>https://patents.google.com/patent/JP2010517875A/en</v>
      </c>
    </row>
    <row r="14265" spans="3:5" x14ac:dyDescent="0.25">
      <c r="C14265" t="s">
        <v>26619</v>
      </c>
      <c r="D14265" t="s">
        <v>26620</v>
      </c>
      <c r="E14265" t="str">
        <f>HYPERLINK("https://patents.google.com/patent/US20170039871A1/en")</f>
        <v>https://patents.google.com/patent/US20170039871A1/en</v>
      </c>
    </row>
    <row r="14266" spans="3:5" x14ac:dyDescent="0.25">
      <c r="C14266" t="s">
        <v>26621</v>
      </c>
      <c r="D14266" t="s">
        <v>26622</v>
      </c>
      <c r="E14266" t="str">
        <f>HYPERLINK("https://patents.google.com/patent/US9063930B2/en")</f>
        <v>https://patents.google.com/patent/US9063930B2/en</v>
      </c>
    </row>
    <row r="14267" spans="3:5" x14ac:dyDescent="0.25">
      <c r="C14267" t="s">
        <v>26623</v>
      </c>
      <c r="D14267" t="s">
        <v>26624</v>
      </c>
      <c r="E14267" t="str">
        <f>HYPERLINK("https://patents.google.com/patent/US20130287984A1/en")</f>
        <v>https://patents.google.com/patent/US20130287984A1/en</v>
      </c>
    </row>
    <row r="14268" spans="3:5" x14ac:dyDescent="0.25">
      <c r="C14268" t="s">
        <v>26625</v>
      </c>
      <c r="D14268" t="s">
        <v>26626</v>
      </c>
      <c r="E14268" t="str">
        <f>HYPERLINK("https://patents.google.com/patent/CN204256507U/en")</f>
        <v>https://patents.google.com/patent/CN204256507U/en</v>
      </c>
    </row>
    <row r="14269" spans="3:5" x14ac:dyDescent="0.25">
      <c r="C14269" t="s">
        <v>26627</v>
      </c>
      <c r="D14269" t="s">
        <v>26628</v>
      </c>
      <c r="E14269" t="str">
        <f>HYPERLINK("https://patents.google.com/patent/KR101271114B1/en")</f>
        <v>https://patents.google.com/patent/KR101271114B1/en</v>
      </c>
    </row>
    <row r="14270" spans="3:5" x14ac:dyDescent="0.25">
      <c r="C14270" t="s">
        <v>26629</v>
      </c>
      <c r="D14270" t="s">
        <v>26630</v>
      </c>
      <c r="E14270" t="str">
        <f>HYPERLINK("https://patents.google.com/patent/JP2004053251A/en")</f>
        <v>https://patents.google.com/patent/JP2004053251A/en</v>
      </c>
    </row>
    <row r="14271" spans="3:5" x14ac:dyDescent="0.25">
      <c r="C14271" t="s">
        <v>26631</v>
      </c>
      <c r="D14271" t="s">
        <v>26632</v>
      </c>
      <c r="E14271" t="str">
        <f>HYPERLINK("https://patents.google.com/patent/US9928379B1/en")</f>
        <v>https://patents.google.com/patent/US9928379B1/en</v>
      </c>
    </row>
    <row r="14272" spans="3:5" x14ac:dyDescent="0.25">
      <c r="C14272" t="s">
        <v>26633</v>
      </c>
      <c r="D14272" t="s">
        <v>26634</v>
      </c>
      <c r="E14272" t="str">
        <f>HYPERLINK("https://patents.google.com/patent/JP2002108934A/en")</f>
        <v>https://patents.google.com/patent/JP2002108934A/en</v>
      </c>
    </row>
    <row r="14273" spans="3:5" x14ac:dyDescent="0.25">
      <c r="C14273" t="s">
        <v>26635</v>
      </c>
      <c r="D14273" t="s">
        <v>26636</v>
      </c>
      <c r="E14273" t="str">
        <f>HYPERLINK("https://patents.google.com/patent/US9536322B1/en")</f>
        <v>https://patents.google.com/patent/US9536322B1/en</v>
      </c>
    </row>
    <row r="14274" spans="3:5" x14ac:dyDescent="0.25">
      <c r="C14274" t="s">
        <v>26637</v>
      </c>
      <c r="D14274" t="s">
        <v>26638</v>
      </c>
      <c r="E14274" t="str">
        <f>HYPERLINK("https://patents.google.com/patent/US20160298970A1/en")</f>
        <v>https://patents.google.com/patent/US20160298970A1/en</v>
      </c>
    </row>
    <row r="14275" spans="3:5" x14ac:dyDescent="0.25">
      <c r="C14275" t="s">
        <v>26639</v>
      </c>
      <c r="D14275" t="s">
        <v>26640</v>
      </c>
      <c r="E14275" t="str">
        <f>HYPERLINK("https://patents.google.com/patent/CN1537386A/en")</f>
        <v>https://patents.google.com/patent/CN1537386A/en</v>
      </c>
    </row>
    <row r="14276" spans="3:5" x14ac:dyDescent="0.25">
      <c r="C14276" t="s">
        <v>26641</v>
      </c>
      <c r="D14276" t="s">
        <v>26642</v>
      </c>
      <c r="E14276" t="str">
        <f>HYPERLINK("https://patents.google.com/patent/CN102460074A/en")</f>
        <v>https://patents.google.com/patent/CN102460074A/en</v>
      </c>
    </row>
    <row r="14277" spans="3:5" x14ac:dyDescent="0.25">
      <c r="C14277" t="s">
        <v>26643</v>
      </c>
      <c r="D14277" t="s">
        <v>26644</v>
      </c>
      <c r="E14277" t="str">
        <f>HYPERLINK("https://patents.google.com/patent/US20160378861A1/en")</f>
        <v>https://patents.google.com/patent/US20160378861A1/en</v>
      </c>
    </row>
    <row r="14278" spans="3:5" x14ac:dyDescent="0.25">
      <c r="C14278" t="s">
        <v>26645</v>
      </c>
      <c r="D14278" t="s">
        <v>26646</v>
      </c>
      <c r="E14278" t="str">
        <f>HYPERLINK("https://patents.google.com/patent/KR101086092B1/en")</f>
        <v>https://patents.google.com/patent/KR101086092B1/en</v>
      </c>
    </row>
    <row r="14279" spans="3:5" x14ac:dyDescent="0.25">
      <c r="C14279" t="s">
        <v>26647</v>
      </c>
      <c r="D14279" t="s">
        <v>26648</v>
      </c>
      <c r="E14279" t="str">
        <f>HYPERLINK("https://patents.google.com/patent/KR20130046741A/en")</f>
        <v>https://patents.google.com/patent/KR20130046741A/en</v>
      </c>
    </row>
    <row r="14280" spans="3:5" x14ac:dyDescent="0.25">
      <c r="C14280" t="s">
        <v>17949</v>
      </c>
      <c r="D14280" t="s">
        <v>26649</v>
      </c>
      <c r="E14280" t="str">
        <f>HYPERLINK("https://patents.google.com/patent/JP2004050975A/en")</f>
        <v>https://patents.google.com/patent/JP2004050975A/en</v>
      </c>
    </row>
    <row r="14281" spans="3:5" x14ac:dyDescent="0.25">
      <c r="C14281" t="s">
        <v>26650</v>
      </c>
      <c r="D14281" t="s">
        <v>26651</v>
      </c>
      <c r="E14281" t="str">
        <f>HYPERLINK("https://patents.google.com/patent/KR101771643B1/en")</f>
        <v>https://patents.google.com/patent/KR101771643B1/en</v>
      </c>
    </row>
    <row r="14282" spans="3:5" x14ac:dyDescent="0.25">
      <c r="C14282" t="s">
        <v>26652</v>
      </c>
      <c r="D14282" t="s">
        <v>26653</v>
      </c>
      <c r="E14282" t="str">
        <f>HYPERLINK("https://patents.google.com/patent/KR101234271B1/en")</f>
        <v>https://patents.google.com/patent/KR101234271B1/en</v>
      </c>
    </row>
    <row r="14283" spans="3:5" x14ac:dyDescent="0.25">
      <c r="C14283" t="s">
        <v>26645</v>
      </c>
      <c r="D14283" t="s">
        <v>26654</v>
      </c>
      <c r="E14283" t="str">
        <f>HYPERLINK("https://patents.google.com/patent/KR101719404B1/en")</f>
        <v>https://patents.google.com/patent/KR101719404B1/en</v>
      </c>
    </row>
    <row r="14284" spans="3:5" x14ac:dyDescent="0.25">
      <c r="C14284" t="s">
        <v>26655</v>
      </c>
      <c r="D14284" t="s">
        <v>26656</v>
      </c>
      <c r="E14284" t="str">
        <f>HYPERLINK("https://patents.google.com/patent/ES2208091B1/en")</f>
        <v>https://patents.google.com/patent/ES2208091B1/en</v>
      </c>
    </row>
    <row r="14285" spans="3:5" x14ac:dyDescent="0.25">
      <c r="C14285" t="s">
        <v>26657</v>
      </c>
      <c r="D14285" t="s">
        <v>26658</v>
      </c>
      <c r="E14285" t="str">
        <f>HYPERLINK("https://patents.google.com/patent/CN103793593A/en")</f>
        <v>https://patents.google.com/patent/CN103793593A/en</v>
      </c>
    </row>
    <row r="14286" spans="3:5" x14ac:dyDescent="0.25">
      <c r="C14286" t="s">
        <v>26659</v>
      </c>
      <c r="D14286" t="s">
        <v>26660</v>
      </c>
      <c r="E14286" t="str">
        <f>HYPERLINK("https://patents.google.com/patent/KR101253767B1/en")</f>
        <v>https://patents.google.com/patent/KR101253767B1/en</v>
      </c>
    </row>
    <row r="14287" spans="3:5" x14ac:dyDescent="0.25">
      <c r="C14287" t="s">
        <v>26661</v>
      </c>
      <c r="D14287" t="s">
        <v>26662</v>
      </c>
      <c r="E14287" t="str">
        <f>HYPERLINK("https://patents.google.com/patent/KR100906991B1/en")</f>
        <v>https://patents.google.com/patent/KR100906991B1/en</v>
      </c>
    </row>
    <row r="14288" spans="3:5" x14ac:dyDescent="0.25">
      <c r="C14288" t="s">
        <v>26663</v>
      </c>
      <c r="D14288" t="s">
        <v>26664</v>
      </c>
      <c r="E14288" t="str">
        <f>HYPERLINK("https://patents.google.com/patent/KR970000583B1/en")</f>
        <v>https://patents.google.com/patent/KR970000583B1/en</v>
      </c>
    </row>
    <row r="14289" spans="3:5" x14ac:dyDescent="0.25">
      <c r="C14289" t="s">
        <v>26665</v>
      </c>
      <c r="D14289" t="s">
        <v>26666</v>
      </c>
      <c r="E14289" t="str">
        <f>HYPERLINK("https://patents.google.com/patent/WO2017097170A1/en")</f>
        <v>https://patents.google.com/patent/WO2017097170A1/en</v>
      </c>
    </row>
    <row r="14290" spans="3:5" x14ac:dyDescent="0.25">
      <c r="C14290" t="s">
        <v>15754</v>
      </c>
      <c r="D14290" t="s">
        <v>26667</v>
      </c>
      <c r="E14290" t="str">
        <f>HYPERLINK("https://patents.google.com/patent/DE112011104645T5/en")</f>
        <v>https://patents.google.com/patent/DE112011104645T5/en</v>
      </c>
    </row>
    <row r="14291" spans="3:5" x14ac:dyDescent="0.25">
      <c r="C14291" t="s">
        <v>14313</v>
      </c>
      <c r="D14291" t="s">
        <v>26668</v>
      </c>
      <c r="E14291" t="str">
        <f>HYPERLINK("https://patents.google.com/patent/JP2005517105A/en")</f>
        <v>https://patents.google.com/patent/JP2005517105A/en</v>
      </c>
    </row>
    <row r="14292" spans="3:5" x14ac:dyDescent="0.25">
      <c r="C14292" t="s">
        <v>26669</v>
      </c>
      <c r="D14292" t="s">
        <v>26670</v>
      </c>
      <c r="E14292" t="str">
        <f>HYPERLINK("https://patents.google.com/patent/JP2004054300A/en")</f>
        <v>https://patents.google.com/patent/JP2004054300A/en</v>
      </c>
    </row>
    <row r="14293" spans="3:5" x14ac:dyDescent="0.25">
      <c r="C14293" t="s">
        <v>26671</v>
      </c>
      <c r="D14293" t="s">
        <v>26672</v>
      </c>
      <c r="E14293" t="str">
        <f>HYPERLINK("https://patents.google.com/patent/KR20180039439A/en")</f>
        <v>https://patents.google.com/patent/KR20180039439A/en</v>
      </c>
    </row>
    <row r="14294" spans="3:5" x14ac:dyDescent="0.25">
      <c r="C14294" t="s">
        <v>26673</v>
      </c>
      <c r="D14294" t="s">
        <v>26674</v>
      </c>
      <c r="E14294" t="str">
        <f>HYPERLINK("https://patents.google.com/patent/CN108002154A/en")</f>
        <v>https://patents.google.com/patent/CN108002154A/en</v>
      </c>
    </row>
    <row r="14295" spans="3:5" x14ac:dyDescent="0.25">
      <c r="C14295" t="s">
        <v>26675</v>
      </c>
      <c r="D14295" t="s">
        <v>26676</v>
      </c>
      <c r="E14295" t="str">
        <f>HYPERLINK("https://patents.google.com/patent/US20170286901A1/en")</f>
        <v>https://patents.google.com/patent/US20170286901A1/en</v>
      </c>
    </row>
    <row r="14296" spans="3:5" x14ac:dyDescent="0.25">
      <c r="C14296" t="s">
        <v>26677</v>
      </c>
      <c r="D14296" t="s">
        <v>26678</v>
      </c>
      <c r="E14296" t="str">
        <f>HYPERLINK("https://patents.google.com/patent/RU2550536C2/en")</f>
        <v>https://patents.google.com/patent/RU2550536C2/en</v>
      </c>
    </row>
    <row r="14297" spans="3:5" x14ac:dyDescent="0.25">
      <c r="C14297" t="s">
        <v>26679</v>
      </c>
      <c r="D14297" t="s">
        <v>26680</v>
      </c>
      <c r="E14297" t="str">
        <f>HYPERLINK("https://patents.google.com/patent/US20180014102A1/en")</f>
        <v>https://patents.google.com/patent/US20180014102A1/en</v>
      </c>
    </row>
    <row r="14298" spans="3:5" x14ac:dyDescent="0.25">
      <c r="C14298" t="s">
        <v>26681</v>
      </c>
      <c r="D14298" t="s">
        <v>26682</v>
      </c>
      <c r="E14298" t="str">
        <f>HYPERLINK("https://patents.google.com/patent/US20170148073A1/en")</f>
        <v>https://patents.google.com/patent/US20170148073A1/en</v>
      </c>
    </row>
    <row r="14299" spans="3:5" x14ac:dyDescent="0.25">
      <c r="C14299" t="s">
        <v>26683</v>
      </c>
      <c r="D14299" t="s">
        <v>26684</v>
      </c>
      <c r="E14299" t="str">
        <f>HYPERLINK("https://patents.google.com/patent/US20160310858A1/en")</f>
        <v>https://patents.google.com/patent/US20160310858A1/en</v>
      </c>
    </row>
    <row r="14300" spans="3:5" x14ac:dyDescent="0.25">
      <c r="C14300" t="s">
        <v>26685</v>
      </c>
      <c r="D14300" t="s">
        <v>26686</v>
      </c>
      <c r="E14300" t="str">
        <f>HYPERLINK("https://patents.google.com/patent/US20160171303A1/en")</f>
        <v>https://patents.google.com/patent/US20160171303A1/en</v>
      </c>
    </row>
    <row r="14301" spans="3:5" x14ac:dyDescent="0.25">
      <c r="C14301" t="s">
        <v>26687</v>
      </c>
      <c r="D14301" t="s">
        <v>26688</v>
      </c>
      <c r="E14301" t="str">
        <f>HYPERLINK("https://patents.google.com/patent/US20170019496A1/en")</f>
        <v>https://patents.google.com/patent/US20170019496A1/en</v>
      </c>
    </row>
    <row r="14302" spans="3:5" x14ac:dyDescent="0.25">
      <c r="C14302" t="s">
        <v>26689</v>
      </c>
      <c r="D14302" t="s">
        <v>26690</v>
      </c>
      <c r="E14302" t="str">
        <f>HYPERLINK("https://patents.google.com/patent/US20120072054A1/en")</f>
        <v>https://patents.google.com/patent/US20120072054A1/en</v>
      </c>
    </row>
    <row r="14303" spans="3:5" x14ac:dyDescent="0.25">
      <c r="C14303" t="s">
        <v>26691</v>
      </c>
      <c r="D14303" t="s">
        <v>26692</v>
      </c>
      <c r="E14303" t="str">
        <f>HYPERLINK("https://patents.google.com/patent/US20180005176A1/en")</f>
        <v>https://patents.google.com/patent/US20180005176A1/en</v>
      </c>
    </row>
    <row r="14304" spans="3:5" x14ac:dyDescent="0.25">
      <c r="C14304" t="s">
        <v>26693</v>
      </c>
      <c r="D14304" t="s">
        <v>26694</v>
      </c>
      <c r="E14304" t="str">
        <f>HYPERLINK("https://patents.google.com/patent/US20160152416A1/en")</f>
        <v>https://patents.google.com/patent/US20160152416A1/en</v>
      </c>
    </row>
    <row r="14305" spans="3:5" x14ac:dyDescent="0.25">
      <c r="C14305" t="s">
        <v>26695</v>
      </c>
      <c r="D14305" t="s">
        <v>26696</v>
      </c>
      <c r="E14305" t="str">
        <f>HYPERLINK("https://patents.google.com/patent/US20180239144A1/en")</f>
        <v>https://patents.google.com/patent/US20180239144A1/en</v>
      </c>
    </row>
    <row r="14306" spans="3:5" x14ac:dyDescent="0.25">
      <c r="C14306" t="s">
        <v>26697</v>
      </c>
      <c r="D14306" t="s">
        <v>26698</v>
      </c>
      <c r="E14306" t="str">
        <f>HYPERLINK("https://patents.google.com/patent/CN107544504A/en")</f>
        <v>https://patents.google.com/patent/CN107544504A/en</v>
      </c>
    </row>
    <row r="14307" spans="3:5" x14ac:dyDescent="0.25">
      <c r="C14307" t="s">
        <v>26699</v>
      </c>
      <c r="D14307" t="s">
        <v>26700</v>
      </c>
      <c r="E14307" t="str">
        <f>HYPERLINK("https://patents.google.com/patent/CN106708047A/en")</f>
        <v>https://patents.google.com/patent/CN106708047A/en</v>
      </c>
    </row>
    <row r="14308" spans="3:5" x14ac:dyDescent="0.25">
      <c r="C14308" t="s">
        <v>26701</v>
      </c>
      <c r="D14308" t="s">
        <v>26702</v>
      </c>
      <c r="E14308" t="str">
        <f>HYPERLINK("https://patents.google.com/patent/DE10008291A1/en")</f>
        <v>https://patents.google.com/patent/DE10008291A1/en</v>
      </c>
    </row>
    <row r="14309" spans="3:5" x14ac:dyDescent="0.25">
      <c r="C14309" t="s">
        <v>26703</v>
      </c>
      <c r="D14309" t="s">
        <v>26704</v>
      </c>
      <c r="E14309" t="str">
        <f>HYPERLINK("https://patents.google.com/patent/US10048724B1/en")</f>
        <v>https://patents.google.com/patent/US10048724B1/en</v>
      </c>
    </row>
    <row r="14310" spans="3:5" x14ac:dyDescent="0.25">
      <c r="C14310" t="s">
        <v>26705</v>
      </c>
      <c r="D14310" t="s">
        <v>26706</v>
      </c>
      <c r="E14310" t="str">
        <f>HYPERLINK("https://patents.google.com/patent/EP2112963B1/en")</f>
        <v>https://patents.google.com/patent/EP2112963B1/en</v>
      </c>
    </row>
    <row r="14311" spans="3:5" x14ac:dyDescent="0.25">
      <c r="C14311" t="s">
        <v>26707</v>
      </c>
      <c r="D14311" t="s">
        <v>26708</v>
      </c>
      <c r="E14311" t="str">
        <f>HYPERLINK("https://patents.google.com/patent/CN106094606A/en")</f>
        <v>https://patents.google.com/patent/CN106094606A/en</v>
      </c>
    </row>
    <row r="14312" spans="3:5" x14ac:dyDescent="0.25">
      <c r="C14312" t="s">
        <v>26709</v>
      </c>
      <c r="D14312" t="s">
        <v>26710</v>
      </c>
      <c r="E14312" t="str">
        <f>HYPERLINK("https://patents.google.com/patent/US9921712B2/en")</f>
        <v>https://patents.google.com/patent/US9921712B2/en</v>
      </c>
    </row>
    <row r="14313" spans="3:5" x14ac:dyDescent="0.25">
      <c r="C14313" t="s">
        <v>26711</v>
      </c>
      <c r="D14313" t="s">
        <v>26712</v>
      </c>
      <c r="E14313" t="str">
        <f>HYPERLINK("https://patents.google.com/patent/CN103389699A/en")</f>
        <v>https://patents.google.com/patent/CN103389699A/en</v>
      </c>
    </row>
    <row r="14314" spans="3:5" x14ac:dyDescent="0.25">
      <c r="C14314" t="s">
        <v>26713</v>
      </c>
      <c r="D14314" t="s">
        <v>26714</v>
      </c>
      <c r="E14314" t="str">
        <f>HYPERLINK("https://patents.google.com/patent/CN104881045A/en")</f>
        <v>https://patents.google.com/patent/CN104881045A/en</v>
      </c>
    </row>
    <row r="14315" spans="3:5" x14ac:dyDescent="0.25">
      <c r="C14315" t="s">
        <v>26715</v>
      </c>
      <c r="D14315" t="s">
        <v>26716</v>
      </c>
      <c r="E14315" t="str">
        <f>HYPERLINK("https://patents.google.com/patent/EP2249999B1/en")</f>
        <v>https://patents.google.com/patent/EP2249999B1/en</v>
      </c>
    </row>
    <row r="14316" spans="3:5" x14ac:dyDescent="0.25">
      <c r="C14316" t="s">
        <v>26717</v>
      </c>
      <c r="D14316" t="s">
        <v>26718</v>
      </c>
      <c r="E14316" t="str">
        <f>HYPERLINK("https://patents.google.com/patent/US9989964B2/en")</f>
        <v>https://patents.google.com/patent/US9989964B2/en</v>
      </c>
    </row>
    <row r="14317" spans="3:5" x14ac:dyDescent="0.25">
      <c r="C14317" t="s">
        <v>26601</v>
      </c>
      <c r="D14317" t="s">
        <v>26719</v>
      </c>
      <c r="E14317" t="str">
        <f>HYPERLINK("https://patents.google.com/patent/WO2018066836A1/en")</f>
        <v>https://patents.google.com/patent/WO2018066836A1/en</v>
      </c>
    </row>
    <row r="14318" spans="3:5" x14ac:dyDescent="0.25">
      <c r="C14318" t="s">
        <v>26720</v>
      </c>
      <c r="D14318" t="s">
        <v>26721</v>
      </c>
      <c r="E14318" t="str">
        <f>HYPERLINK("https://patents.google.com/patent/CN205176581U/en")</f>
        <v>https://patents.google.com/patent/CN205176581U/en</v>
      </c>
    </row>
    <row r="14319" spans="3:5" x14ac:dyDescent="0.25">
      <c r="C14319" t="s">
        <v>26722</v>
      </c>
      <c r="D14319" t="s">
        <v>26723</v>
      </c>
      <c r="E14319" t="str">
        <f>HYPERLINK("https://patents.google.com/patent/JP6235243B2/en")</f>
        <v>https://patents.google.com/patent/JP6235243B2/en</v>
      </c>
    </row>
    <row r="14320" spans="3:5" x14ac:dyDescent="0.25">
      <c r="C14320" t="s">
        <v>26724</v>
      </c>
      <c r="D14320" t="s">
        <v>26725</v>
      </c>
      <c r="E14320" t="str">
        <f>HYPERLINK("https://patents.google.com/patent/KR101777019B1/en")</f>
        <v>https://patents.google.com/patent/KR101777019B1/en</v>
      </c>
    </row>
    <row r="14321" spans="3:5" x14ac:dyDescent="0.25">
      <c r="C14321" t="s">
        <v>26726</v>
      </c>
      <c r="D14321" t="s">
        <v>26727</v>
      </c>
      <c r="E14321" t="str">
        <f>HYPERLINK("https://patents.google.com/patent/KR101755746B1/en")</f>
        <v>https://patents.google.com/patent/KR101755746B1/en</v>
      </c>
    </row>
    <row r="14322" spans="3:5" x14ac:dyDescent="0.25">
      <c r="C14322" t="s">
        <v>26728</v>
      </c>
      <c r="D14322" t="s">
        <v>26729</v>
      </c>
      <c r="E14322" t="str">
        <f>HYPERLINK("https://patents.google.com/patent/KR101759275B1/en")</f>
        <v>https://patents.google.com/patent/KR101759275B1/en</v>
      </c>
    </row>
    <row r="14323" spans="3:5" x14ac:dyDescent="0.25">
      <c r="C14323" t="s">
        <v>26730</v>
      </c>
      <c r="D14323" t="s">
        <v>26731</v>
      </c>
      <c r="E14323" t="str">
        <f>HYPERLINK("https://patents.google.com/patent/DE102005001026B4/en")</f>
        <v>https://patents.google.com/patent/DE102005001026B4/en</v>
      </c>
    </row>
    <row r="14324" spans="3:5" x14ac:dyDescent="0.25">
      <c r="C14324" t="s">
        <v>26732</v>
      </c>
      <c r="D14324" t="s">
        <v>26733</v>
      </c>
      <c r="E14324" t="str">
        <f>HYPERLINK("https://patents.google.com/patent/KR101704144B1/en")</f>
        <v>https://patents.google.com/patent/KR101704144B1/en</v>
      </c>
    </row>
    <row r="14325" spans="3:5" x14ac:dyDescent="0.25">
      <c r="C14325" t="s">
        <v>26734</v>
      </c>
      <c r="D14325" t="s">
        <v>26735</v>
      </c>
      <c r="E14325" t="str">
        <f>HYPERLINK("https://patents.google.com/patent/JP5963068B1/en")</f>
        <v>https://patents.google.com/patent/JP5963068B1/en</v>
      </c>
    </row>
    <row r="14326" spans="3:5" x14ac:dyDescent="0.25">
      <c r="C14326" t="s">
        <v>26736</v>
      </c>
      <c r="D14326" t="s">
        <v>26737</v>
      </c>
      <c r="E14326" t="str">
        <f>HYPERLINK("https://patents.google.com/patent/KR101697557B1/en")</f>
        <v>https://patents.google.com/patent/KR101697557B1/en</v>
      </c>
    </row>
    <row r="14327" spans="3:5" x14ac:dyDescent="0.25">
      <c r="C14327" t="s">
        <v>26738</v>
      </c>
      <c r="D14327" t="s">
        <v>26739</v>
      </c>
      <c r="E14327" t="str">
        <f>HYPERLINK("https://patents.google.com/patent/KR100408428B1/en")</f>
        <v>https://patents.google.com/patent/KR100408428B1/en</v>
      </c>
    </row>
    <row r="14328" spans="3:5" x14ac:dyDescent="0.25">
      <c r="C14328" t="s">
        <v>26740</v>
      </c>
      <c r="D14328" t="s">
        <v>26741</v>
      </c>
      <c r="E14328" t="str">
        <f>HYPERLINK("https://patents.google.com/patent/KR101855861B1/en")</f>
        <v>https://patents.google.com/patent/KR101855861B1/en</v>
      </c>
    </row>
    <row r="14329" spans="3:5" x14ac:dyDescent="0.25">
      <c r="C14329" t="s">
        <v>26742</v>
      </c>
      <c r="D14329" t="s">
        <v>26743</v>
      </c>
      <c r="E14329" t="str">
        <f>HYPERLINK("https://patents.google.com/patent/KR101771869B1/en")</f>
        <v>https://patents.google.com/patent/KR101771869B1/en</v>
      </c>
    </row>
    <row r="14330" spans="3:5" x14ac:dyDescent="0.25">
      <c r="C14330" t="s">
        <v>26744</v>
      </c>
      <c r="D14330" t="s">
        <v>26745</v>
      </c>
      <c r="E14330" t="str">
        <f>HYPERLINK("https://patents.google.com/patent/JP4449446B2/en")</f>
        <v>https://patents.google.com/patent/JP4449446B2/en</v>
      </c>
    </row>
    <row r="14331" spans="3:5" x14ac:dyDescent="0.25">
      <c r="C14331" t="s">
        <v>26746</v>
      </c>
      <c r="D14331" t="s">
        <v>26747</v>
      </c>
      <c r="E14331" t="str">
        <f>HYPERLINK("https://patents.google.com/patent/JP6292526B2/en")</f>
        <v>https://patents.google.com/patent/JP6292526B2/en</v>
      </c>
    </row>
    <row r="14332" spans="3:5" x14ac:dyDescent="0.25">
      <c r="C14332" t="s">
        <v>26748</v>
      </c>
      <c r="D14332" t="s">
        <v>26749</v>
      </c>
      <c r="E14332" t="str">
        <f>HYPERLINK("https://patents.google.com/patent/KR101711797B1/en")</f>
        <v>https://patents.google.com/patent/KR101711797B1/en</v>
      </c>
    </row>
    <row r="14333" spans="3:5" x14ac:dyDescent="0.25">
      <c r="C14333" t="s">
        <v>26750</v>
      </c>
      <c r="D14333" t="s">
        <v>26751</v>
      </c>
      <c r="E14333" t="str">
        <f>HYPERLINK("https://patents.google.com/patent/KR101855055B1/en")</f>
        <v>https://patents.google.com/patent/KR101855055B1/en</v>
      </c>
    </row>
    <row r="14334" spans="3:5" x14ac:dyDescent="0.25">
      <c r="C14334" t="s">
        <v>26752</v>
      </c>
      <c r="D14334" t="s">
        <v>26753</v>
      </c>
      <c r="E14334" t="str">
        <f>HYPERLINK("https://patents.google.com/patent/KR101897730B1/en")</f>
        <v>https://patents.google.com/patent/KR101897730B1/en</v>
      </c>
    </row>
    <row r="14335" spans="3:5" x14ac:dyDescent="0.25">
      <c r="C14335" t="s">
        <v>15406</v>
      </c>
      <c r="D14335" t="s">
        <v>26754</v>
      </c>
      <c r="E14335" t="str">
        <f>HYPERLINK("https://patents.google.com/patent/KR101783890B1/en")</f>
        <v>https://patents.google.com/patent/KR101783890B1/en</v>
      </c>
    </row>
    <row r="14336" spans="3:5" x14ac:dyDescent="0.25">
      <c r="C14336" t="s">
        <v>6282</v>
      </c>
      <c r="D14336" t="s">
        <v>26755</v>
      </c>
      <c r="E14336" t="str">
        <f>HYPERLINK("https://patents.google.com/patent/JP5560333B2/en")</f>
        <v>https://patents.google.com/patent/JP5560333B2/en</v>
      </c>
    </row>
    <row r="14337" spans="3:5" x14ac:dyDescent="0.25">
      <c r="C14337" t="s">
        <v>26756</v>
      </c>
      <c r="D14337" t="s">
        <v>26757</v>
      </c>
      <c r="E14337" t="str">
        <f>HYPERLINK("https://patents.google.com/patent/KR920010578B1/en")</f>
        <v>https://patents.google.com/patent/KR920010578B1/en</v>
      </c>
    </row>
    <row r="14338" spans="3:5" x14ac:dyDescent="0.25">
      <c r="C14338" t="s">
        <v>26758</v>
      </c>
      <c r="D14338" t="s">
        <v>26759</v>
      </c>
      <c r="E14338" t="str">
        <f>HYPERLINK("https://patents.google.com/patent/JP6390022B2/en")</f>
        <v>https://patents.google.com/patent/JP6390022B2/en</v>
      </c>
    </row>
    <row r="14339" spans="3:5" x14ac:dyDescent="0.25">
      <c r="C14339" t="s">
        <v>26760</v>
      </c>
      <c r="D14339" t="s">
        <v>26761</v>
      </c>
      <c r="E14339" t="str">
        <f>HYPERLINK("https://patents.google.com/patent/RU2661295C1/en")</f>
        <v>https://patents.google.com/patent/RU2661295C1/en</v>
      </c>
    </row>
    <row r="14340" spans="3:5" x14ac:dyDescent="0.25">
      <c r="C14340" t="s">
        <v>26762</v>
      </c>
      <c r="D14340" t="s">
        <v>26763</v>
      </c>
      <c r="E14340" t="str">
        <f>HYPERLINK("https://patents.google.com/patent/KR101720704B1/en")</f>
        <v>https://patents.google.com/patent/KR101720704B1/en</v>
      </c>
    </row>
    <row r="14341" spans="3:5" x14ac:dyDescent="0.25">
      <c r="C14341" t="s">
        <v>26764</v>
      </c>
      <c r="D14341" t="s">
        <v>26765</v>
      </c>
      <c r="E14341" t="str">
        <f>HYPERLINK("https://patents.google.com/patent/CN106325270A/en")</f>
        <v>https://patents.google.com/patent/CN106325270A/en</v>
      </c>
    </row>
    <row r="14342" spans="3:5" x14ac:dyDescent="0.25">
      <c r="C14342" t="s">
        <v>26766</v>
      </c>
      <c r="D14342" t="s">
        <v>26767</v>
      </c>
      <c r="E14342" t="str">
        <f>HYPERLINK("https://patents.google.com/patent/KR20170036657A/en")</f>
        <v>https://patents.google.com/patent/KR20170036657A/en</v>
      </c>
    </row>
    <row r="14343" spans="3:5" x14ac:dyDescent="0.25">
      <c r="C14343" t="s">
        <v>15246</v>
      </c>
      <c r="D14343" t="s">
        <v>26768</v>
      </c>
      <c r="E14343" t="str">
        <f>HYPERLINK("https://patents.google.com/patent/KR20180103528A/en")</f>
        <v>https://patents.google.com/patent/KR20180103528A/en</v>
      </c>
    </row>
    <row r="14344" spans="3:5" x14ac:dyDescent="0.25">
      <c r="C14344" t="s">
        <v>26769</v>
      </c>
      <c r="D14344" t="s">
        <v>26770</v>
      </c>
      <c r="E14344" t="str">
        <f>HYPERLINK("https://patents.google.com/patent/CN107421544A/en")</f>
        <v>https://patents.google.com/patent/CN107421544A/en</v>
      </c>
    </row>
    <row r="14345" spans="3:5" x14ac:dyDescent="0.25">
      <c r="C14345" t="s">
        <v>26771</v>
      </c>
      <c r="D14345" t="s">
        <v>26772</v>
      </c>
      <c r="E14345" t="str">
        <f>HYPERLINK("https://patents.google.com/patent/CN106314494A/en")</f>
        <v>https://patents.google.com/patent/CN106314494A/en</v>
      </c>
    </row>
    <row r="14346" spans="3:5" x14ac:dyDescent="0.25">
      <c r="C14346" t="s">
        <v>26773</v>
      </c>
      <c r="D14346" t="s">
        <v>26774</v>
      </c>
      <c r="E14346" t="str">
        <f>HYPERLINK("https://patents.google.com/patent/US20100228695A1/en")</f>
        <v>https://patents.google.com/patent/US20100228695A1/en</v>
      </c>
    </row>
    <row r="14347" spans="3:5" x14ac:dyDescent="0.25">
      <c r="C14347" t="s">
        <v>26775</v>
      </c>
      <c r="D14347" t="s">
        <v>26776</v>
      </c>
      <c r="E14347" t="str">
        <f>HYPERLINK("https://patents.google.com/patent/WO2018066816A1/en")</f>
        <v>https://patents.google.com/patent/WO2018066816A1/en</v>
      </c>
    </row>
    <row r="14348" spans="3:5" x14ac:dyDescent="0.25">
      <c r="C14348" t="s">
        <v>26777</v>
      </c>
      <c r="D14348" t="s">
        <v>26778</v>
      </c>
      <c r="E14348" t="str">
        <f>HYPERLINK("https://patents.google.com/patent/KR20160084519A/en")</f>
        <v>https://patents.google.com/patent/KR20160084519A/en</v>
      </c>
    </row>
    <row r="14349" spans="3:5" x14ac:dyDescent="0.25">
      <c r="C14349" t="s">
        <v>26779</v>
      </c>
      <c r="D14349" t="s">
        <v>26780</v>
      </c>
      <c r="E14349" t="str">
        <f>HYPERLINK("https://patents.google.com/patent/KR20180039378A/en")</f>
        <v>https://patents.google.com/patent/KR20180039378A/en</v>
      </c>
    </row>
    <row r="14350" spans="3:5" x14ac:dyDescent="0.25">
      <c r="C14350" t="s">
        <v>26309</v>
      </c>
      <c r="D14350" t="s">
        <v>26781</v>
      </c>
      <c r="E14350" t="str">
        <f>HYPERLINK("https://patents.google.com/patent/WO2005084155A2/en")</f>
        <v>https://patents.google.com/patent/WO2005084155A2/en</v>
      </c>
    </row>
    <row r="14351" spans="3:5" x14ac:dyDescent="0.25">
      <c r="C14351" t="s">
        <v>26782</v>
      </c>
      <c r="D14351" t="s">
        <v>26783</v>
      </c>
      <c r="E14351" t="str">
        <f>HYPERLINK("https://patents.google.com/patent/CN106092104A/en")</f>
        <v>https://patents.google.com/patent/CN106092104A/en</v>
      </c>
    </row>
    <row r="14352" spans="3:5" x14ac:dyDescent="0.25">
      <c r="C14352" t="s">
        <v>26784</v>
      </c>
      <c r="D14352" t="s">
        <v>26785</v>
      </c>
      <c r="E14352" t="str">
        <f>HYPERLINK("https://patents.google.com/patent/DE102017124290A1/en")</f>
        <v>https://patents.google.com/patent/DE102017124290A1/en</v>
      </c>
    </row>
    <row r="14353" spans="3:5" x14ac:dyDescent="0.25">
      <c r="C14353" t="s">
        <v>26786</v>
      </c>
      <c r="D14353" t="s">
        <v>26787</v>
      </c>
      <c r="E14353" t="str">
        <f>HYPERLINK("https://patents.google.com/patent/KR20180038671A/en")</f>
        <v>https://patents.google.com/patent/KR20180038671A/en</v>
      </c>
    </row>
    <row r="14354" spans="3:5" x14ac:dyDescent="0.25">
      <c r="C14354" t="s">
        <v>26788</v>
      </c>
      <c r="D14354" t="s">
        <v>26789</v>
      </c>
      <c r="E14354" t="str">
        <f>HYPERLINK("https://patents.google.com/patent/CN108608436A/en")</f>
        <v>https://patents.google.com/patent/CN108608436A/en</v>
      </c>
    </row>
    <row r="14355" spans="3:5" x14ac:dyDescent="0.25">
      <c r="C14355" t="s">
        <v>26790</v>
      </c>
      <c r="D14355" t="s">
        <v>26791</v>
      </c>
      <c r="E14355" t="str">
        <f>HYPERLINK("https://patents.google.com/patent/CN108356818A/en")</f>
        <v>https://patents.google.com/patent/CN108356818A/en</v>
      </c>
    </row>
    <row r="14356" spans="3:5" x14ac:dyDescent="0.25">
      <c r="C14356" t="s">
        <v>26792</v>
      </c>
      <c r="D14356" t="s">
        <v>26793</v>
      </c>
      <c r="E14356" t="str">
        <f>HYPERLINK("https://patents.google.com/patent/WO1998006015A1/en")</f>
        <v>https://patents.google.com/patent/WO1998006015A1/en</v>
      </c>
    </row>
    <row r="14357" spans="3:5" x14ac:dyDescent="0.25">
      <c r="C14357" t="s">
        <v>26794</v>
      </c>
      <c r="D14357" t="s">
        <v>26795</v>
      </c>
      <c r="E14357" t="str">
        <f>HYPERLINK("https://patents.google.com/patent/KR20180072525A/en")</f>
        <v>https://patents.google.com/patent/KR20180072525A/en</v>
      </c>
    </row>
    <row r="14358" spans="3:5" x14ac:dyDescent="0.25">
      <c r="C14358" t="s">
        <v>26796</v>
      </c>
      <c r="D14358" t="s">
        <v>26797</v>
      </c>
      <c r="E14358" t="str">
        <f>HYPERLINK("https://patents.google.com/patent/CN106899057A/en")</f>
        <v>https://patents.google.com/patent/CN106899057A/en</v>
      </c>
    </row>
    <row r="14359" spans="3:5" x14ac:dyDescent="0.25">
      <c r="C14359" t="s">
        <v>26798</v>
      </c>
      <c r="D14359" t="s">
        <v>26799</v>
      </c>
      <c r="E14359" t="str">
        <f>HYPERLINK("https://patents.google.com/patent/CN105329418B/en")</f>
        <v>https://patents.google.com/patent/CN105329418B/en</v>
      </c>
    </row>
    <row r="14360" spans="3:5" x14ac:dyDescent="0.25">
      <c r="C14360" t="s">
        <v>26800</v>
      </c>
      <c r="D14360" t="s">
        <v>26801</v>
      </c>
      <c r="E14360" t="str">
        <f>HYPERLINK("https://patents.google.com/patent/CN108592936A/en")</f>
        <v>https://patents.google.com/patent/CN108592936A/en</v>
      </c>
    </row>
    <row r="14361" spans="3:5" x14ac:dyDescent="0.25">
      <c r="C14361" t="s">
        <v>26802</v>
      </c>
      <c r="D14361" t="s">
        <v>26803</v>
      </c>
      <c r="E14361" t="str">
        <f>HYPERLINK("https://patents.google.com/patent/CN105922263A/en")</f>
        <v>https://patents.google.com/patent/CN105922263A/en</v>
      </c>
    </row>
    <row r="14362" spans="3:5" x14ac:dyDescent="0.25">
      <c r="C14362" t="s">
        <v>26804</v>
      </c>
      <c r="D14362" t="s">
        <v>26805</v>
      </c>
      <c r="E14362" t="str">
        <f>HYPERLINK("https://patents.google.com/patent/KR20180093893A/en")</f>
        <v>https://patents.google.com/patent/KR20180093893A/en</v>
      </c>
    </row>
    <row r="14363" spans="3:5" x14ac:dyDescent="0.25">
      <c r="C14363" t="s">
        <v>26806</v>
      </c>
      <c r="D14363" t="s">
        <v>26807</v>
      </c>
      <c r="E14363" t="str">
        <f>HYPERLINK("https://patents.google.com/patent/CN106078735A/en")</f>
        <v>https://patents.google.com/patent/CN106078735A/en</v>
      </c>
    </row>
    <row r="14364" spans="3:5" x14ac:dyDescent="0.25">
      <c r="C14364" t="s">
        <v>26808</v>
      </c>
      <c r="D14364" t="s">
        <v>26809</v>
      </c>
      <c r="E14364" t="str">
        <f>HYPERLINK("https://patents.google.com/patent/CN107949504A/en")</f>
        <v>https://patents.google.com/patent/CN107949504A/en</v>
      </c>
    </row>
    <row r="14365" spans="3:5" x14ac:dyDescent="0.25">
      <c r="C14365" t="s">
        <v>26810</v>
      </c>
      <c r="D14365" t="s">
        <v>26811</v>
      </c>
      <c r="E14365" t="str">
        <f>HYPERLINK("https://patents.google.com/patent/ES2335632B1/en")</f>
        <v>https://patents.google.com/patent/ES2335632B1/en</v>
      </c>
    </row>
    <row r="14366" spans="3:5" x14ac:dyDescent="0.25">
      <c r="C14366" t="s">
        <v>26812</v>
      </c>
      <c r="D14366" t="s">
        <v>26813</v>
      </c>
      <c r="E14366" t="str">
        <f>HYPERLINK("https://patents.google.com/patent/CN106094617A/en")</f>
        <v>https://patents.google.com/patent/CN106094617A/en</v>
      </c>
    </row>
    <row r="14367" spans="3:5" x14ac:dyDescent="0.25">
      <c r="C14367" t="s">
        <v>26814</v>
      </c>
      <c r="D14367" t="s">
        <v>26815</v>
      </c>
      <c r="E14367" t="str">
        <f>HYPERLINK("https://patents.google.com/patent/CN106078734A/en")</f>
        <v>https://patents.google.com/patent/CN106078734A/en</v>
      </c>
    </row>
    <row r="14368" spans="3:5" x14ac:dyDescent="0.25">
      <c r="C14368" t="s">
        <v>26816</v>
      </c>
      <c r="D14368" t="s">
        <v>26817</v>
      </c>
      <c r="E14368" t="str">
        <f>HYPERLINK("https://patents.google.com/patent/CN105856235A/en")</f>
        <v>https://patents.google.com/patent/CN105856235A/en</v>
      </c>
    </row>
    <row r="14369" spans="3:5" x14ac:dyDescent="0.25">
      <c r="C14369" t="s">
        <v>26818</v>
      </c>
      <c r="D14369" t="s">
        <v>26819</v>
      </c>
      <c r="E14369" t="str">
        <f>HYPERLINK("https://patents.google.com/patent/WO2018079970A1/en")</f>
        <v>https://patents.google.com/patent/WO2018079970A1/en</v>
      </c>
    </row>
    <row r="14370" spans="3:5" x14ac:dyDescent="0.25">
      <c r="C14370" t="s">
        <v>26820</v>
      </c>
      <c r="D14370" t="s">
        <v>26821</v>
      </c>
      <c r="E14370" t="str">
        <f>HYPERLINK("https://patents.google.com/patent/WO2018102280A1/en")</f>
        <v>https://patents.google.com/patent/WO2018102280A1/en</v>
      </c>
    </row>
    <row r="14371" spans="3:5" x14ac:dyDescent="0.25">
      <c r="C14371" t="s">
        <v>26822</v>
      </c>
      <c r="D14371" t="s">
        <v>26823</v>
      </c>
      <c r="E14371" t="str">
        <f>HYPERLINK("https://patents.google.com/patent/CN105856237A/en")</f>
        <v>https://patents.google.com/patent/CN105856237A/en</v>
      </c>
    </row>
    <row r="14372" spans="3:5" x14ac:dyDescent="0.25">
      <c r="C14372" t="s">
        <v>26824</v>
      </c>
      <c r="D14372" t="s">
        <v>26825</v>
      </c>
      <c r="E14372" t="str">
        <f>HYPERLINK("https://patents.google.com/patent/KR20180040092A/en")</f>
        <v>https://patents.google.com/patent/KR20180040092A/en</v>
      </c>
    </row>
    <row r="14373" spans="3:5" x14ac:dyDescent="0.25">
      <c r="C14373" t="s">
        <v>26826</v>
      </c>
      <c r="D14373" t="s">
        <v>26827</v>
      </c>
      <c r="E14373" t="str">
        <f>HYPERLINK("https://patents.google.com/patent/KR20180074568A/en")</f>
        <v>https://patents.google.com/patent/KR20180074568A/en</v>
      </c>
    </row>
    <row r="14374" spans="3:5" x14ac:dyDescent="0.25">
      <c r="C14374" t="s">
        <v>26828</v>
      </c>
      <c r="D14374" t="s">
        <v>26829</v>
      </c>
      <c r="E14374" t="str">
        <f>HYPERLINK("https://patents.google.com/patent/KR20180051593A/en")</f>
        <v>https://patents.google.com/patent/KR20180051593A/en</v>
      </c>
    </row>
    <row r="14375" spans="3:5" x14ac:dyDescent="0.25">
      <c r="C14375" t="s">
        <v>26830</v>
      </c>
      <c r="D14375" t="s">
        <v>26831</v>
      </c>
      <c r="E14375" t="str">
        <f>HYPERLINK("https://patents.google.com/patent/WO2018117538A1/en")</f>
        <v>https://patents.google.com/patent/WO2018117538A1/en</v>
      </c>
    </row>
    <row r="14376" spans="3:5" x14ac:dyDescent="0.25">
      <c r="C14376" t="s">
        <v>26832</v>
      </c>
      <c r="D14376" t="s">
        <v>26833</v>
      </c>
      <c r="E14376" t="str">
        <f>HYPERLINK("https://patents.google.com/patent/KR20180091042A/en")</f>
        <v>https://patents.google.com/patent/KR20180091042A/en</v>
      </c>
    </row>
    <row r="14377" spans="3:5" x14ac:dyDescent="0.25">
      <c r="C14377" t="s">
        <v>26834</v>
      </c>
      <c r="D14377" t="s">
        <v>26835</v>
      </c>
      <c r="E14377" t="str">
        <f>HYPERLINK("https://patents.google.com/patent/CN104363955B/en")</f>
        <v>https://patents.google.com/patent/CN104363955B/en</v>
      </c>
    </row>
    <row r="14378" spans="3:5" x14ac:dyDescent="0.25">
      <c r="C14378" t="s">
        <v>26836</v>
      </c>
      <c r="D14378" t="s">
        <v>26837</v>
      </c>
      <c r="E14378" t="str">
        <f>HYPERLINK("https://patents.google.com/patent/WO2018121283A1/en")</f>
        <v>https://patents.google.com/patent/WO2018121283A1/en</v>
      </c>
    </row>
    <row r="14379" spans="3:5" x14ac:dyDescent="0.25">
      <c r="C14379" t="s">
        <v>26838</v>
      </c>
      <c r="D14379" t="s">
        <v>26839</v>
      </c>
      <c r="E14379" t="str">
        <f>HYPERLINK("https://patents.google.com/patent/DE102017109882A1/en")</f>
        <v>https://patents.google.com/patent/DE102017109882A1/en</v>
      </c>
    </row>
    <row r="14380" spans="3:5" x14ac:dyDescent="0.25">
      <c r="C14380" t="s">
        <v>26840</v>
      </c>
      <c r="D14380" t="s">
        <v>26841</v>
      </c>
      <c r="E14380" t="str">
        <f>HYPERLINK("https://patents.google.com/patent/WO2014174487A2/en")</f>
        <v>https://patents.google.com/patent/WO2014174487A2/en</v>
      </c>
    </row>
    <row r="14381" spans="3:5" x14ac:dyDescent="0.25">
      <c r="C14381" t="s">
        <v>26842</v>
      </c>
      <c r="D14381" t="s">
        <v>26843</v>
      </c>
      <c r="E14381" t="str">
        <f>HYPERLINK("https://patents.google.com/patent/US20170348854A1/en")</f>
        <v>https://patents.google.com/patent/US20170348854A1/en</v>
      </c>
    </row>
    <row r="14382" spans="3:5" x14ac:dyDescent="0.25">
      <c r="C14382" t="s">
        <v>26844</v>
      </c>
      <c r="D14382" t="s">
        <v>26845</v>
      </c>
      <c r="E14382" t="str">
        <f>HYPERLINK("https://patents.google.com/patent/KR20150127129A/en")</f>
        <v>https://patents.google.com/patent/KR20150127129A/en</v>
      </c>
    </row>
    <row r="14383" spans="3:5" x14ac:dyDescent="0.25">
      <c r="C14383" t="s">
        <v>26779</v>
      </c>
      <c r="D14383" t="s">
        <v>26846</v>
      </c>
      <c r="E14383" t="str">
        <f>HYPERLINK("https://patents.google.com/patent/KR20180038885A/en")</f>
        <v>https://patents.google.com/patent/KR20180038885A/en</v>
      </c>
    </row>
    <row r="14384" spans="3:5" x14ac:dyDescent="0.25">
      <c r="C14384" t="s">
        <v>26847</v>
      </c>
      <c r="D14384" t="s">
        <v>26848</v>
      </c>
      <c r="E14384" t="str">
        <f>HYPERLINK("https://patents.google.com/patent/ES2547264B1/en")</f>
        <v>https://patents.google.com/patent/ES2547264B1/en</v>
      </c>
    </row>
    <row r="14385" spans="3:5" x14ac:dyDescent="0.25">
      <c r="C14385" t="s">
        <v>26849</v>
      </c>
      <c r="D14385" t="s">
        <v>26850</v>
      </c>
      <c r="E14385" t="str">
        <f>HYPERLINK("https://patents.google.com/patent/CN108618940A/en")</f>
        <v>https://patents.google.com/patent/CN108618940A/en</v>
      </c>
    </row>
    <row r="14386" spans="3:5" x14ac:dyDescent="0.25">
      <c r="C14386" t="s">
        <v>26851</v>
      </c>
      <c r="D14386" t="s">
        <v>26852</v>
      </c>
      <c r="E14386" t="str">
        <f>HYPERLINK("https://patents.google.com/patent/CN105981258A/en")</f>
        <v>https://patents.google.com/patent/CN105981258A/en</v>
      </c>
    </row>
    <row r="14387" spans="3:5" x14ac:dyDescent="0.25">
      <c r="C14387" t="s">
        <v>26853</v>
      </c>
      <c r="D14387" t="s">
        <v>26854</v>
      </c>
      <c r="E14387" t="str">
        <f>HYPERLINK("https://patents.google.com/patent/CN206697954U/en")</f>
        <v>https://patents.google.com/patent/CN206697954U/en</v>
      </c>
    </row>
    <row r="14388" spans="3:5" x14ac:dyDescent="0.25">
      <c r="C14388" t="s">
        <v>26855</v>
      </c>
      <c r="D14388" t="s">
        <v>26856</v>
      </c>
      <c r="E14388" t="str">
        <f>HYPERLINK("https://patents.google.com/patent/CN206960959U/en")</f>
        <v>https://patents.google.com/patent/CN206960959U/en</v>
      </c>
    </row>
    <row r="14389" spans="3:5" x14ac:dyDescent="0.25">
      <c r="C14389" t="s">
        <v>26857</v>
      </c>
      <c r="D14389" t="s">
        <v>26858</v>
      </c>
      <c r="E14389" t="str">
        <f>HYPERLINK("https://patents.google.com/patent/CA2412815A1/en")</f>
        <v>https://patents.google.com/patent/CA2412815A1/en</v>
      </c>
    </row>
    <row r="14390" spans="3:5" x14ac:dyDescent="0.25">
      <c r="C14390" t="s">
        <v>18391</v>
      </c>
      <c r="D14390" t="s">
        <v>26859</v>
      </c>
      <c r="E14390" t="str">
        <f>HYPERLINK("https://patents.google.com/patent/CN105593842A/en")</f>
        <v>https://patents.google.com/patent/CN105593842A/en</v>
      </c>
    </row>
    <row r="14391" spans="3:5" x14ac:dyDescent="0.25">
      <c r="C14391" t="s">
        <v>26779</v>
      </c>
      <c r="D14391" t="s">
        <v>26860</v>
      </c>
      <c r="E14391" t="str">
        <f>HYPERLINK("https://patents.google.com/patent/KR20180039379A/en")</f>
        <v>https://patents.google.com/patent/KR20180039379A/en</v>
      </c>
    </row>
    <row r="14392" spans="3:5" x14ac:dyDescent="0.25">
      <c r="C14392" t="s">
        <v>26861</v>
      </c>
      <c r="D14392" t="s">
        <v>26862</v>
      </c>
      <c r="E14392" t="str">
        <f>HYPERLINK("https://patents.google.com/patent/KR20170006233A/en")</f>
        <v>https://patents.google.com/patent/KR20170006233A/en</v>
      </c>
    </row>
    <row r="14393" spans="3:5" x14ac:dyDescent="0.25">
      <c r="C14393" t="s">
        <v>26863</v>
      </c>
      <c r="D14393" t="s">
        <v>26864</v>
      </c>
      <c r="E14393" t="str">
        <f>HYPERLINK("https://patents.google.com/patent/KR20170047850A/en")</f>
        <v>https://patents.google.com/patent/KR20170047850A/en</v>
      </c>
    </row>
    <row r="14394" spans="3:5" x14ac:dyDescent="0.25">
      <c r="C14394" t="s">
        <v>26865</v>
      </c>
      <c r="D14394" t="s">
        <v>26866</v>
      </c>
      <c r="E14394" t="str">
        <f>HYPERLINK("https://patents.google.com/patent/CN207139809U/en")</f>
        <v>https://patents.google.com/patent/CN207139809U/en</v>
      </c>
    </row>
    <row r="14395" spans="3:5" x14ac:dyDescent="0.25">
      <c r="C14395" t="s">
        <v>26867</v>
      </c>
      <c r="D14395" t="s">
        <v>26868</v>
      </c>
      <c r="E14395" t="str">
        <f>HYPERLINK("https://patents.google.com/patent/WO2017134611A1/en")</f>
        <v>https://patents.google.com/patent/WO2017134611A1/en</v>
      </c>
    </row>
    <row r="14396" spans="3:5" x14ac:dyDescent="0.25">
      <c r="C14396" t="s">
        <v>26869</v>
      </c>
      <c r="D14396" t="s">
        <v>26870</v>
      </c>
      <c r="E14396" t="str">
        <f>HYPERLINK("https://patents.google.com/patent/ES2323061T3/en")</f>
        <v>https://patents.google.com/patent/ES2323061T3/en</v>
      </c>
    </row>
    <row r="14397" spans="3:5" x14ac:dyDescent="0.25">
      <c r="C14397" t="s">
        <v>15246</v>
      </c>
      <c r="D14397" t="s">
        <v>26871</v>
      </c>
      <c r="E14397" t="str">
        <f>HYPERLINK("https://patents.google.com/patent/KR20180080657A/en")</f>
        <v>https://patents.google.com/patent/KR20180080657A/en</v>
      </c>
    </row>
    <row r="14398" spans="3:5" x14ac:dyDescent="0.25">
      <c r="C14398" t="s">
        <v>26872</v>
      </c>
      <c r="D14398" t="s">
        <v>26873</v>
      </c>
      <c r="E14398" t="str">
        <f>HYPERLINK("https://patents.google.com/patent/CN105911916A/en")</f>
        <v>https://patents.google.com/patent/CN105911916A/en</v>
      </c>
    </row>
    <row r="14399" spans="3:5" x14ac:dyDescent="0.25">
      <c r="C14399" t="s">
        <v>26874</v>
      </c>
      <c r="D14399" t="s">
        <v>26875</v>
      </c>
      <c r="E14399" t="str">
        <f>HYPERLINK("https://patents.google.com/patent/ES2447641A2/en")</f>
        <v>https://patents.google.com/patent/ES2447641A2/en</v>
      </c>
    </row>
    <row r="14400" spans="3:5" x14ac:dyDescent="0.25">
      <c r="C14400" t="s">
        <v>26876</v>
      </c>
      <c r="D14400" t="s">
        <v>26877</v>
      </c>
      <c r="E14400" t="str">
        <f>HYPERLINK("https://patents.google.com/patent/US20170045545A1/en")</f>
        <v>https://patents.google.com/patent/US20170045545A1/en</v>
      </c>
    </row>
    <row r="14401" spans="3:5" x14ac:dyDescent="0.25">
      <c r="C14401" t="s">
        <v>26878</v>
      </c>
      <c r="D14401" t="s">
        <v>26879</v>
      </c>
      <c r="E14401" t="str">
        <f>HYPERLINK("https://patents.google.com/patent/JP2002309794A/en")</f>
        <v>https://patents.google.com/patent/JP2002309794A/en</v>
      </c>
    </row>
    <row r="14402" spans="3:5" x14ac:dyDescent="0.25">
      <c r="C14402" t="s">
        <v>26880</v>
      </c>
      <c r="D14402" t="s">
        <v>26881</v>
      </c>
      <c r="E14402" t="str">
        <f>HYPERLINK("https://patents.google.com/patent/KR20170136515A/en")</f>
        <v>https://patents.google.com/patent/KR20170136515A/en</v>
      </c>
    </row>
    <row r="14403" spans="3:5" x14ac:dyDescent="0.25">
      <c r="C14403" t="s">
        <v>5967</v>
      </c>
      <c r="D14403" t="s">
        <v>26882</v>
      </c>
      <c r="E14403" t="str">
        <f>HYPERLINK("https://patents.google.com/patent/JP2018020139A/en")</f>
        <v>https://patents.google.com/patent/JP2018020139A/en</v>
      </c>
    </row>
    <row r="14404" spans="3:5" x14ac:dyDescent="0.25">
      <c r="C14404" t="s">
        <v>26883</v>
      </c>
      <c r="D14404" t="s">
        <v>26884</v>
      </c>
      <c r="E14404" t="str">
        <f>HYPERLINK("https://patents.google.com/patent/WO2017172641A1/en")</f>
        <v>https://patents.google.com/patent/WO2017172641A1/en</v>
      </c>
    </row>
    <row r="14405" spans="3:5" x14ac:dyDescent="0.25">
      <c r="C14405" t="s">
        <v>26885</v>
      </c>
      <c r="D14405" t="s">
        <v>26886</v>
      </c>
      <c r="E14405" t="str">
        <f>HYPERLINK("https://patents.google.com/patent/WO2018106974A1/en")</f>
        <v>https://patents.google.com/patent/WO2018106974A1/en</v>
      </c>
    </row>
    <row r="14406" spans="3:5" x14ac:dyDescent="0.25">
      <c r="C14406" t="s">
        <v>26887</v>
      </c>
      <c r="D14406" t="s">
        <v>26888</v>
      </c>
      <c r="E14406" t="str">
        <f>HYPERLINK("https://patents.google.com/patent/KR20180080403A/en")</f>
        <v>https://patents.google.com/patent/KR20180080403A/en</v>
      </c>
    </row>
    <row r="14407" spans="3:5" x14ac:dyDescent="0.25">
      <c r="C14407" t="s">
        <v>26889</v>
      </c>
      <c r="D14407" t="s">
        <v>26890</v>
      </c>
      <c r="E14407" t="str">
        <f>HYPERLINK("https://patents.google.com/patent/KR20180069660A/en")</f>
        <v>https://patents.google.com/patent/KR20180069660A/en</v>
      </c>
    </row>
    <row r="14408" spans="3:5" x14ac:dyDescent="0.25">
      <c r="C14408" t="s">
        <v>18891</v>
      </c>
      <c r="D14408" t="s">
        <v>26891</v>
      </c>
      <c r="E14408" t="str">
        <f>HYPERLINK("https://patents.google.com/patent/WO2016011159A9/en")</f>
        <v>https://patents.google.com/patent/WO2016011159A9/en</v>
      </c>
    </row>
    <row r="14409" spans="3:5" x14ac:dyDescent="0.25">
      <c r="C14409" t="s">
        <v>26892</v>
      </c>
      <c r="D14409" t="s">
        <v>26893</v>
      </c>
      <c r="E14409" t="str">
        <f>HYPERLINK("https://patents.google.com/patent/KR20180075563A/en")</f>
        <v>https://patents.google.com/patent/KR20180075563A/en</v>
      </c>
    </row>
    <row r="14410" spans="3:5" x14ac:dyDescent="0.25">
      <c r="C14410" t="s">
        <v>26894</v>
      </c>
      <c r="D14410" t="s">
        <v>26895</v>
      </c>
      <c r="E14410" t="str">
        <f>HYPERLINK("https://patents.google.com/patent/CN103295065A/en")</f>
        <v>https://patents.google.com/patent/CN103295065A/en</v>
      </c>
    </row>
    <row r="14411" spans="3:5" x14ac:dyDescent="0.25">
      <c r="C14411" t="s">
        <v>26896</v>
      </c>
      <c r="D14411" t="s">
        <v>26897</v>
      </c>
      <c r="E14411" t="str">
        <f>HYPERLINK("https://patents.google.com/patent/KR20150039801A/en")</f>
        <v>https://patents.google.com/patent/KR20150039801A/en</v>
      </c>
    </row>
    <row r="14412" spans="3:5" x14ac:dyDescent="0.25">
      <c r="C14412" t="s">
        <v>26898</v>
      </c>
      <c r="D14412" t="s">
        <v>26899</v>
      </c>
      <c r="E14412" t="str">
        <f>HYPERLINK("https://patents.google.com/patent/CN107493400A/en")</f>
        <v>https://patents.google.com/patent/CN107493400A/en</v>
      </c>
    </row>
    <row r="14413" spans="3:5" x14ac:dyDescent="0.25">
      <c r="C14413" t="s">
        <v>23709</v>
      </c>
      <c r="D14413" t="s">
        <v>26900</v>
      </c>
      <c r="E14413" t="str">
        <f>HYPERLINK("https://patents.google.com/patent/WO2017200353A1/en")</f>
        <v>https://patents.google.com/patent/WO2017200353A1/en</v>
      </c>
    </row>
    <row r="14414" spans="3:5" x14ac:dyDescent="0.25">
      <c r="C14414" t="s">
        <v>26901</v>
      </c>
      <c r="D14414" t="s">
        <v>26902</v>
      </c>
      <c r="E14414" t="str">
        <f>HYPERLINK("https://patents.google.com/patent/KR20170107341A/en")</f>
        <v>https://patents.google.com/patent/KR20170107341A/en</v>
      </c>
    </row>
    <row r="14415" spans="3:5" x14ac:dyDescent="0.25">
      <c r="C14415" t="s">
        <v>26903</v>
      </c>
      <c r="D14415" t="s">
        <v>26904</v>
      </c>
      <c r="E14415" t="str">
        <f>HYPERLINK("https://patents.google.com/patent/CN207291544U/en")</f>
        <v>https://patents.google.com/patent/CN207291544U/en</v>
      </c>
    </row>
    <row r="14416" spans="3:5" x14ac:dyDescent="0.25">
      <c r="C14416" t="s">
        <v>26905</v>
      </c>
      <c r="D14416" t="s">
        <v>26906</v>
      </c>
      <c r="E14416" t="str">
        <f>HYPERLINK("https://patents.google.com/patent/ES2364391B1/en")</f>
        <v>https://patents.google.com/patent/ES2364391B1/en</v>
      </c>
    </row>
    <row r="14417" spans="3:5" x14ac:dyDescent="0.25">
      <c r="C14417" t="s">
        <v>26907</v>
      </c>
      <c r="D14417" t="s">
        <v>26908</v>
      </c>
      <c r="E14417" t="str">
        <f>HYPERLINK("https://patents.google.com/patent/WO2018124546A2/en")</f>
        <v>https://patents.google.com/patent/WO2018124546A2/en</v>
      </c>
    </row>
    <row r="14418" spans="3:5" x14ac:dyDescent="0.25">
      <c r="C14418" t="s">
        <v>26909</v>
      </c>
      <c r="D14418" t="s">
        <v>26910</v>
      </c>
      <c r="E14418" t="str">
        <f>HYPERLINK("https://patents.google.com/patent/CN106292697A/en")</f>
        <v>https://patents.google.com/patent/CN106292697A/en</v>
      </c>
    </row>
    <row r="14419" spans="3:5" x14ac:dyDescent="0.25">
      <c r="C14419" t="s">
        <v>26911</v>
      </c>
      <c r="D14419" t="s">
        <v>26912</v>
      </c>
      <c r="E14419" t="str">
        <f>HYPERLINK("https://patents.google.com/patent/CN106695839A/en")</f>
        <v>https://patents.google.com/patent/CN106695839A/en</v>
      </c>
    </row>
    <row r="14420" spans="3:5" x14ac:dyDescent="0.25">
      <c r="C14420" t="s">
        <v>26913</v>
      </c>
      <c r="D14420" t="s">
        <v>26914</v>
      </c>
      <c r="E14420" t="str">
        <f>HYPERLINK("https://patents.google.com/patent/ES2197105T3/en")</f>
        <v>https://patents.google.com/patent/ES2197105T3/en</v>
      </c>
    </row>
    <row r="14421" spans="3:5" x14ac:dyDescent="0.25">
      <c r="C14421" t="s">
        <v>26915</v>
      </c>
      <c r="D14421" t="s">
        <v>26916</v>
      </c>
      <c r="E14421" t="str">
        <f>HYPERLINK("https://patents.google.com/patent/WO2018070664A1/en")</f>
        <v>https://patents.google.com/patent/WO2018070664A1/en</v>
      </c>
    </row>
    <row r="14422" spans="3:5" x14ac:dyDescent="0.25">
      <c r="C14422" t="s">
        <v>26917</v>
      </c>
      <c r="D14422" t="s">
        <v>26918</v>
      </c>
      <c r="E14422" t="str">
        <f>HYPERLINK("https://patents.google.com/patent/KR20180080405A/en")</f>
        <v>https://patents.google.com/patent/KR20180080405A/en</v>
      </c>
    </row>
    <row r="14423" spans="3:5" x14ac:dyDescent="0.25">
      <c r="C14423" t="s">
        <v>26919</v>
      </c>
      <c r="D14423" t="s">
        <v>26920</v>
      </c>
      <c r="E14423" t="str">
        <f>HYPERLINK("https://patents.google.com/patent/KR20170061373A/en")</f>
        <v>https://patents.google.com/patent/KR20170061373A/en</v>
      </c>
    </row>
    <row r="14424" spans="3:5" x14ac:dyDescent="0.25">
      <c r="C14424" t="s">
        <v>26921</v>
      </c>
      <c r="D14424" t="s">
        <v>26922</v>
      </c>
      <c r="E14424" t="str">
        <f>HYPERLINK("https://patents.google.com/patent/WO2017099037A1/en")</f>
        <v>https://patents.google.com/patent/WO2017099037A1/en</v>
      </c>
    </row>
    <row r="14425" spans="3:5" x14ac:dyDescent="0.25">
      <c r="C14425" t="s">
        <v>19199</v>
      </c>
      <c r="D14425" t="s">
        <v>26923</v>
      </c>
      <c r="E14425" t="str">
        <f>HYPERLINK("https://patents.google.com/patent/WO2018183812A1/en")</f>
        <v>https://patents.google.com/patent/WO2018183812A1/en</v>
      </c>
    </row>
    <row r="14426" spans="3:5" x14ac:dyDescent="0.25">
      <c r="C14426" t="s">
        <v>26924</v>
      </c>
      <c r="D14426" t="s">
        <v>26925</v>
      </c>
      <c r="E14426" t="str">
        <f>HYPERLINK("https://patents.google.com/patent/WO2018020604A1/en")</f>
        <v>https://patents.google.com/patent/WO2018020604A1/en</v>
      </c>
    </row>
    <row r="14427" spans="3:5" x14ac:dyDescent="0.25">
      <c r="C14427" t="s">
        <v>26926</v>
      </c>
      <c r="D14427" t="s">
        <v>26927</v>
      </c>
      <c r="E14427" t="str">
        <f>HYPERLINK("https://patents.google.com/patent/CN105856234A/en")</f>
        <v>https://patents.google.com/patent/CN105856234A/en</v>
      </c>
    </row>
    <row r="14428" spans="3:5" x14ac:dyDescent="0.25">
      <c r="C14428" t="s">
        <v>26928</v>
      </c>
      <c r="D14428" t="s">
        <v>26929</v>
      </c>
      <c r="E14428" t="str">
        <f>HYPERLINK("https://patents.google.com/patent/CN108463271A/en")</f>
        <v>https://patents.google.com/patent/CN108463271A/en</v>
      </c>
    </row>
    <row r="14429" spans="3:5" x14ac:dyDescent="0.25">
      <c r="C14429" t="s">
        <v>26930</v>
      </c>
      <c r="D14429" t="s">
        <v>26931</v>
      </c>
      <c r="E14429" t="str">
        <f>HYPERLINK("https://patents.google.com/patent/CN106441286A/en")</f>
        <v>https://patents.google.com/patent/CN106441286A/en</v>
      </c>
    </row>
    <row r="14430" spans="3:5" x14ac:dyDescent="0.25">
      <c r="C14430" t="s">
        <v>26932</v>
      </c>
      <c r="D14430" t="s">
        <v>26933</v>
      </c>
      <c r="E14430" t="str">
        <f>HYPERLINK("https://patents.google.com/patent/JP2007518469A/en")</f>
        <v>https://patents.google.com/patent/JP2007518469A/en</v>
      </c>
    </row>
    <row r="14431" spans="3:5" x14ac:dyDescent="0.25">
      <c r="C14431" t="s">
        <v>26934</v>
      </c>
      <c r="D14431" t="s">
        <v>26935</v>
      </c>
      <c r="E14431" t="str">
        <f>HYPERLINK("https://patents.google.com/patent/ES2231035B1/en")</f>
        <v>https://patents.google.com/patent/ES2231035B1/en</v>
      </c>
    </row>
    <row r="14432" spans="3:5" x14ac:dyDescent="0.25">
      <c r="C14432" t="s">
        <v>26936</v>
      </c>
      <c r="D14432" t="s">
        <v>26937</v>
      </c>
      <c r="E14432" t="str">
        <f>HYPERLINK("https://patents.google.com/patent/ES2348855T3/en")</f>
        <v>https://patents.google.com/patent/ES2348855T3/en</v>
      </c>
    </row>
    <row r="14433" spans="3:5" x14ac:dyDescent="0.25">
      <c r="C14433" t="s">
        <v>26938</v>
      </c>
      <c r="D14433" t="s">
        <v>26939</v>
      </c>
      <c r="E14433" t="str">
        <f>HYPERLINK("https://patents.google.com/patent/CN105881537A/en")</f>
        <v>https://patents.google.com/patent/CN105881537A/en</v>
      </c>
    </row>
    <row r="14434" spans="3:5" x14ac:dyDescent="0.25">
      <c r="C14434" t="s">
        <v>26940</v>
      </c>
      <c r="D14434" t="s">
        <v>26941</v>
      </c>
      <c r="E14434" t="str">
        <f>HYPERLINK("https://patents.google.com/patent/CN105922259A/en")</f>
        <v>https://patents.google.com/patent/CN105922259A/en</v>
      </c>
    </row>
    <row r="14435" spans="3:5" x14ac:dyDescent="0.25">
      <c r="C14435" t="s">
        <v>26942</v>
      </c>
      <c r="D14435" t="s">
        <v>26943</v>
      </c>
      <c r="E14435" t="str">
        <f>HYPERLINK("https://patents.google.com/patent/WO2018140701A1/en")</f>
        <v>https://patents.google.com/patent/WO2018140701A1/en</v>
      </c>
    </row>
    <row r="14436" spans="3:5" x14ac:dyDescent="0.25">
      <c r="C14436" t="s">
        <v>26944</v>
      </c>
      <c r="D14436" t="s">
        <v>26945</v>
      </c>
      <c r="E14436" t="str">
        <f>HYPERLINK("https://patents.google.com/patent/FR2720838A1/en")</f>
        <v>https://patents.google.com/patent/FR2720838A1/en</v>
      </c>
    </row>
    <row r="14437" spans="3:5" x14ac:dyDescent="0.25">
      <c r="C14437" t="s">
        <v>26946</v>
      </c>
      <c r="D14437" t="s">
        <v>26947</v>
      </c>
      <c r="E14437" t="str">
        <f>HYPERLINK("https://patents.google.com/patent/CN105953026A/en")</f>
        <v>https://patents.google.com/patent/CN105953026A/en</v>
      </c>
    </row>
    <row r="14438" spans="3:5" x14ac:dyDescent="0.25">
      <c r="C14438" t="s">
        <v>19199</v>
      </c>
      <c r="D14438" t="s">
        <v>26948</v>
      </c>
      <c r="E14438" t="str">
        <f>HYPERLINK("https://patents.google.com/patent/WO2017173141A1/en")</f>
        <v>https://patents.google.com/patent/WO2017173141A1/en</v>
      </c>
    </row>
    <row r="14439" spans="3:5" x14ac:dyDescent="0.25">
      <c r="C14439" t="s">
        <v>26949</v>
      </c>
      <c r="D14439" t="s">
        <v>26950</v>
      </c>
      <c r="E14439" t="str">
        <f>HYPERLINK("https://patents.google.com/patent/CN105922260A/en")</f>
        <v>https://patents.google.com/patent/CN105922260A/en</v>
      </c>
    </row>
    <row r="14440" spans="3:5" x14ac:dyDescent="0.25">
      <c r="C14440" t="s">
        <v>26951</v>
      </c>
      <c r="D14440" t="s">
        <v>26952</v>
      </c>
      <c r="E14440" t="str">
        <f>HYPERLINK("https://patents.google.com/patent/US20180104609A1/en")</f>
        <v>https://patents.google.com/patent/US20180104609A1/en</v>
      </c>
    </row>
    <row r="14441" spans="3:5" x14ac:dyDescent="0.25">
      <c r="C14441" t="s">
        <v>26953</v>
      </c>
      <c r="D14441" t="s">
        <v>26954</v>
      </c>
      <c r="E14441" t="str">
        <f>HYPERLINK("https://patents.google.com/patent/KR20180083342A/en")</f>
        <v>https://patents.google.com/patent/KR20180083342A/en</v>
      </c>
    </row>
    <row r="14442" spans="3:5" x14ac:dyDescent="0.25">
      <c r="C14442" t="s">
        <v>26863</v>
      </c>
      <c r="D14442" t="s">
        <v>26955</v>
      </c>
      <c r="E14442" t="str">
        <f>HYPERLINK("https://patents.google.com/patent/KR20170043001A/en")</f>
        <v>https://patents.google.com/patent/KR20170043001A/en</v>
      </c>
    </row>
    <row r="14443" spans="3:5" x14ac:dyDescent="0.25">
      <c r="C14443" t="s">
        <v>26956</v>
      </c>
      <c r="D14443" t="s">
        <v>26957</v>
      </c>
      <c r="E14443" t="str">
        <f>HYPERLINK("https://patents.google.com/patent/CN105881538A/en")</f>
        <v>https://patents.google.com/patent/CN105881538A/en</v>
      </c>
    </row>
    <row r="14444" spans="3:5" x14ac:dyDescent="0.25">
      <c r="C14444" t="s">
        <v>26958</v>
      </c>
      <c r="D14444" t="s">
        <v>26959</v>
      </c>
      <c r="E14444" t="str">
        <f>HYPERLINK("https://patents.google.com/patent/ES2208329T3/en")</f>
        <v>https://patents.google.com/patent/ES2208329T3/en</v>
      </c>
    </row>
    <row r="14445" spans="3:5" x14ac:dyDescent="0.25">
      <c r="C14445" t="s">
        <v>26960</v>
      </c>
      <c r="D14445" t="s">
        <v>26961</v>
      </c>
      <c r="E14445" t="str">
        <f>HYPERLINK("https://patents.google.com/patent/DE60118317T2/en")</f>
        <v>https://patents.google.com/patent/DE60118317T2/en</v>
      </c>
    </row>
    <row r="14446" spans="3:5" x14ac:dyDescent="0.25">
      <c r="C14446" t="s">
        <v>26962</v>
      </c>
      <c r="D14446" t="s">
        <v>26963</v>
      </c>
      <c r="E14446" t="str">
        <f>HYPERLINK("https://patents.google.com/patent/CN108221853A/en")</f>
        <v>https://patents.google.com/patent/CN108221853A/en</v>
      </c>
    </row>
    <row r="14447" spans="3:5" x14ac:dyDescent="0.25">
      <c r="C14447" t="s">
        <v>26964</v>
      </c>
      <c r="D14447" t="s">
        <v>26965</v>
      </c>
      <c r="E14447" t="str">
        <f>HYPERLINK("https://patents.google.com/patent/CN105856239A/en")</f>
        <v>https://patents.google.com/patent/CN105856239A/en</v>
      </c>
    </row>
    <row r="14448" spans="3:5" x14ac:dyDescent="0.25">
      <c r="C14448" t="s">
        <v>26966</v>
      </c>
      <c r="D14448" t="s">
        <v>26967</v>
      </c>
      <c r="E14448" t="str">
        <f>HYPERLINK("https://patents.google.com/patent/CN107817509A/en")</f>
        <v>https://patents.google.com/patent/CN107817509A/en</v>
      </c>
    </row>
    <row r="14449" spans="3:5" x14ac:dyDescent="0.25">
      <c r="C14449" t="s">
        <v>26968</v>
      </c>
      <c r="D14449" t="s">
        <v>26969</v>
      </c>
      <c r="E14449" t="str">
        <f>HYPERLINK("https://patents.google.com/patent/CN105881539A/en")</f>
        <v>https://patents.google.com/patent/CN105881539A/en</v>
      </c>
    </row>
    <row r="14450" spans="3:5" x14ac:dyDescent="0.25">
      <c r="C14450" t="s">
        <v>19285</v>
      </c>
      <c r="D14450" t="s">
        <v>26970</v>
      </c>
      <c r="E14450" t="str">
        <f>HYPERLINK("https://patents.google.com/patent/CN100483388C/en")</f>
        <v>https://patents.google.com/patent/CN100483388C/en</v>
      </c>
    </row>
    <row r="14451" spans="3:5" x14ac:dyDescent="0.25">
      <c r="C14451" t="s">
        <v>26971</v>
      </c>
      <c r="D14451" t="s">
        <v>26972</v>
      </c>
      <c r="E14451" t="str">
        <f>HYPERLINK("https://patents.google.com/patent/CN106051378A/en")</f>
        <v>https://patents.google.com/patent/CN106051378A/en</v>
      </c>
    </row>
    <row r="14452" spans="3:5" x14ac:dyDescent="0.25">
      <c r="C14452" t="s">
        <v>26973</v>
      </c>
      <c r="D14452" t="s">
        <v>26974</v>
      </c>
      <c r="E14452" t="str">
        <f>HYPERLINK("https://patents.google.com/patent/US20170351900A1/en")</f>
        <v>https://patents.google.com/patent/US20170351900A1/en</v>
      </c>
    </row>
    <row r="14453" spans="3:5" x14ac:dyDescent="0.25">
      <c r="C14453" t="s">
        <v>26975</v>
      </c>
      <c r="D14453" t="s">
        <v>26976</v>
      </c>
      <c r="E14453" t="str">
        <f>HYPERLINK("https://patents.google.com/patent/JP2009059288A/en")</f>
        <v>https://patents.google.com/patent/JP2009059288A/en</v>
      </c>
    </row>
    <row r="14454" spans="3:5" x14ac:dyDescent="0.25">
      <c r="C14454" t="s">
        <v>26977</v>
      </c>
      <c r="D14454" t="s">
        <v>26978</v>
      </c>
      <c r="E14454" t="str">
        <f>HYPERLINK("https://patents.google.com/patent/ES2673851T3/en")</f>
        <v>https://patents.google.com/patent/ES2673851T3/en</v>
      </c>
    </row>
    <row r="14455" spans="3:5" x14ac:dyDescent="0.25">
      <c r="C14455" t="s">
        <v>26979</v>
      </c>
      <c r="D14455" t="s">
        <v>26980</v>
      </c>
      <c r="E14455" t="str">
        <f>HYPERLINK("https://patents.google.com/patent/KR20170070094A/en")</f>
        <v>https://patents.google.com/patent/KR20170070094A/en</v>
      </c>
    </row>
    <row r="14456" spans="3:5" x14ac:dyDescent="0.25">
      <c r="C14456" t="s">
        <v>26981</v>
      </c>
      <c r="D14456" t="s">
        <v>26982</v>
      </c>
      <c r="E14456" t="str">
        <f>HYPERLINK("https://patents.google.com/patent/US20170302778A1/en")</f>
        <v>https://patents.google.com/patent/US20170302778A1/en</v>
      </c>
    </row>
    <row r="14457" spans="3:5" x14ac:dyDescent="0.25">
      <c r="C14457" t="s">
        <v>26983</v>
      </c>
      <c r="D14457" t="s">
        <v>26984</v>
      </c>
      <c r="E14457" t="str">
        <f>HYPERLINK("https://patents.google.com/patent/FR2512410A1/en")</f>
        <v>https://patents.google.com/patent/FR2512410A1/en</v>
      </c>
    </row>
    <row r="14458" spans="3:5" x14ac:dyDescent="0.25">
      <c r="C14458" t="s">
        <v>26985</v>
      </c>
      <c r="D14458" t="s">
        <v>26986</v>
      </c>
      <c r="E14458" t="str">
        <f>HYPERLINK("https://patents.google.com/patent/ES2258227T3/en")</f>
        <v>https://patents.google.com/patent/ES2258227T3/en</v>
      </c>
    </row>
    <row r="14459" spans="3:5" x14ac:dyDescent="0.25">
      <c r="C14459" t="s">
        <v>26987</v>
      </c>
      <c r="D14459" t="s">
        <v>26988</v>
      </c>
      <c r="E14459" t="str">
        <f>HYPERLINK("https://patents.google.com/patent/DE102017108130A1/en")</f>
        <v>https://patents.google.com/patent/DE102017108130A1/en</v>
      </c>
    </row>
    <row r="14460" spans="3:5" x14ac:dyDescent="0.25">
      <c r="C14460" t="s">
        <v>26989</v>
      </c>
      <c r="D14460" t="s">
        <v>26990</v>
      </c>
      <c r="E14460" t="str">
        <f>HYPERLINK("https://patents.google.com/patent/CN108292356A/en")</f>
        <v>https://patents.google.com/patent/CN108292356A/en</v>
      </c>
    </row>
    <row r="14461" spans="3:5" x14ac:dyDescent="0.25">
      <c r="C14461" t="s">
        <v>26991</v>
      </c>
      <c r="D14461" t="s">
        <v>26992</v>
      </c>
      <c r="E14461" t="str">
        <f>HYPERLINK("https://patents.google.com/patent/CN105922264A/en")</f>
        <v>https://patents.google.com/patent/CN105922264A/en</v>
      </c>
    </row>
    <row r="14462" spans="3:5" x14ac:dyDescent="0.25">
      <c r="C14462" t="s">
        <v>26993</v>
      </c>
      <c r="D14462" t="s">
        <v>26994</v>
      </c>
      <c r="E14462" t="str">
        <f>HYPERLINK("https://patents.google.com/patent/KR20180048705A/en")</f>
        <v>https://patents.google.com/patent/KR20180048705A/en</v>
      </c>
    </row>
    <row r="14463" spans="3:5" x14ac:dyDescent="0.25">
      <c r="C14463" t="s">
        <v>26995</v>
      </c>
      <c r="D14463" t="s">
        <v>26996</v>
      </c>
      <c r="E14463" t="str">
        <f>HYPERLINK("https://patents.google.com/patent/WO2018182270A1/en")</f>
        <v>https://patents.google.com/patent/WO2018182270A1/en</v>
      </c>
    </row>
    <row r="14464" spans="3:5" x14ac:dyDescent="0.25">
      <c r="C14464" t="s">
        <v>26997</v>
      </c>
      <c r="D14464" t="s">
        <v>26998</v>
      </c>
      <c r="E14464" t="str">
        <f>HYPERLINK("https://patents.google.com/patent/CN108121354A/en")</f>
        <v>https://patents.google.com/patent/CN108121354A/en</v>
      </c>
    </row>
    <row r="14465" spans="3:5" x14ac:dyDescent="0.25">
      <c r="C14465" t="s">
        <v>26999</v>
      </c>
      <c r="D14465" t="s">
        <v>27000</v>
      </c>
      <c r="E14465" t="str">
        <f>HYPERLINK("https://patents.google.com/patent/DE102017106419A1/en")</f>
        <v>https://patents.google.com/patent/DE102017106419A1/en</v>
      </c>
    </row>
    <row r="14466" spans="3:5" x14ac:dyDescent="0.25">
      <c r="C14466" t="s">
        <v>27001</v>
      </c>
      <c r="D14466" t="s">
        <v>27002</v>
      </c>
      <c r="E14466" t="str">
        <f>HYPERLINK("https://patents.google.com/patent/CN106029501A/en")</f>
        <v>https://patents.google.com/patent/CN106029501A/en</v>
      </c>
    </row>
    <row r="14467" spans="3:5" x14ac:dyDescent="0.25">
      <c r="C14467" t="s">
        <v>27003</v>
      </c>
      <c r="D14467" t="s">
        <v>27004</v>
      </c>
      <c r="E14467" t="str">
        <f>HYPERLINK("https://patents.google.com/patent/KR20150058250A/en")</f>
        <v>https://patents.google.com/patent/KR20150058250A/en</v>
      </c>
    </row>
    <row r="14468" spans="3:5" x14ac:dyDescent="0.25">
      <c r="C14468" t="s">
        <v>27005</v>
      </c>
      <c r="D14468" t="s">
        <v>27006</v>
      </c>
      <c r="E14468" t="str">
        <f>HYPERLINK("https://patents.google.com/patent/WO2018187712A1/en")</f>
        <v>https://patents.google.com/patent/WO2018187712A1/en</v>
      </c>
    </row>
    <row r="14469" spans="3:5" x14ac:dyDescent="0.25">
      <c r="C14469" t="s">
        <v>27007</v>
      </c>
      <c r="D14469" t="s">
        <v>27008</v>
      </c>
      <c r="E14469" t="str">
        <f>HYPERLINK("https://patents.google.com/patent/CN107598934A/en")</f>
        <v>https://patents.google.com/patent/CN107598934A/en</v>
      </c>
    </row>
    <row r="14470" spans="3:5" x14ac:dyDescent="0.25">
      <c r="C14470" t="s">
        <v>27009</v>
      </c>
      <c r="D14470" t="s">
        <v>27010</v>
      </c>
      <c r="E14470" t="str">
        <f>HYPERLINK("https://patents.google.com/patent/CN207344608U/en")</f>
        <v>https://patents.google.com/patent/CN207344608U/en</v>
      </c>
    </row>
    <row r="14471" spans="3:5" x14ac:dyDescent="0.25">
      <c r="C14471" t="s">
        <v>27011</v>
      </c>
      <c r="D14471" t="s">
        <v>27012</v>
      </c>
      <c r="E14471" t="str">
        <f>HYPERLINK("https://patents.google.com/patent/CN108255181A/en")</f>
        <v>https://patents.google.com/patent/CN108255181A/en</v>
      </c>
    </row>
    <row r="14472" spans="3:5" x14ac:dyDescent="0.25">
      <c r="C14472" t="s">
        <v>8671</v>
      </c>
      <c r="D14472" t="s">
        <v>27013</v>
      </c>
      <c r="E14472" t="str">
        <f>HYPERLINK("https://patents.google.com/patent/JP2018120524A/en")</f>
        <v>https://patents.google.com/patent/JP2018120524A/en</v>
      </c>
    </row>
    <row r="14473" spans="3:5" x14ac:dyDescent="0.25">
      <c r="C14473" t="s">
        <v>27014</v>
      </c>
      <c r="D14473" t="s">
        <v>27015</v>
      </c>
      <c r="E14473" t="str">
        <f>HYPERLINK("https://patents.google.com/patent/WO2009141461A1/en")</f>
        <v>https://patents.google.com/patent/WO2009141461A1/en</v>
      </c>
    </row>
    <row r="14474" spans="3:5" x14ac:dyDescent="0.25">
      <c r="C14474" t="s">
        <v>27016</v>
      </c>
      <c r="D14474" t="s">
        <v>27017</v>
      </c>
      <c r="E14474" t="str">
        <f>HYPERLINK("https://patents.google.com/patent/ES2324036T3/en")</f>
        <v>https://patents.google.com/patent/ES2324036T3/en</v>
      </c>
    </row>
    <row r="14475" spans="3:5" x14ac:dyDescent="0.25">
      <c r="C14475" t="s">
        <v>27018</v>
      </c>
      <c r="D14475" t="s">
        <v>27019</v>
      </c>
      <c r="E14475" t="str">
        <f>HYPERLINK("https://patents.google.com/patent/JP2016024766A/en")</f>
        <v>https://patents.google.com/patent/JP2016024766A/en</v>
      </c>
    </row>
    <row r="14476" spans="3:5" x14ac:dyDescent="0.25">
      <c r="C14476" t="s">
        <v>27020</v>
      </c>
      <c r="D14476" t="s">
        <v>27021</v>
      </c>
      <c r="E14476" t="str">
        <f>HYPERLINK("https://patents.google.com/patent/KR20180004030A/en")</f>
        <v>https://patents.google.com/patent/KR20180004030A/en</v>
      </c>
    </row>
    <row r="14477" spans="3:5" x14ac:dyDescent="0.25">
      <c r="C14477" t="s">
        <v>27022</v>
      </c>
      <c r="D14477" t="s">
        <v>27023</v>
      </c>
      <c r="E14477" t="str">
        <f>HYPERLINK("https://patents.google.com/patent/CN105232297A/en")</f>
        <v>https://patents.google.com/patent/CN105232297A/en</v>
      </c>
    </row>
    <row r="14478" spans="3:5" x14ac:dyDescent="0.25">
      <c r="C14478" t="s">
        <v>27024</v>
      </c>
      <c r="D14478" t="s">
        <v>27025</v>
      </c>
      <c r="E14478" t="str">
        <f>HYPERLINK("https://patents.google.com/patent/WO2018117608A1/en")</f>
        <v>https://patents.google.com/patent/WO2018117608A1/en</v>
      </c>
    </row>
    <row r="14479" spans="3:5" x14ac:dyDescent="0.25">
      <c r="C14479" t="s">
        <v>27026</v>
      </c>
      <c r="D14479" t="s">
        <v>27027</v>
      </c>
      <c r="E14479" t="str">
        <f>HYPERLINK("https://patents.google.com/patent/KR20130122231A/en")</f>
        <v>https://patents.google.com/patent/KR20130122231A/en</v>
      </c>
    </row>
    <row r="14480" spans="3:5" x14ac:dyDescent="0.25">
      <c r="C14480" t="s">
        <v>27028</v>
      </c>
      <c r="D14480" t="s">
        <v>27029</v>
      </c>
      <c r="E14480" t="str">
        <f>HYPERLINK("https://patents.google.com/patent/KR20180071931A/en")</f>
        <v>https://patents.google.com/patent/KR20180071931A/en</v>
      </c>
    </row>
    <row r="14481" spans="3:5" x14ac:dyDescent="0.25">
      <c r="C14481" t="s">
        <v>27030</v>
      </c>
      <c r="D14481" t="s">
        <v>27031</v>
      </c>
      <c r="E14481" t="str">
        <f>HYPERLINK("https://patents.google.com/patent/JP2008162758A/en")</f>
        <v>https://patents.google.com/patent/JP2008162758A/en</v>
      </c>
    </row>
    <row r="14482" spans="3:5" x14ac:dyDescent="0.25">
      <c r="C14482" t="s">
        <v>27032</v>
      </c>
      <c r="D14482" t="s">
        <v>27033</v>
      </c>
      <c r="E14482" t="str">
        <f>HYPERLINK("https://patents.google.com/patent/WO2018093110A1/en")</f>
        <v>https://patents.google.com/patent/WO2018093110A1/en</v>
      </c>
    </row>
    <row r="14483" spans="3:5" x14ac:dyDescent="0.25">
      <c r="C14483" t="s">
        <v>27034</v>
      </c>
      <c r="D14483" t="s">
        <v>27035</v>
      </c>
      <c r="E14483" t="str">
        <f>HYPERLINK("https://patents.google.com/patent/WO2018009770A1/en")</f>
        <v>https://patents.google.com/patent/WO2018009770A1/en</v>
      </c>
    </row>
    <row r="14484" spans="3:5" x14ac:dyDescent="0.25">
      <c r="C14484" t="s">
        <v>27036</v>
      </c>
      <c r="D14484" t="s">
        <v>27037</v>
      </c>
      <c r="E14484" t="str">
        <f>HYPERLINK("https://patents.google.com/patent/CN105856238A/en")</f>
        <v>https://patents.google.com/patent/CN105856238A/en</v>
      </c>
    </row>
    <row r="14485" spans="3:5" x14ac:dyDescent="0.25">
      <c r="C14485" t="s">
        <v>27038</v>
      </c>
      <c r="D14485" t="s">
        <v>27039</v>
      </c>
      <c r="E14485" t="str">
        <f>HYPERLINK("https://patents.google.com/patent/KR20170087878A/en")</f>
        <v>https://patents.google.com/patent/KR20170087878A/en</v>
      </c>
    </row>
    <row r="14486" spans="3:5" x14ac:dyDescent="0.25">
      <c r="C14486" t="s">
        <v>27040</v>
      </c>
      <c r="D14486" t="s">
        <v>27041</v>
      </c>
      <c r="E14486" t="str">
        <f>HYPERLINK("https://patents.google.com/patent/ES2205917T3/en")</f>
        <v>https://patents.google.com/patent/ES2205917T3/en</v>
      </c>
    </row>
    <row r="14487" spans="3:5" x14ac:dyDescent="0.25">
      <c r="C14487" t="s">
        <v>27042</v>
      </c>
      <c r="D14487" t="s">
        <v>27043</v>
      </c>
      <c r="E14487" t="str">
        <f>HYPERLINK("https://patents.google.com/patent/KR20170102255A/en")</f>
        <v>https://patents.google.com/patent/KR20170102255A/en</v>
      </c>
    </row>
    <row r="14488" spans="3:5" x14ac:dyDescent="0.25">
      <c r="C14488" t="s">
        <v>27044</v>
      </c>
      <c r="D14488" t="s">
        <v>27045</v>
      </c>
      <c r="E14488" t="str">
        <f>HYPERLINK("https://patents.google.com/patent/WO2018169276A1/en")</f>
        <v>https://patents.google.com/patent/WO2018169276A1/en</v>
      </c>
    </row>
    <row r="14489" spans="3:5" x14ac:dyDescent="0.25">
      <c r="C14489" t="s">
        <v>27046</v>
      </c>
      <c r="D14489" t="s">
        <v>27047</v>
      </c>
      <c r="E14489" t="str">
        <f>HYPERLINK("https://patents.google.com/patent/FR3011923A1/en")</f>
        <v>https://patents.google.com/patent/FR3011923A1/en</v>
      </c>
    </row>
    <row r="14490" spans="3:5" x14ac:dyDescent="0.25">
      <c r="C14490" t="s">
        <v>27048</v>
      </c>
      <c r="D14490" t="s">
        <v>27049</v>
      </c>
      <c r="E14490" t="str">
        <f>HYPERLINK("https://patents.google.com/patent/KR20170061355A/en")</f>
        <v>https://patents.google.com/patent/KR20170061355A/en</v>
      </c>
    </row>
    <row r="14491" spans="3:5" x14ac:dyDescent="0.25">
      <c r="C14491" t="s">
        <v>27050</v>
      </c>
      <c r="D14491" t="s">
        <v>27051</v>
      </c>
      <c r="E14491" t="str">
        <f>HYPERLINK("https://patents.google.com/patent/KR20170034069A/en")</f>
        <v>https://patents.google.com/patent/KR20170034069A/en</v>
      </c>
    </row>
    <row r="14492" spans="3:5" x14ac:dyDescent="0.25">
      <c r="C14492" t="s">
        <v>15246</v>
      </c>
      <c r="D14492" t="s">
        <v>27052</v>
      </c>
      <c r="E14492" t="str">
        <f>HYPERLINK("https://patents.google.com/patent/KR20180080874A/en")</f>
        <v>https://patents.google.com/patent/KR20180080874A/en</v>
      </c>
    </row>
    <row r="14493" spans="3:5" x14ac:dyDescent="0.25">
      <c r="C14493" t="s">
        <v>27053</v>
      </c>
      <c r="D14493" t="s">
        <v>27054</v>
      </c>
      <c r="E14493" t="str">
        <f>HYPERLINK("https://patents.google.com/patent/KR20180068850A/en")</f>
        <v>https://patents.google.com/patent/KR20180068850A/en</v>
      </c>
    </row>
    <row r="14494" spans="3:5" x14ac:dyDescent="0.25">
      <c r="C14494" t="s">
        <v>27055</v>
      </c>
      <c r="D14494" t="s">
        <v>27056</v>
      </c>
      <c r="E14494" t="str">
        <f>HYPERLINK("https://patents.google.com/patent/KR20150127031A/en")</f>
        <v>https://patents.google.com/patent/KR20150127031A/en</v>
      </c>
    </row>
    <row r="14495" spans="3:5" x14ac:dyDescent="0.25">
      <c r="C14495" t="s">
        <v>27057</v>
      </c>
      <c r="D14495" t="s">
        <v>27058</v>
      </c>
      <c r="E14495" t="str">
        <f>HYPERLINK("https://patents.google.com/patent/CN108475058A/en")</f>
        <v>https://patents.google.com/patent/CN108475058A/en</v>
      </c>
    </row>
    <row r="14496" spans="3:5" x14ac:dyDescent="0.25">
      <c r="C14496" t="s">
        <v>27059</v>
      </c>
      <c r="D14496" t="s">
        <v>27060</v>
      </c>
      <c r="E14496" t="str">
        <f>HYPERLINK("https://patents.google.com/patent/WO2017057601A1/en")</f>
        <v>https://patents.google.com/patent/WO2017057601A1/en</v>
      </c>
    </row>
    <row r="14497" spans="1:5" x14ac:dyDescent="0.25">
      <c r="C14497" t="s">
        <v>27061</v>
      </c>
      <c r="D14497" t="s">
        <v>27062</v>
      </c>
      <c r="E14497" t="str">
        <f>HYPERLINK("https://patents.google.com/patent/CN105856236A/en")</f>
        <v>https://patents.google.com/patent/CN105856236A/en</v>
      </c>
    </row>
    <row r="14498" spans="1:5" x14ac:dyDescent="0.25">
      <c r="C14498" t="s">
        <v>27063</v>
      </c>
      <c r="D14498" t="s">
        <v>27064</v>
      </c>
      <c r="E14498" t="str">
        <f>HYPERLINK("https://patents.google.com/patent/KR20080072961A/en")</f>
        <v>https://patents.google.com/patent/KR20080072961A/en</v>
      </c>
    </row>
    <row r="14499" spans="1:5" x14ac:dyDescent="0.25">
      <c r="C14499" t="s">
        <v>27065</v>
      </c>
      <c r="D14499" t="s">
        <v>27066</v>
      </c>
      <c r="E14499" t="str">
        <f>HYPERLINK("https://patents.google.com/patent/FR2912234A1/en")</f>
        <v>https://patents.google.com/patent/FR2912234A1/en</v>
      </c>
    </row>
    <row r="14500" spans="1:5" x14ac:dyDescent="0.25">
      <c r="C14500" t="s">
        <v>27067</v>
      </c>
      <c r="D14500" t="s">
        <v>27068</v>
      </c>
      <c r="E14500" t="str">
        <f>HYPERLINK("https://patents.google.com/patent/KR20140005836A/en")</f>
        <v>https://patents.google.com/patent/KR20140005836A/en</v>
      </c>
    </row>
    <row r="14501" spans="1:5" x14ac:dyDescent="0.25">
      <c r="C14501" t="s">
        <v>27069</v>
      </c>
      <c r="D14501" t="s">
        <v>27070</v>
      </c>
      <c r="E14501" t="str">
        <f>HYPERLINK("https://patents.google.com/patent/KR20180083787A/en")</f>
        <v>https://patents.google.com/patent/KR20180083787A/en</v>
      </c>
    </row>
    <row r="14502" spans="1:5" x14ac:dyDescent="0.25">
      <c r="C14502" t="s">
        <v>27071</v>
      </c>
      <c r="D14502" t="s">
        <v>27072</v>
      </c>
      <c r="E14502" t="str">
        <f>HYPERLINK("https://patents.google.com/patent/WO2018131920A1/en")</f>
        <v>https://patents.google.com/patent/WO2018131920A1/en</v>
      </c>
    </row>
    <row r="14503" spans="1:5" x14ac:dyDescent="0.25">
      <c r="C14503" t="s">
        <v>7295</v>
      </c>
      <c r="D14503" t="s">
        <v>27073</v>
      </c>
      <c r="E14503" t="str">
        <f>HYPERLINK("https://patents.google.com/patent/CA2328887A1/en")</f>
        <v>https://patents.google.com/patent/CA2328887A1/en</v>
      </c>
    </row>
    <row r="14504" spans="1:5" x14ac:dyDescent="0.25">
      <c r="C14504" t="s">
        <v>27074</v>
      </c>
      <c r="D14504" t="s">
        <v>27075</v>
      </c>
      <c r="E14504" t="str">
        <f>HYPERLINK("https://patents.google.com/patent/KR20180044257A/en")</f>
        <v>https://patents.google.com/patent/KR20180044257A/en</v>
      </c>
    </row>
    <row r="14505" spans="1:5" x14ac:dyDescent="0.25">
      <c r="C14505" t="s">
        <v>27076</v>
      </c>
      <c r="D14505" t="s">
        <v>27077</v>
      </c>
      <c r="E14505" t="str">
        <f>HYPERLINK("https://patents.google.com/patent/KR20170139626A/en")</f>
        <v>https://patents.google.com/patent/KR20170139626A/en</v>
      </c>
    </row>
    <row r="14506" spans="1:5" x14ac:dyDescent="0.25">
      <c r="C14506" t="s">
        <v>27078</v>
      </c>
      <c r="D14506" t="s">
        <v>27079</v>
      </c>
      <c r="E14506" t="str">
        <f>HYPERLINK("https://patents.google.com/patent/WO2018182202A1/en")</f>
        <v>https://patents.google.com/patent/WO2018182202A1/en</v>
      </c>
    </row>
    <row r="14507" spans="1:5" x14ac:dyDescent="0.25">
      <c r="A14507" t="s">
        <v>4320</v>
      </c>
      <c r="B14507">
        <v>600</v>
      </c>
    </row>
    <row r="14508" spans="1:5" x14ac:dyDescent="0.25">
      <c r="C14508" t="s">
        <v>27080</v>
      </c>
      <c r="D14508" t="s">
        <v>27081</v>
      </c>
      <c r="E14508" t="str">
        <f>HYPERLINK("https://patents.google.com/patent/US7050976B1/en")</f>
        <v>https://patents.google.com/patent/US7050976B1/en</v>
      </c>
    </row>
    <row r="14509" spans="1:5" x14ac:dyDescent="0.25">
      <c r="C14509" t="s">
        <v>27082</v>
      </c>
      <c r="D14509" t="s">
        <v>27083</v>
      </c>
      <c r="E14509" t="str">
        <f>HYPERLINK("https://patents.google.com/patent/US8595186B1/en")</f>
        <v>https://patents.google.com/patent/US8595186B1/en</v>
      </c>
    </row>
    <row r="14510" spans="1:5" x14ac:dyDescent="0.25">
      <c r="C14510" t="s">
        <v>27084</v>
      </c>
      <c r="D14510" t="s">
        <v>27085</v>
      </c>
      <c r="E14510" t="str">
        <f>HYPERLINK("https://patents.google.com/patent/US6845370B2/en")</f>
        <v>https://patents.google.com/patent/US6845370B2/en</v>
      </c>
    </row>
    <row r="14511" spans="1:5" x14ac:dyDescent="0.25">
      <c r="C14511" t="s">
        <v>27086</v>
      </c>
      <c r="D14511" t="s">
        <v>27087</v>
      </c>
      <c r="E14511" t="str">
        <f>HYPERLINK("https://patents.google.com/patent/US6202062B1/en")</f>
        <v>https://patents.google.com/patent/US6202062B1/en</v>
      </c>
    </row>
    <row r="14512" spans="1:5" x14ac:dyDescent="0.25">
      <c r="C14512" t="s">
        <v>27088</v>
      </c>
      <c r="D14512" t="s">
        <v>27089</v>
      </c>
      <c r="E14512" t="str">
        <f>HYPERLINK("https://patents.google.com/patent/US6446076B1/en")</f>
        <v>https://patents.google.com/patent/US6446076B1/en</v>
      </c>
    </row>
    <row r="14513" spans="3:5" x14ac:dyDescent="0.25">
      <c r="C14513" t="s">
        <v>27090</v>
      </c>
      <c r="D14513" t="s">
        <v>27091</v>
      </c>
      <c r="E14513" t="str">
        <f>HYPERLINK("https://patents.google.com/patent/US6134548A/en")</f>
        <v>https://patents.google.com/patent/US6134548A/en</v>
      </c>
    </row>
    <row r="14514" spans="3:5" x14ac:dyDescent="0.25">
      <c r="C14514" t="s">
        <v>27092</v>
      </c>
      <c r="D14514" t="s">
        <v>27093</v>
      </c>
      <c r="E14514" t="str">
        <f>HYPERLINK("https://patents.google.com/patent/US6195651B1/en")</f>
        <v>https://patents.google.com/patent/US6195651B1/en</v>
      </c>
    </row>
    <row r="14515" spans="3:5" x14ac:dyDescent="0.25">
      <c r="C14515" t="s">
        <v>27094</v>
      </c>
      <c r="D14515" t="s">
        <v>27095</v>
      </c>
      <c r="E14515" t="str">
        <f>HYPERLINK("https://patents.google.com/patent/US7076504B1/en")</f>
        <v>https://patents.google.com/patent/US7076504B1/en</v>
      </c>
    </row>
    <row r="14516" spans="3:5" x14ac:dyDescent="0.25">
      <c r="C14516" t="s">
        <v>27096</v>
      </c>
      <c r="D14516" t="s">
        <v>27097</v>
      </c>
      <c r="E14516" t="str">
        <f>HYPERLINK("https://patents.google.com/patent/US7437614B2/en")</f>
        <v>https://patents.google.com/patent/US7437614B2/en</v>
      </c>
    </row>
    <row r="14517" spans="3:5" x14ac:dyDescent="0.25">
      <c r="C14517" t="s">
        <v>19411</v>
      </c>
      <c r="D14517" t="s">
        <v>27098</v>
      </c>
      <c r="E14517" t="str">
        <f>HYPERLINK("https://patents.google.com/patent/US7133862B2/en")</f>
        <v>https://patents.google.com/patent/US7133862B2/en</v>
      </c>
    </row>
    <row r="14518" spans="3:5" x14ac:dyDescent="0.25">
      <c r="C14518" t="s">
        <v>27099</v>
      </c>
      <c r="D14518" t="s">
        <v>27100</v>
      </c>
      <c r="E14518" t="str">
        <f>HYPERLINK("https://patents.google.com/patent/US6571285B1/en")</f>
        <v>https://patents.google.com/patent/US6571285B1/en</v>
      </c>
    </row>
    <row r="14519" spans="3:5" x14ac:dyDescent="0.25">
      <c r="C14519" t="s">
        <v>27101</v>
      </c>
      <c r="D14519" t="s">
        <v>27102</v>
      </c>
      <c r="E14519" t="str">
        <f>HYPERLINK("https://patents.google.com/patent/US6546393B1/en")</f>
        <v>https://patents.google.com/patent/US6546393B1/en</v>
      </c>
    </row>
    <row r="14520" spans="3:5" x14ac:dyDescent="0.25">
      <c r="C14520" t="s">
        <v>27103</v>
      </c>
      <c r="D14520" t="s">
        <v>27104</v>
      </c>
      <c r="E14520" t="str">
        <f>HYPERLINK("https://patents.google.com/patent/US7039606B2/en")</f>
        <v>https://patents.google.com/patent/US7039606B2/en</v>
      </c>
    </row>
    <row r="14521" spans="3:5" x14ac:dyDescent="0.25">
      <c r="C14521" t="s">
        <v>27105</v>
      </c>
      <c r="D14521" t="s">
        <v>27106</v>
      </c>
      <c r="E14521" t="str">
        <f>HYPERLINK("https://patents.google.com/patent/US6985865B1/en")</f>
        <v>https://patents.google.com/patent/US6985865B1/en</v>
      </c>
    </row>
    <row r="14522" spans="3:5" x14ac:dyDescent="0.25">
      <c r="C14522" t="s">
        <v>27107</v>
      </c>
      <c r="D14522" t="s">
        <v>27108</v>
      </c>
      <c r="E14522" t="str">
        <f>HYPERLINK("https://patents.google.com/patent/US7072843B2/en")</f>
        <v>https://patents.google.com/patent/US7072843B2/en</v>
      </c>
    </row>
    <row r="14523" spans="3:5" x14ac:dyDescent="0.25">
      <c r="C14523" t="s">
        <v>27109</v>
      </c>
      <c r="D14523" t="s">
        <v>27110</v>
      </c>
      <c r="E14523" t="str">
        <f>HYPERLINK("https://patents.google.com/patent/US6985901B1/en")</f>
        <v>https://patents.google.com/patent/US6985901B1/en</v>
      </c>
    </row>
    <row r="14524" spans="3:5" x14ac:dyDescent="0.25">
      <c r="C14524" t="s">
        <v>27111</v>
      </c>
      <c r="D14524" t="s">
        <v>27112</v>
      </c>
      <c r="E14524" t="str">
        <f>HYPERLINK("https://patents.google.com/patent/US6401085B1/en")</f>
        <v>https://patents.google.com/patent/US6401085B1/en</v>
      </c>
    </row>
    <row r="14525" spans="3:5" x14ac:dyDescent="0.25">
      <c r="C14525" t="s">
        <v>27113</v>
      </c>
      <c r="D14525" t="s">
        <v>27114</v>
      </c>
      <c r="E14525" t="str">
        <f>HYPERLINK("https://patents.google.com/patent/US6199099B1/en")</f>
        <v>https://patents.google.com/patent/US6199099B1/en</v>
      </c>
    </row>
    <row r="14526" spans="3:5" x14ac:dyDescent="0.25">
      <c r="C14526" t="s">
        <v>27115</v>
      </c>
      <c r="D14526" t="s">
        <v>27116</v>
      </c>
      <c r="E14526" t="str">
        <f>HYPERLINK("https://patents.google.com/patent/US6813777B1/en")</f>
        <v>https://patents.google.com/patent/US6813777B1/en</v>
      </c>
    </row>
    <row r="14527" spans="3:5" x14ac:dyDescent="0.25">
      <c r="C14527" t="s">
        <v>27117</v>
      </c>
      <c r="D14527" t="s">
        <v>27118</v>
      </c>
      <c r="E14527" t="str">
        <f>HYPERLINK("https://patents.google.com/patent/US6529949B1/en")</f>
        <v>https://patents.google.com/patent/US6529949B1/en</v>
      </c>
    </row>
    <row r="14528" spans="3:5" x14ac:dyDescent="0.25">
      <c r="C14528" t="s">
        <v>27119</v>
      </c>
      <c r="D14528" t="s">
        <v>27120</v>
      </c>
      <c r="E14528" t="str">
        <f>HYPERLINK("https://patents.google.com/patent/US6954736B2/en")</f>
        <v>https://patents.google.com/patent/US6954736B2/en</v>
      </c>
    </row>
    <row r="14529" spans="3:5" x14ac:dyDescent="0.25">
      <c r="C14529" t="s">
        <v>27121</v>
      </c>
      <c r="D14529" t="s">
        <v>27122</v>
      </c>
      <c r="E14529" t="str">
        <f>HYPERLINK("https://patents.google.com/patent/US6526352B1/en")</f>
        <v>https://patents.google.com/patent/US6526352B1/en</v>
      </c>
    </row>
    <row r="14530" spans="3:5" x14ac:dyDescent="0.25">
      <c r="C14530" t="s">
        <v>27123</v>
      </c>
      <c r="D14530" t="s">
        <v>27124</v>
      </c>
      <c r="E14530" t="str">
        <f>HYPERLINK("https://patents.google.com/patent/US6892196B1/en")</f>
        <v>https://patents.google.com/patent/US6892196B1/en</v>
      </c>
    </row>
    <row r="14531" spans="3:5" x14ac:dyDescent="0.25">
      <c r="C14531" t="s">
        <v>27125</v>
      </c>
      <c r="D14531" t="s">
        <v>27126</v>
      </c>
      <c r="E14531" t="str">
        <f>HYPERLINK("https://patents.google.com/patent/US6275806B1/en")</f>
        <v>https://patents.google.com/patent/US6275806B1/en</v>
      </c>
    </row>
    <row r="14532" spans="3:5" x14ac:dyDescent="0.25">
      <c r="C14532" t="s">
        <v>27127</v>
      </c>
      <c r="D14532" t="s">
        <v>27128</v>
      </c>
      <c r="E14532" t="str">
        <f>HYPERLINK("https://patents.google.com/patent/US7769364B2/en")</f>
        <v>https://patents.google.com/patent/US7769364B2/en</v>
      </c>
    </row>
    <row r="14533" spans="3:5" x14ac:dyDescent="0.25">
      <c r="C14533" t="s">
        <v>27129</v>
      </c>
      <c r="D14533" t="s">
        <v>27130</v>
      </c>
      <c r="E14533" t="str">
        <f>HYPERLINK("https://patents.google.com/patent/US6904449B1/en")</f>
        <v>https://patents.google.com/patent/US6904449B1/en</v>
      </c>
    </row>
    <row r="14534" spans="3:5" x14ac:dyDescent="0.25">
      <c r="C14534" t="s">
        <v>27131</v>
      </c>
      <c r="D14534" t="s">
        <v>27132</v>
      </c>
      <c r="E14534" t="str">
        <f>HYPERLINK("https://patents.google.com/patent/US6144989A/en")</f>
        <v>https://patents.google.com/patent/US6144989A/en</v>
      </c>
    </row>
    <row r="14535" spans="3:5" x14ac:dyDescent="0.25">
      <c r="C14535" t="s">
        <v>27133</v>
      </c>
      <c r="D14535" t="s">
        <v>27134</v>
      </c>
      <c r="E14535" t="str">
        <f>HYPERLINK("https://patents.google.com/patent/US7581170B2/en")</f>
        <v>https://patents.google.com/patent/US7581170B2/en</v>
      </c>
    </row>
    <row r="14536" spans="3:5" x14ac:dyDescent="0.25">
      <c r="C14536" t="s">
        <v>27135</v>
      </c>
      <c r="D14536" t="s">
        <v>27136</v>
      </c>
      <c r="E14536" t="str">
        <f>HYPERLINK("https://patents.google.com/patent/US7436939B1/en")</f>
        <v>https://patents.google.com/patent/US7436939B1/en</v>
      </c>
    </row>
    <row r="14537" spans="3:5" x14ac:dyDescent="0.25">
      <c r="C14537" t="s">
        <v>27137</v>
      </c>
      <c r="D14537" t="s">
        <v>27138</v>
      </c>
      <c r="E14537" t="str">
        <f>HYPERLINK("https://patents.google.com/patent/US7117159B1/en")</f>
        <v>https://patents.google.com/patent/US7117159B1/en</v>
      </c>
    </row>
    <row r="14538" spans="3:5" x14ac:dyDescent="0.25">
      <c r="C14538" t="s">
        <v>27139</v>
      </c>
      <c r="D14538" t="s">
        <v>27140</v>
      </c>
      <c r="E14538" t="str">
        <f>HYPERLINK("https://patents.google.com/patent/US7313525B1/en")</f>
        <v>https://patents.google.com/patent/US7313525B1/en</v>
      </c>
    </row>
    <row r="14539" spans="3:5" x14ac:dyDescent="0.25">
      <c r="C14539" t="s">
        <v>27141</v>
      </c>
      <c r="D14539" t="s">
        <v>27142</v>
      </c>
      <c r="E14539" t="str">
        <f>HYPERLINK("https://patents.google.com/patent/US7590538B2/en")</f>
        <v>https://patents.google.com/patent/US7590538B2/en</v>
      </c>
    </row>
    <row r="14540" spans="3:5" x14ac:dyDescent="0.25">
      <c r="C14540" t="s">
        <v>27143</v>
      </c>
      <c r="D14540" t="s">
        <v>27144</v>
      </c>
      <c r="E14540" t="str">
        <f>HYPERLINK("https://patents.google.com/patent/US20030149581A1/en")</f>
        <v>https://patents.google.com/patent/US20030149581A1/en</v>
      </c>
    </row>
    <row r="14541" spans="3:5" x14ac:dyDescent="0.25">
      <c r="C14541" t="s">
        <v>27145</v>
      </c>
      <c r="D14541" t="s">
        <v>27146</v>
      </c>
      <c r="E14541" t="str">
        <f>HYPERLINK("https://patents.google.com/patent/US20020035501A1/en")</f>
        <v>https://patents.google.com/patent/US20020035501A1/en</v>
      </c>
    </row>
    <row r="14542" spans="3:5" x14ac:dyDescent="0.25">
      <c r="C14542" t="s">
        <v>27147</v>
      </c>
      <c r="D14542" t="s">
        <v>27148</v>
      </c>
      <c r="E14542" t="str">
        <f>HYPERLINK("https://patents.google.com/patent/US20070203872A1/en")</f>
        <v>https://patents.google.com/patent/US20070203872A1/en</v>
      </c>
    </row>
    <row r="14543" spans="3:5" x14ac:dyDescent="0.25">
      <c r="C14543" t="s">
        <v>27149</v>
      </c>
      <c r="D14543" t="s">
        <v>27150</v>
      </c>
      <c r="E14543" t="str">
        <f>HYPERLINK("https://patents.google.com/patent/US20030018513A1/en")</f>
        <v>https://patents.google.com/patent/US20030018513A1/en</v>
      </c>
    </row>
    <row r="14544" spans="3:5" x14ac:dyDescent="0.25">
      <c r="C14544" t="s">
        <v>27151</v>
      </c>
      <c r="D14544" t="s">
        <v>27152</v>
      </c>
      <c r="E14544" t="str">
        <f>HYPERLINK("https://patents.google.com/patent/US20030069774A1/en")</f>
        <v>https://patents.google.com/patent/US20030069774A1/en</v>
      </c>
    </row>
    <row r="14545" spans="3:5" x14ac:dyDescent="0.25">
      <c r="C14545" t="s">
        <v>7913</v>
      </c>
      <c r="D14545" t="s">
        <v>27153</v>
      </c>
      <c r="E14545" t="str">
        <f>HYPERLINK("https://patents.google.com/patent/US20050027851A1/en")</f>
        <v>https://patents.google.com/patent/US20050027851A1/en</v>
      </c>
    </row>
    <row r="14546" spans="3:5" x14ac:dyDescent="0.25">
      <c r="C14546" t="s">
        <v>27154</v>
      </c>
      <c r="D14546" t="s">
        <v>27155</v>
      </c>
      <c r="E14546" t="str">
        <f>HYPERLINK("https://patents.google.com/patent/US20090035733A1/en")</f>
        <v>https://patents.google.com/patent/US20090035733A1/en</v>
      </c>
    </row>
    <row r="14547" spans="3:5" x14ac:dyDescent="0.25">
      <c r="C14547" t="s">
        <v>27156</v>
      </c>
      <c r="D14547" t="s">
        <v>27157</v>
      </c>
      <c r="E14547" t="str">
        <f>HYPERLINK("https://patents.google.com/patent/US20100080163A1/en")</f>
        <v>https://patents.google.com/patent/US20100080163A1/en</v>
      </c>
    </row>
    <row r="14548" spans="3:5" x14ac:dyDescent="0.25">
      <c r="C14548" t="s">
        <v>27158</v>
      </c>
      <c r="D14548" t="s">
        <v>27159</v>
      </c>
      <c r="E14548" t="str">
        <f>HYPERLINK("https://patents.google.com/patent/US20020178360A1/en")</f>
        <v>https://patents.google.com/patent/US20020178360A1/en</v>
      </c>
    </row>
    <row r="14549" spans="3:5" x14ac:dyDescent="0.25">
      <c r="C14549" t="s">
        <v>27160</v>
      </c>
      <c r="D14549" t="s">
        <v>27161</v>
      </c>
      <c r="E14549" t="str">
        <f>HYPERLINK("https://patents.google.com/patent/US20030041110A1/en")</f>
        <v>https://patents.google.com/patent/US20030041110A1/en</v>
      </c>
    </row>
    <row r="14550" spans="3:5" x14ac:dyDescent="0.25">
      <c r="C14550" t="s">
        <v>27162</v>
      </c>
      <c r="D14550" t="s">
        <v>27163</v>
      </c>
      <c r="E14550" t="str">
        <f>HYPERLINK("https://patents.google.com/patent/US20030120557A1/en")</f>
        <v>https://patents.google.com/patent/US20030120557A1/en</v>
      </c>
    </row>
    <row r="14551" spans="3:5" x14ac:dyDescent="0.25">
      <c r="C14551" t="s">
        <v>26334</v>
      </c>
      <c r="D14551" t="s">
        <v>27164</v>
      </c>
      <c r="E14551" t="str">
        <f>HYPERLINK("https://patents.google.com/patent/US20070038610A1/en")</f>
        <v>https://patents.google.com/patent/US20070038610A1/en</v>
      </c>
    </row>
    <row r="14552" spans="3:5" x14ac:dyDescent="0.25">
      <c r="C14552" t="s">
        <v>27165</v>
      </c>
      <c r="D14552" t="s">
        <v>27166</v>
      </c>
      <c r="E14552" t="str">
        <f>HYPERLINK("https://patents.google.com/patent/RU2364917C2/en")</f>
        <v>https://patents.google.com/patent/RU2364917C2/en</v>
      </c>
    </row>
    <row r="14553" spans="3:5" x14ac:dyDescent="0.25">
      <c r="C14553" t="s">
        <v>26334</v>
      </c>
      <c r="D14553" t="s">
        <v>27167</v>
      </c>
      <c r="E14553" t="str">
        <f>HYPERLINK("https://patents.google.com/patent/US20120191716A1/en")</f>
        <v>https://patents.google.com/patent/US20120191716A1/en</v>
      </c>
    </row>
    <row r="14554" spans="3:5" x14ac:dyDescent="0.25">
      <c r="C14554" t="s">
        <v>27168</v>
      </c>
      <c r="D14554" t="s">
        <v>27169</v>
      </c>
      <c r="E14554" t="str">
        <f>HYPERLINK("https://patents.google.com/patent/US20070037605A1/en")</f>
        <v>https://patents.google.com/patent/US20070037605A1/en</v>
      </c>
    </row>
    <row r="14555" spans="3:5" x14ac:dyDescent="0.25">
      <c r="C14555" t="s">
        <v>27170</v>
      </c>
      <c r="D14555" t="s">
        <v>27171</v>
      </c>
      <c r="E14555" t="str">
        <f>HYPERLINK("https://patents.google.com/patent/US20040056779A1/en")</f>
        <v>https://patents.google.com/patent/US20040056779A1/en</v>
      </c>
    </row>
    <row r="14556" spans="3:5" x14ac:dyDescent="0.25">
      <c r="C14556" t="s">
        <v>27172</v>
      </c>
      <c r="D14556" t="s">
        <v>27173</v>
      </c>
      <c r="E14556" t="str">
        <f>HYPERLINK("https://patents.google.com/patent/US20020022995A1/en")</f>
        <v>https://patents.google.com/patent/US20020022995A1/en</v>
      </c>
    </row>
    <row r="14557" spans="3:5" x14ac:dyDescent="0.25">
      <c r="C14557" t="s">
        <v>27174</v>
      </c>
      <c r="D14557" t="s">
        <v>27175</v>
      </c>
      <c r="E14557" t="str">
        <f>HYPERLINK("https://patents.google.com/patent/US20030009694A1/en")</f>
        <v>https://patents.google.com/patent/US20030009694A1/en</v>
      </c>
    </row>
    <row r="14558" spans="3:5" x14ac:dyDescent="0.25">
      <c r="C14558" t="s">
        <v>27176</v>
      </c>
      <c r="D14558" t="s">
        <v>27177</v>
      </c>
      <c r="E14558" t="str">
        <f>HYPERLINK("https://patents.google.com/patent/US20050198618A1/en")</f>
        <v>https://patents.google.com/patent/US20050198618A1/en</v>
      </c>
    </row>
    <row r="14559" spans="3:5" x14ac:dyDescent="0.25">
      <c r="C14559" t="s">
        <v>27178</v>
      </c>
      <c r="D14559" t="s">
        <v>27179</v>
      </c>
      <c r="E14559" t="str">
        <f>HYPERLINK("https://patents.google.com/patent/US20030083947A1/en")</f>
        <v>https://patents.google.com/patent/US20030083947A1/en</v>
      </c>
    </row>
    <row r="14560" spans="3:5" x14ac:dyDescent="0.25">
      <c r="C14560" t="s">
        <v>27180</v>
      </c>
      <c r="D14560" t="s">
        <v>27181</v>
      </c>
      <c r="E14560" t="str">
        <f>HYPERLINK("https://patents.google.com/patent/US20030110500A1/en")</f>
        <v>https://patents.google.com/patent/US20030110500A1/en</v>
      </c>
    </row>
    <row r="14561" spans="3:5" x14ac:dyDescent="0.25">
      <c r="C14561" t="s">
        <v>27182</v>
      </c>
      <c r="D14561" t="s">
        <v>27183</v>
      </c>
      <c r="E14561" t="str">
        <f>HYPERLINK("https://patents.google.com/patent/US20030046120A1/en")</f>
        <v>https://patents.google.com/patent/US20030046120A1/en</v>
      </c>
    </row>
    <row r="14562" spans="3:5" x14ac:dyDescent="0.25">
      <c r="C14562" t="s">
        <v>27184</v>
      </c>
      <c r="D14562" t="s">
        <v>27185</v>
      </c>
      <c r="E14562" t="str">
        <f>HYPERLINK("https://patents.google.com/patent/US20080261564A1/en")</f>
        <v>https://patents.google.com/patent/US20080261564A1/en</v>
      </c>
    </row>
    <row r="14563" spans="3:5" x14ac:dyDescent="0.25">
      <c r="C14563" t="s">
        <v>27186</v>
      </c>
      <c r="D14563" t="s">
        <v>27187</v>
      </c>
      <c r="E14563" t="str">
        <f>HYPERLINK("https://patents.google.com/patent/US20030048301A1/en")</f>
        <v>https://patents.google.com/patent/US20030048301A1/en</v>
      </c>
    </row>
    <row r="14564" spans="3:5" x14ac:dyDescent="0.25">
      <c r="C14564" t="s">
        <v>27188</v>
      </c>
      <c r="D14564" t="s">
        <v>27189</v>
      </c>
      <c r="E14564" t="str">
        <f>HYPERLINK("https://patents.google.com/patent/US20030074250A1/en")</f>
        <v>https://patents.google.com/patent/US20030074250A1/en</v>
      </c>
    </row>
    <row r="14565" spans="3:5" x14ac:dyDescent="0.25">
      <c r="C14565" t="s">
        <v>7913</v>
      </c>
      <c r="D14565" t="s">
        <v>27190</v>
      </c>
      <c r="E14565" t="str">
        <f>HYPERLINK("https://patents.google.com/patent/US20050021766A1/en")</f>
        <v>https://patents.google.com/patent/US20050021766A1/en</v>
      </c>
    </row>
    <row r="14566" spans="3:5" x14ac:dyDescent="0.25">
      <c r="C14566" t="s">
        <v>27191</v>
      </c>
      <c r="D14566" t="s">
        <v>27192</v>
      </c>
      <c r="E14566" t="str">
        <f>HYPERLINK("https://patents.google.com/patent/US20130254660A1/en")</f>
        <v>https://patents.google.com/patent/US20130254660A1/en</v>
      </c>
    </row>
    <row r="14567" spans="3:5" x14ac:dyDescent="0.25">
      <c r="C14567" t="s">
        <v>27193</v>
      </c>
      <c r="D14567" t="s">
        <v>27194</v>
      </c>
      <c r="E14567" t="str">
        <f>HYPERLINK("https://patents.google.com/patent/US20080120325A1/en")</f>
        <v>https://patents.google.com/patent/US20080120325A1/en</v>
      </c>
    </row>
    <row r="14568" spans="3:5" x14ac:dyDescent="0.25">
      <c r="C14568" t="s">
        <v>27195</v>
      </c>
      <c r="D14568" t="s">
        <v>27196</v>
      </c>
      <c r="E14568" t="str">
        <f>HYPERLINK("https://patents.google.com/patent/US20030154387A1/en")</f>
        <v>https://patents.google.com/patent/US20030154387A1/en</v>
      </c>
    </row>
    <row r="14569" spans="3:5" x14ac:dyDescent="0.25">
      <c r="C14569" t="s">
        <v>27197</v>
      </c>
      <c r="D14569" t="s">
        <v>27198</v>
      </c>
      <c r="E14569" t="str">
        <f>HYPERLINK("https://patents.google.com/patent/US20030069824A1/en")</f>
        <v>https://patents.google.com/patent/US20030069824A1/en</v>
      </c>
    </row>
    <row r="14570" spans="3:5" x14ac:dyDescent="0.25">
      <c r="C14570" t="s">
        <v>27199</v>
      </c>
      <c r="D14570" t="s">
        <v>27200</v>
      </c>
      <c r="E14570" t="str">
        <f>HYPERLINK("https://patents.google.com/patent/US20030055731A1/en")</f>
        <v>https://patents.google.com/patent/US20030055731A1/en</v>
      </c>
    </row>
    <row r="14571" spans="3:5" x14ac:dyDescent="0.25">
      <c r="C14571" t="s">
        <v>27201</v>
      </c>
      <c r="D14571" t="s">
        <v>27202</v>
      </c>
      <c r="E14571" t="str">
        <f>HYPERLINK("https://patents.google.com/patent/US20030074285A1/en")</f>
        <v>https://patents.google.com/patent/US20030074285A1/en</v>
      </c>
    </row>
    <row r="14572" spans="3:5" x14ac:dyDescent="0.25">
      <c r="C14572" t="s">
        <v>27203</v>
      </c>
      <c r="D14572" t="s">
        <v>27204</v>
      </c>
      <c r="E14572" t="str">
        <f>HYPERLINK("https://patents.google.com/patent/US20140257047A1/en")</f>
        <v>https://patents.google.com/patent/US20140257047A1/en</v>
      </c>
    </row>
    <row r="14573" spans="3:5" x14ac:dyDescent="0.25">
      <c r="C14573" t="s">
        <v>27205</v>
      </c>
      <c r="D14573" t="s">
        <v>27206</v>
      </c>
      <c r="E14573" t="str">
        <f>HYPERLINK("https://patents.google.com/patent/US20030074206A1/en")</f>
        <v>https://patents.google.com/patent/US20030074206A1/en</v>
      </c>
    </row>
    <row r="14574" spans="3:5" x14ac:dyDescent="0.25">
      <c r="C14574" t="s">
        <v>27207</v>
      </c>
      <c r="D14574" t="s">
        <v>27208</v>
      </c>
      <c r="E14574" t="str">
        <f>HYPERLINK("https://patents.google.com/patent/US20030088449A1/en")</f>
        <v>https://patents.google.com/patent/US20030088449A1/en</v>
      </c>
    </row>
    <row r="14575" spans="3:5" x14ac:dyDescent="0.25">
      <c r="C14575" t="s">
        <v>27209</v>
      </c>
      <c r="D14575" t="s">
        <v>27210</v>
      </c>
      <c r="E14575" t="str">
        <f>HYPERLINK("https://patents.google.com/patent/US20080309913A1/en")</f>
        <v>https://patents.google.com/patent/US20080309913A1/en</v>
      </c>
    </row>
    <row r="14576" spans="3:5" x14ac:dyDescent="0.25">
      <c r="C14576" t="s">
        <v>27211</v>
      </c>
      <c r="D14576" t="s">
        <v>27212</v>
      </c>
      <c r="E14576" t="str">
        <f>HYPERLINK("https://patents.google.com/patent/US20110249658A1/en")</f>
        <v>https://patents.google.com/patent/US20110249658A1/en</v>
      </c>
    </row>
    <row r="14577" spans="3:5" x14ac:dyDescent="0.25">
      <c r="C14577" t="s">
        <v>27213</v>
      </c>
      <c r="D14577" t="s">
        <v>27214</v>
      </c>
      <c r="E14577" t="str">
        <f>HYPERLINK("https://patents.google.com/patent/US7120922B2/en")</f>
        <v>https://patents.google.com/patent/US7120922B2/en</v>
      </c>
    </row>
    <row r="14578" spans="3:5" x14ac:dyDescent="0.25">
      <c r="C14578" t="s">
        <v>27215</v>
      </c>
      <c r="D14578" t="s">
        <v>27216</v>
      </c>
      <c r="E14578" t="str">
        <f>HYPERLINK("https://patents.google.com/patent/US20030078827A1/en")</f>
        <v>https://patents.google.com/patent/US20030078827A1/en</v>
      </c>
    </row>
    <row r="14579" spans="3:5" x14ac:dyDescent="0.25">
      <c r="C14579" t="s">
        <v>27217</v>
      </c>
      <c r="D14579" t="s">
        <v>27218</v>
      </c>
      <c r="E14579" t="str">
        <f>HYPERLINK("https://patents.google.com/patent/US20080215377A1/en")</f>
        <v>https://patents.google.com/patent/US20080215377A1/en</v>
      </c>
    </row>
    <row r="14580" spans="3:5" x14ac:dyDescent="0.25">
      <c r="C14580" t="s">
        <v>27219</v>
      </c>
      <c r="D14580" t="s">
        <v>27220</v>
      </c>
      <c r="E14580" t="str">
        <f>HYPERLINK("https://patents.google.com/patent/US20030078846A1/en")</f>
        <v>https://patents.google.com/patent/US20030078846A1/en</v>
      </c>
    </row>
    <row r="14581" spans="3:5" x14ac:dyDescent="0.25">
      <c r="C14581" t="s">
        <v>27221</v>
      </c>
      <c r="D14581" t="s">
        <v>27222</v>
      </c>
      <c r="E14581" t="str">
        <f>HYPERLINK("https://patents.google.com/patent/US20030126033A1/en")</f>
        <v>https://patents.google.com/patent/US20030126033A1/en</v>
      </c>
    </row>
    <row r="14582" spans="3:5" x14ac:dyDescent="0.25">
      <c r="C14582" t="s">
        <v>27223</v>
      </c>
      <c r="D14582" t="s">
        <v>27224</v>
      </c>
      <c r="E14582" t="str">
        <f>HYPERLINK("https://patents.google.com/patent/US20030074355A1/en")</f>
        <v>https://patents.google.com/patent/US20030074355A1/en</v>
      </c>
    </row>
    <row r="14583" spans="3:5" x14ac:dyDescent="0.25">
      <c r="C14583" t="s">
        <v>27225</v>
      </c>
      <c r="D14583" t="s">
        <v>27226</v>
      </c>
      <c r="E14583" t="str">
        <f>HYPERLINK("https://patents.google.com/patent/US20030055694A1/en")</f>
        <v>https://patents.google.com/patent/US20030055694A1/en</v>
      </c>
    </row>
    <row r="14584" spans="3:5" x14ac:dyDescent="0.25">
      <c r="C14584" t="s">
        <v>27227</v>
      </c>
      <c r="D14584" t="s">
        <v>27228</v>
      </c>
      <c r="E14584" t="str">
        <f>HYPERLINK("https://patents.google.com/patent/US20030074239A1/en")</f>
        <v>https://patents.google.com/patent/US20030074239A1/en</v>
      </c>
    </row>
    <row r="14585" spans="3:5" x14ac:dyDescent="0.25">
      <c r="C14585" t="s">
        <v>27229</v>
      </c>
      <c r="D14585" t="s">
        <v>27230</v>
      </c>
      <c r="E14585" t="str">
        <f>HYPERLINK("https://patents.google.com/patent/US20040193482A1/en")</f>
        <v>https://patents.google.com/patent/US20040193482A1/en</v>
      </c>
    </row>
    <row r="14586" spans="3:5" x14ac:dyDescent="0.25">
      <c r="C14586" t="s">
        <v>27231</v>
      </c>
      <c r="D14586" t="s">
        <v>27232</v>
      </c>
      <c r="E14586" t="str">
        <f>HYPERLINK("https://patents.google.com/patent/US20070180468A1/en")</f>
        <v>https://patents.google.com/patent/US20070180468A1/en</v>
      </c>
    </row>
    <row r="14587" spans="3:5" x14ac:dyDescent="0.25">
      <c r="C14587" t="s">
        <v>27233</v>
      </c>
      <c r="D14587" t="s">
        <v>27234</v>
      </c>
      <c r="E14587" t="str">
        <f>HYPERLINK("https://patents.google.com/patent/US20030097317A1/en")</f>
        <v>https://patents.google.com/patent/US20030097317A1/en</v>
      </c>
    </row>
    <row r="14588" spans="3:5" x14ac:dyDescent="0.25">
      <c r="C14588" t="s">
        <v>27235</v>
      </c>
      <c r="D14588" t="s">
        <v>27236</v>
      </c>
      <c r="E14588" t="str">
        <f>HYPERLINK("https://patents.google.com/patent/US20030046089A1/en")</f>
        <v>https://patents.google.com/patent/US20030046089A1/en</v>
      </c>
    </row>
    <row r="14589" spans="3:5" x14ac:dyDescent="0.25">
      <c r="C14589" t="s">
        <v>27237</v>
      </c>
      <c r="D14589" t="s">
        <v>27238</v>
      </c>
      <c r="E14589" t="str">
        <f>HYPERLINK("https://patents.google.com/patent/US20150089353A1/en")</f>
        <v>https://patents.google.com/patent/US20150089353A1/en</v>
      </c>
    </row>
    <row r="14590" spans="3:5" x14ac:dyDescent="0.25">
      <c r="C14590" t="s">
        <v>27239</v>
      </c>
      <c r="D14590" t="s">
        <v>27240</v>
      </c>
      <c r="E14590" t="str">
        <f>HYPERLINK("https://patents.google.com/patent/US20030050859A1/en")</f>
        <v>https://patents.google.com/patent/US20030050859A1/en</v>
      </c>
    </row>
    <row r="14591" spans="3:5" x14ac:dyDescent="0.25">
      <c r="C14591" t="s">
        <v>27241</v>
      </c>
      <c r="D14591" t="s">
        <v>27242</v>
      </c>
      <c r="E14591" t="str">
        <f>HYPERLINK("https://patents.google.com/patent/US8941485B1/en")</f>
        <v>https://patents.google.com/patent/US8941485B1/en</v>
      </c>
    </row>
    <row r="14592" spans="3:5" x14ac:dyDescent="0.25">
      <c r="C14592" t="s">
        <v>27243</v>
      </c>
      <c r="D14592" t="s">
        <v>27244</v>
      </c>
      <c r="E14592" t="str">
        <f>HYPERLINK("https://patents.google.com/patent/US20030078787A1/en")</f>
        <v>https://patents.google.com/patent/US20030078787A1/en</v>
      </c>
    </row>
    <row r="14593" spans="3:5" x14ac:dyDescent="0.25">
      <c r="C14593" t="s">
        <v>27245</v>
      </c>
      <c r="D14593" t="s">
        <v>27246</v>
      </c>
      <c r="E14593" t="str">
        <f>HYPERLINK("https://patents.google.com/patent/US20030069825A1/en")</f>
        <v>https://patents.google.com/patent/US20030069825A1/en</v>
      </c>
    </row>
    <row r="14594" spans="3:5" x14ac:dyDescent="0.25">
      <c r="C14594" t="s">
        <v>27247</v>
      </c>
      <c r="D14594" t="s">
        <v>27248</v>
      </c>
      <c r="E14594" t="str">
        <f>HYPERLINK("https://patents.google.com/patent/US20030069818A1/en")</f>
        <v>https://patents.google.com/patent/US20030069818A1/en</v>
      </c>
    </row>
    <row r="14595" spans="3:5" x14ac:dyDescent="0.25">
      <c r="C14595" t="s">
        <v>27249</v>
      </c>
      <c r="D14595" t="s">
        <v>27250</v>
      </c>
      <c r="E14595" t="str">
        <f>HYPERLINK("https://patents.google.com/patent/US20030074264A1/en")</f>
        <v>https://patents.google.com/patent/US20030074264A1/en</v>
      </c>
    </row>
    <row r="14596" spans="3:5" x14ac:dyDescent="0.25">
      <c r="C14596" t="s">
        <v>27251</v>
      </c>
      <c r="D14596" t="s">
        <v>27252</v>
      </c>
      <c r="E14596" t="str">
        <f>HYPERLINK("https://patents.google.com/patent/US20030065549A1/en")</f>
        <v>https://patents.google.com/patent/US20030065549A1/en</v>
      </c>
    </row>
    <row r="14597" spans="3:5" x14ac:dyDescent="0.25">
      <c r="C14597" t="s">
        <v>27253</v>
      </c>
      <c r="D14597" t="s">
        <v>27254</v>
      </c>
      <c r="E14597" t="str">
        <f>HYPERLINK("https://patents.google.com/patent/US20030078845A1/en")</f>
        <v>https://patents.google.com/patent/US20030078845A1/en</v>
      </c>
    </row>
    <row r="14598" spans="3:5" x14ac:dyDescent="0.25">
      <c r="C14598" t="s">
        <v>27255</v>
      </c>
      <c r="D14598" t="s">
        <v>27256</v>
      </c>
      <c r="E14598" t="str">
        <f>HYPERLINK("https://patents.google.com/patent/US20030069859A1/en")</f>
        <v>https://patents.google.com/patent/US20030069859A1/en</v>
      </c>
    </row>
    <row r="14599" spans="3:5" x14ac:dyDescent="0.25">
      <c r="C14599" t="s">
        <v>27257</v>
      </c>
      <c r="D14599" t="s">
        <v>27258</v>
      </c>
      <c r="E14599" t="str">
        <f>HYPERLINK("https://patents.google.com/patent/US20030050807A1/en")</f>
        <v>https://patents.google.com/patent/US20030050807A1/en</v>
      </c>
    </row>
    <row r="14600" spans="3:5" x14ac:dyDescent="0.25">
      <c r="C14600" t="s">
        <v>27259</v>
      </c>
      <c r="D14600" t="s">
        <v>27260</v>
      </c>
      <c r="E14600" t="str">
        <f>HYPERLINK("https://patents.google.com/patent/US20030046121A1/en")</f>
        <v>https://patents.google.com/patent/US20030046121A1/en</v>
      </c>
    </row>
    <row r="14601" spans="3:5" x14ac:dyDescent="0.25">
      <c r="C14601" t="s">
        <v>27261</v>
      </c>
      <c r="D14601" t="s">
        <v>27262</v>
      </c>
      <c r="E14601" t="str">
        <f>HYPERLINK("https://patents.google.com/patent/US20030055704A1/en")</f>
        <v>https://patents.google.com/patent/US20030055704A1/en</v>
      </c>
    </row>
    <row r="14602" spans="3:5" x14ac:dyDescent="0.25">
      <c r="C14602" t="s">
        <v>27263</v>
      </c>
      <c r="D14602" t="s">
        <v>27264</v>
      </c>
      <c r="E14602" t="str">
        <f>HYPERLINK("https://patents.google.com/patent/US20030088474A1/en")</f>
        <v>https://patents.google.com/patent/US20030088474A1/en</v>
      </c>
    </row>
    <row r="14603" spans="3:5" x14ac:dyDescent="0.25">
      <c r="C14603" t="s">
        <v>27265</v>
      </c>
      <c r="D14603" t="s">
        <v>27266</v>
      </c>
      <c r="E14603" t="str">
        <f>HYPERLINK("https://patents.google.com/patent/US20030078861A1/en")</f>
        <v>https://patents.google.com/patent/US20030078861A1/en</v>
      </c>
    </row>
    <row r="14604" spans="3:5" x14ac:dyDescent="0.25">
      <c r="C14604" t="s">
        <v>27267</v>
      </c>
      <c r="D14604" t="s">
        <v>27268</v>
      </c>
      <c r="E14604" t="str">
        <f>HYPERLINK("https://patents.google.com/patent/US20080120324A1/en")</f>
        <v>https://patents.google.com/patent/US20080120324A1/en</v>
      </c>
    </row>
    <row r="14605" spans="3:5" x14ac:dyDescent="0.25">
      <c r="C14605" t="s">
        <v>27269</v>
      </c>
      <c r="D14605" t="s">
        <v>27270</v>
      </c>
      <c r="E14605" t="str">
        <f>HYPERLINK("https://patents.google.com/patent/US20030074281A1/en")</f>
        <v>https://patents.google.com/patent/US20030074281A1/en</v>
      </c>
    </row>
    <row r="14606" spans="3:5" x14ac:dyDescent="0.25">
      <c r="C14606" t="s">
        <v>27271</v>
      </c>
      <c r="D14606" t="s">
        <v>27272</v>
      </c>
      <c r="E14606" t="str">
        <f>HYPERLINK("https://patents.google.com/patent/US20030074249A1/en")</f>
        <v>https://patents.google.com/patent/US20030074249A1/en</v>
      </c>
    </row>
    <row r="14607" spans="3:5" x14ac:dyDescent="0.25">
      <c r="C14607" t="s">
        <v>27273</v>
      </c>
      <c r="D14607" t="s">
        <v>27274</v>
      </c>
      <c r="E14607" t="str">
        <f>HYPERLINK("https://patents.google.com/patent/WO2000075849A2/en")</f>
        <v>https://patents.google.com/patent/WO2000075849A2/en</v>
      </c>
    </row>
    <row r="14608" spans="3:5" x14ac:dyDescent="0.25">
      <c r="C14608" t="s">
        <v>27275</v>
      </c>
      <c r="D14608" t="s">
        <v>27276</v>
      </c>
      <c r="E14608" t="str">
        <f>HYPERLINK("https://patents.google.com/patent/WO2000028455A1/en")</f>
        <v>https://patents.google.com/patent/WO2000028455A1/en</v>
      </c>
    </row>
    <row r="14609" spans="3:5" x14ac:dyDescent="0.25">
      <c r="C14609" t="s">
        <v>27277</v>
      </c>
      <c r="D14609" t="s">
        <v>27278</v>
      </c>
      <c r="E14609" t="str">
        <f>HYPERLINK("https://patents.google.com/patent/CN1785723A/en")</f>
        <v>https://patents.google.com/patent/CN1785723A/en</v>
      </c>
    </row>
    <row r="14610" spans="3:5" x14ac:dyDescent="0.25">
      <c r="C14610" t="s">
        <v>27279</v>
      </c>
      <c r="D14610" t="s">
        <v>27280</v>
      </c>
      <c r="E14610" t="str">
        <f>HYPERLINK("https://patents.google.com/patent/US20150256873A1/en")</f>
        <v>https://patents.google.com/patent/US20150256873A1/en</v>
      </c>
    </row>
    <row r="14611" spans="3:5" x14ac:dyDescent="0.25">
      <c r="C14611" t="s">
        <v>27281</v>
      </c>
      <c r="D14611" t="s">
        <v>27282</v>
      </c>
      <c r="E14611" t="str">
        <f>HYPERLINK("https://patents.google.com/patent/US20030061084A1/en")</f>
        <v>https://patents.google.com/patent/US20030061084A1/en</v>
      </c>
    </row>
    <row r="14612" spans="3:5" x14ac:dyDescent="0.25">
      <c r="C14612" t="s">
        <v>27283</v>
      </c>
      <c r="D14612" t="s">
        <v>27284</v>
      </c>
      <c r="E14612" t="str">
        <f>HYPERLINK("https://patents.google.com/patent/US20030065557A1/en")</f>
        <v>https://patents.google.com/patent/US20030065557A1/en</v>
      </c>
    </row>
    <row r="14613" spans="3:5" x14ac:dyDescent="0.25">
      <c r="C14613" t="s">
        <v>27285</v>
      </c>
      <c r="D14613" t="s">
        <v>27286</v>
      </c>
      <c r="E14613" t="str">
        <f>HYPERLINK("https://patents.google.com/patent/US20030078818A1/en")</f>
        <v>https://patents.google.com/patent/US20030078818A1/en</v>
      </c>
    </row>
    <row r="14614" spans="3:5" x14ac:dyDescent="0.25">
      <c r="C14614" t="s">
        <v>27287</v>
      </c>
      <c r="D14614" t="s">
        <v>27288</v>
      </c>
      <c r="E14614" t="str">
        <f>HYPERLINK("https://patents.google.com/patent/US8548909B1/en")</f>
        <v>https://patents.google.com/patent/US8548909B1/en</v>
      </c>
    </row>
    <row r="14615" spans="3:5" x14ac:dyDescent="0.25">
      <c r="C14615" t="s">
        <v>27289</v>
      </c>
      <c r="D14615" t="s">
        <v>27290</v>
      </c>
      <c r="E14615" t="str">
        <f>HYPERLINK("https://patents.google.com/patent/CN1218355A/en")</f>
        <v>https://patents.google.com/patent/CN1218355A/en</v>
      </c>
    </row>
    <row r="14616" spans="3:5" x14ac:dyDescent="0.25">
      <c r="C14616" t="s">
        <v>27291</v>
      </c>
      <c r="D14616" t="s">
        <v>27292</v>
      </c>
      <c r="E14616" t="str">
        <f>HYPERLINK("https://patents.google.com/patent/US20030069786A1/en")</f>
        <v>https://patents.google.com/patent/US20030069786A1/en</v>
      </c>
    </row>
    <row r="14617" spans="3:5" x14ac:dyDescent="0.25">
      <c r="C14617" t="s">
        <v>27293</v>
      </c>
      <c r="D14617" t="s">
        <v>27294</v>
      </c>
      <c r="E14617" t="str">
        <f>HYPERLINK("https://patents.google.com/patent/US20130302763A1/en")</f>
        <v>https://patents.google.com/patent/US20130302763A1/en</v>
      </c>
    </row>
    <row r="14618" spans="3:5" x14ac:dyDescent="0.25">
      <c r="C14618" t="s">
        <v>27295</v>
      </c>
      <c r="D14618" t="s">
        <v>27296</v>
      </c>
      <c r="E14618" t="str">
        <f>HYPERLINK("https://patents.google.com/patent/US20030069767A1/en")</f>
        <v>https://patents.google.com/patent/US20030069767A1/en</v>
      </c>
    </row>
    <row r="14619" spans="3:5" x14ac:dyDescent="0.25">
      <c r="C14619" t="s">
        <v>27297</v>
      </c>
      <c r="D14619" t="s">
        <v>27298</v>
      </c>
      <c r="E14619" t="str">
        <f>HYPERLINK("https://patents.google.com/patent/US20030014299A1/en")</f>
        <v>https://patents.google.com/patent/US20030014299A1/en</v>
      </c>
    </row>
    <row r="14620" spans="3:5" x14ac:dyDescent="0.25">
      <c r="C14620" t="s">
        <v>27299</v>
      </c>
      <c r="D14620" t="s">
        <v>27300</v>
      </c>
      <c r="E14620" t="str">
        <f>HYPERLINK("https://patents.google.com/patent/US20030050845A1/en")</f>
        <v>https://patents.google.com/patent/US20030050845A1/en</v>
      </c>
    </row>
    <row r="14621" spans="3:5" x14ac:dyDescent="0.25">
      <c r="C14621" t="s">
        <v>27301</v>
      </c>
      <c r="D14621" t="s">
        <v>27302</v>
      </c>
      <c r="E14621" t="str">
        <f>HYPERLINK("https://patents.google.com/patent/US20030041001A1/en")</f>
        <v>https://patents.google.com/patent/US20030041001A1/en</v>
      </c>
    </row>
    <row r="14622" spans="3:5" x14ac:dyDescent="0.25">
      <c r="C14622" t="s">
        <v>27303</v>
      </c>
      <c r="D14622" t="s">
        <v>27304</v>
      </c>
      <c r="E14622" t="str">
        <f>HYPERLINK("https://patents.google.com/patent/US8628331B1/en")</f>
        <v>https://patents.google.com/patent/US8628331B1/en</v>
      </c>
    </row>
    <row r="14623" spans="3:5" x14ac:dyDescent="0.25">
      <c r="C14623" t="s">
        <v>27305</v>
      </c>
      <c r="D14623" t="s">
        <v>27306</v>
      </c>
      <c r="E14623" t="str">
        <f>HYPERLINK("https://patents.google.com/patent/US20030050868A1/en")</f>
        <v>https://patents.google.com/patent/US20030050868A1/en</v>
      </c>
    </row>
    <row r="14624" spans="3:5" x14ac:dyDescent="0.25">
      <c r="C14624" t="s">
        <v>27307</v>
      </c>
      <c r="D14624" t="s">
        <v>27308</v>
      </c>
      <c r="E14624" t="str">
        <f>HYPERLINK("https://patents.google.com/patent/US20030069798A1/en")</f>
        <v>https://patents.google.com/patent/US20030069798A1/en</v>
      </c>
    </row>
    <row r="14625" spans="3:5" x14ac:dyDescent="0.25">
      <c r="C14625" t="s">
        <v>27309</v>
      </c>
      <c r="D14625" t="s">
        <v>27310</v>
      </c>
      <c r="E14625" t="str">
        <f>HYPERLINK("https://patents.google.com/patent/US20030065541A1/en")</f>
        <v>https://patents.google.com/patent/US20030065541A1/en</v>
      </c>
    </row>
    <row r="14626" spans="3:5" x14ac:dyDescent="0.25">
      <c r="C14626" t="s">
        <v>27311</v>
      </c>
      <c r="D14626" t="s">
        <v>27312</v>
      </c>
      <c r="E14626" t="str">
        <f>HYPERLINK("https://patents.google.com/patent/US20030074263A1/en")</f>
        <v>https://patents.google.com/patent/US20030074263A1/en</v>
      </c>
    </row>
    <row r="14627" spans="3:5" x14ac:dyDescent="0.25">
      <c r="C14627" t="s">
        <v>27313</v>
      </c>
      <c r="D14627" t="s">
        <v>27314</v>
      </c>
      <c r="E14627" t="str">
        <f>HYPERLINK("https://patents.google.com/patent/US20030069794A1/en")</f>
        <v>https://patents.google.com/patent/US20030069794A1/en</v>
      </c>
    </row>
    <row r="14628" spans="3:5" x14ac:dyDescent="0.25">
      <c r="C14628" t="s">
        <v>27315</v>
      </c>
      <c r="D14628" t="s">
        <v>27316</v>
      </c>
      <c r="E14628" t="str">
        <f>HYPERLINK("https://patents.google.com/patent/US20140295786A1/en")</f>
        <v>https://patents.google.com/patent/US20140295786A1/en</v>
      </c>
    </row>
    <row r="14629" spans="3:5" x14ac:dyDescent="0.25">
      <c r="C14629" t="s">
        <v>27317</v>
      </c>
      <c r="D14629" t="s">
        <v>27318</v>
      </c>
      <c r="E14629" t="str">
        <f>HYPERLINK("https://patents.google.com/patent/US20030055710A1/en")</f>
        <v>https://patents.google.com/patent/US20030055710A1/en</v>
      </c>
    </row>
    <row r="14630" spans="3:5" x14ac:dyDescent="0.25">
      <c r="C14630" t="s">
        <v>27319</v>
      </c>
      <c r="D14630" t="s">
        <v>27320</v>
      </c>
      <c r="E14630" t="str">
        <f>HYPERLINK("https://patents.google.com/patent/US20090070133A1/en")</f>
        <v>https://patents.google.com/patent/US20090070133A1/en</v>
      </c>
    </row>
    <row r="14631" spans="3:5" x14ac:dyDescent="0.25">
      <c r="C14631" t="s">
        <v>27321</v>
      </c>
      <c r="D14631" t="s">
        <v>27322</v>
      </c>
      <c r="E14631" t="str">
        <f>HYPERLINK("https://patents.google.com/patent/WO2001001319A1/en")</f>
        <v>https://patents.google.com/patent/WO2001001319A1/en</v>
      </c>
    </row>
    <row r="14632" spans="3:5" x14ac:dyDescent="0.25">
      <c r="C14632" t="s">
        <v>27323</v>
      </c>
      <c r="D14632" t="s">
        <v>27324</v>
      </c>
      <c r="E14632" t="str">
        <f>HYPERLINK("https://patents.google.com/patent/US20150254058A1/en")</f>
        <v>https://patents.google.com/patent/US20150254058A1/en</v>
      </c>
    </row>
    <row r="14633" spans="3:5" x14ac:dyDescent="0.25">
      <c r="C14633" t="s">
        <v>27325</v>
      </c>
      <c r="D14633" t="s">
        <v>27326</v>
      </c>
      <c r="E14633" t="str">
        <f>HYPERLINK("https://patents.google.com/patent/US20140195345A1/en")</f>
        <v>https://patents.google.com/patent/US20140195345A1/en</v>
      </c>
    </row>
    <row r="14634" spans="3:5" x14ac:dyDescent="0.25">
      <c r="C14634" t="s">
        <v>27327</v>
      </c>
      <c r="D14634" t="s">
        <v>27328</v>
      </c>
      <c r="E14634" t="str">
        <f>HYPERLINK("https://patents.google.com/patent/US8128476B1/en")</f>
        <v>https://patents.google.com/patent/US8128476B1/en</v>
      </c>
    </row>
    <row r="14635" spans="3:5" x14ac:dyDescent="0.25">
      <c r="C14635" t="s">
        <v>27329</v>
      </c>
      <c r="D14635" t="s">
        <v>27330</v>
      </c>
      <c r="E14635" t="str">
        <f>HYPERLINK("https://patents.google.com/patent/WO2014144760A1/en")</f>
        <v>https://patents.google.com/patent/WO2014144760A1/en</v>
      </c>
    </row>
    <row r="14636" spans="3:5" x14ac:dyDescent="0.25">
      <c r="C14636" t="s">
        <v>27331</v>
      </c>
      <c r="D14636" t="s">
        <v>27332</v>
      </c>
      <c r="E14636" t="str">
        <f>HYPERLINK("https://patents.google.com/patent/WO2001009752A2/en")</f>
        <v>https://patents.google.com/patent/WO2001009752A2/en</v>
      </c>
    </row>
    <row r="14637" spans="3:5" x14ac:dyDescent="0.25">
      <c r="C14637" t="s">
        <v>27333</v>
      </c>
      <c r="D14637" t="s">
        <v>27334</v>
      </c>
      <c r="E14637" t="str">
        <f>HYPERLINK("https://patents.google.com/patent/WO2001093043A1/en")</f>
        <v>https://patents.google.com/patent/WO2001093043A1/en</v>
      </c>
    </row>
    <row r="14638" spans="3:5" x14ac:dyDescent="0.25">
      <c r="C14638" t="s">
        <v>27335</v>
      </c>
      <c r="D14638" t="s">
        <v>27336</v>
      </c>
      <c r="E14638" t="str">
        <f>HYPERLINK("https://patents.google.com/patent/US20030046214A1/en")</f>
        <v>https://patents.google.com/patent/US20030046214A1/en</v>
      </c>
    </row>
    <row r="14639" spans="3:5" x14ac:dyDescent="0.25">
      <c r="C14639" t="s">
        <v>27337</v>
      </c>
      <c r="D14639" t="s">
        <v>27338</v>
      </c>
      <c r="E14639" t="str">
        <f>HYPERLINK("https://patents.google.com/patent/US20110191697A1/en")</f>
        <v>https://patents.google.com/patent/US20110191697A1/en</v>
      </c>
    </row>
    <row r="14640" spans="3:5" x14ac:dyDescent="0.25">
      <c r="C14640" t="s">
        <v>27339</v>
      </c>
      <c r="D14640" t="s">
        <v>27340</v>
      </c>
      <c r="E14640" t="str">
        <f>HYPERLINK("https://patents.google.com/patent/US20030069779A1/en")</f>
        <v>https://patents.google.com/patent/US20030069779A1/en</v>
      </c>
    </row>
    <row r="14641" spans="3:5" x14ac:dyDescent="0.25">
      <c r="C14641" t="s">
        <v>27341</v>
      </c>
      <c r="D14641" t="s">
        <v>27342</v>
      </c>
      <c r="E14641" t="str">
        <f>HYPERLINK("https://patents.google.com/patent/US20030055700A1/en")</f>
        <v>https://patents.google.com/patent/US20030055700A1/en</v>
      </c>
    </row>
    <row r="14642" spans="3:5" x14ac:dyDescent="0.25">
      <c r="C14642" t="s">
        <v>27343</v>
      </c>
      <c r="D14642" t="s">
        <v>27344</v>
      </c>
      <c r="E14642" t="str">
        <f>HYPERLINK("https://patents.google.com/patent/GB2373117A/en")</f>
        <v>https://patents.google.com/patent/GB2373117A/en</v>
      </c>
    </row>
    <row r="14643" spans="3:5" x14ac:dyDescent="0.25">
      <c r="C14643" t="s">
        <v>27345</v>
      </c>
      <c r="D14643" t="s">
        <v>27346</v>
      </c>
      <c r="E14643" t="str">
        <f>HYPERLINK("https://patents.google.com/patent/US20120077518A1/en")</f>
        <v>https://patents.google.com/patent/US20120077518A1/en</v>
      </c>
    </row>
    <row r="14644" spans="3:5" x14ac:dyDescent="0.25">
      <c r="C14644" t="s">
        <v>27347</v>
      </c>
      <c r="D14644" t="s">
        <v>27348</v>
      </c>
      <c r="E14644" t="str">
        <f>HYPERLINK("https://patents.google.com/patent/WO2000067186A2/en")</f>
        <v>https://patents.google.com/patent/WO2000067186A2/en</v>
      </c>
    </row>
    <row r="14645" spans="3:5" x14ac:dyDescent="0.25">
      <c r="C14645" t="s">
        <v>27349</v>
      </c>
      <c r="D14645" t="s">
        <v>27350</v>
      </c>
      <c r="E14645" t="str">
        <f>HYPERLINK("https://patents.google.com/patent/US9554061B1/en")</f>
        <v>https://patents.google.com/patent/US9554061B1/en</v>
      </c>
    </row>
    <row r="14646" spans="3:5" x14ac:dyDescent="0.25">
      <c r="C14646" t="s">
        <v>27351</v>
      </c>
      <c r="D14646" t="s">
        <v>27352</v>
      </c>
      <c r="E14646" t="str">
        <f>HYPERLINK("https://patents.google.com/patent/WO2001016940A1/en")</f>
        <v>https://patents.google.com/patent/WO2001016940A1/en</v>
      </c>
    </row>
    <row r="14647" spans="3:5" x14ac:dyDescent="0.25">
      <c r="C14647" t="s">
        <v>27353</v>
      </c>
      <c r="D14647" t="s">
        <v>27354</v>
      </c>
      <c r="E14647" t="str">
        <f>HYPERLINK("https://patents.google.com/patent/WO2001046868A2/en")</f>
        <v>https://patents.google.com/patent/WO2001046868A2/en</v>
      </c>
    </row>
    <row r="14648" spans="3:5" x14ac:dyDescent="0.25">
      <c r="C14648" t="s">
        <v>27355</v>
      </c>
      <c r="D14648" t="s">
        <v>27356</v>
      </c>
      <c r="E14648" t="str">
        <f>HYPERLINK("https://patents.google.com/patent/CN1501329A/en")</f>
        <v>https://patents.google.com/patent/CN1501329A/en</v>
      </c>
    </row>
    <row r="14649" spans="3:5" x14ac:dyDescent="0.25">
      <c r="C14649" t="s">
        <v>27357</v>
      </c>
      <c r="D14649" t="s">
        <v>27358</v>
      </c>
      <c r="E14649" t="str">
        <f>HYPERLINK("https://patents.google.com/patent/CN101834837A/en")</f>
        <v>https://patents.google.com/patent/CN101834837A/en</v>
      </c>
    </row>
    <row r="14650" spans="3:5" x14ac:dyDescent="0.25">
      <c r="C14650" t="s">
        <v>27359</v>
      </c>
      <c r="D14650" t="s">
        <v>27360</v>
      </c>
      <c r="E14650" t="str">
        <f>HYPERLINK("https://patents.google.com/patent/CN104751527A/en")</f>
        <v>https://patents.google.com/patent/CN104751527A/en</v>
      </c>
    </row>
    <row r="14651" spans="3:5" x14ac:dyDescent="0.25">
      <c r="C14651" t="s">
        <v>27361</v>
      </c>
      <c r="D14651" t="s">
        <v>27362</v>
      </c>
      <c r="E14651" t="str">
        <f>HYPERLINK("https://patents.google.com/patent/EP1275222B1/en")</f>
        <v>https://patents.google.com/patent/EP1275222B1/en</v>
      </c>
    </row>
    <row r="14652" spans="3:5" x14ac:dyDescent="0.25">
      <c r="C14652" t="s">
        <v>27363</v>
      </c>
      <c r="D14652" t="s">
        <v>27364</v>
      </c>
      <c r="E14652" t="str">
        <f>HYPERLINK("https://patents.google.com/patent/WO2001010082A2/en")</f>
        <v>https://patents.google.com/patent/WO2001010082A2/en</v>
      </c>
    </row>
    <row r="14653" spans="3:5" x14ac:dyDescent="0.25">
      <c r="C14653" t="s">
        <v>27365</v>
      </c>
      <c r="D14653" t="s">
        <v>27366</v>
      </c>
      <c r="E14653" t="str">
        <f>HYPERLINK("https://patents.google.com/patent/CN1786668A/en")</f>
        <v>https://patents.google.com/patent/CN1786668A/en</v>
      </c>
    </row>
    <row r="14654" spans="3:5" x14ac:dyDescent="0.25">
      <c r="C14654" t="s">
        <v>27367</v>
      </c>
      <c r="D14654" t="s">
        <v>27368</v>
      </c>
      <c r="E14654" t="str">
        <f>HYPERLINK("https://patents.google.com/patent/WO1997002167A1/en")</f>
        <v>https://patents.google.com/patent/WO1997002167A1/en</v>
      </c>
    </row>
    <row r="14655" spans="3:5" x14ac:dyDescent="0.25">
      <c r="C14655" t="s">
        <v>26291</v>
      </c>
      <c r="D14655" t="s">
        <v>27369</v>
      </c>
      <c r="E14655" t="str">
        <f>HYPERLINK("https://patents.google.com/patent/USRE44559E1/en")</f>
        <v>https://patents.google.com/patent/USRE44559E1/en</v>
      </c>
    </row>
    <row r="14656" spans="3:5" x14ac:dyDescent="0.25">
      <c r="C14656" t="s">
        <v>27370</v>
      </c>
      <c r="D14656" t="s">
        <v>27371</v>
      </c>
      <c r="E14656" t="str">
        <f>HYPERLINK("https://patents.google.com/patent/WO2001035714A2/en")</f>
        <v>https://patents.google.com/patent/WO2001035714A2/en</v>
      </c>
    </row>
    <row r="14657" spans="3:5" x14ac:dyDescent="0.25">
      <c r="C14657" t="s">
        <v>27372</v>
      </c>
      <c r="D14657" t="s">
        <v>27373</v>
      </c>
      <c r="E14657" t="str">
        <f>HYPERLINK("https://patents.google.com/patent/WO2001000485A1/en")</f>
        <v>https://patents.google.com/patent/WO2001000485A1/en</v>
      </c>
    </row>
    <row r="14658" spans="3:5" x14ac:dyDescent="0.25">
      <c r="C14658" t="s">
        <v>27374</v>
      </c>
      <c r="D14658" t="s">
        <v>27375</v>
      </c>
      <c r="E14658" t="str">
        <f>HYPERLINK("https://patents.google.com/patent/US20160379486A1/en")</f>
        <v>https://patents.google.com/patent/US20160379486A1/en</v>
      </c>
    </row>
    <row r="14659" spans="3:5" x14ac:dyDescent="0.25">
      <c r="C14659" t="s">
        <v>27376</v>
      </c>
      <c r="D14659" t="s">
        <v>27377</v>
      </c>
      <c r="E14659" t="str">
        <f>HYPERLINK("https://patents.google.com/patent/WO2001046846A2/en")</f>
        <v>https://patents.google.com/patent/WO2001046846A2/en</v>
      </c>
    </row>
    <row r="14660" spans="3:5" x14ac:dyDescent="0.25">
      <c r="C14660" t="s">
        <v>27378</v>
      </c>
      <c r="D14660" t="s">
        <v>27379</v>
      </c>
      <c r="E14660" t="str">
        <f>HYPERLINK("https://patents.google.com/patent/KR19990088682A/en")</f>
        <v>https://patents.google.com/patent/KR19990088682A/en</v>
      </c>
    </row>
    <row r="14661" spans="3:5" x14ac:dyDescent="0.25">
      <c r="C14661" t="s">
        <v>27380</v>
      </c>
      <c r="D14661" t="s">
        <v>27381</v>
      </c>
      <c r="E14661" t="str">
        <f>HYPERLINK("https://patents.google.com/patent/RU2422081C2/en")</f>
        <v>https://patents.google.com/patent/RU2422081C2/en</v>
      </c>
    </row>
    <row r="14662" spans="3:5" x14ac:dyDescent="0.25">
      <c r="C14662" t="s">
        <v>27382</v>
      </c>
      <c r="D14662" t="s">
        <v>27383</v>
      </c>
      <c r="E14662" t="str">
        <f>HYPERLINK("https://patents.google.com/patent/KR20050102087A/en")</f>
        <v>https://patents.google.com/patent/KR20050102087A/en</v>
      </c>
    </row>
    <row r="14663" spans="3:5" x14ac:dyDescent="0.25">
      <c r="C14663" t="s">
        <v>27384</v>
      </c>
      <c r="D14663" t="s">
        <v>27385</v>
      </c>
      <c r="E14663" t="str">
        <f>HYPERLINK("https://patents.google.com/patent/WO2001046889A2/en")</f>
        <v>https://patents.google.com/patent/WO2001046889A2/en</v>
      </c>
    </row>
    <row r="14664" spans="3:5" x14ac:dyDescent="0.25">
      <c r="C14664" t="s">
        <v>27386</v>
      </c>
      <c r="D14664" t="s">
        <v>27387</v>
      </c>
      <c r="E14664" t="str">
        <f>HYPERLINK("https://patents.google.com/patent/US20150203184A1/en")</f>
        <v>https://patents.google.com/patent/US20150203184A1/en</v>
      </c>
    </row>
    <row r="14665" spans="3:5" x14ac:dyDescent="0.25">
      <c r="C14665" t="s">
        <v>27388</v>
      </c>
      <c r="D14665" t="s">
        <v>27389</v>
      </c>
      <c r="E14665" t="str">
        <f>HYPERLINK("https://patents.google.com/patent/US20140316813A1/en")</f>
        <v>https://patents.google.com/patent/US20140316813A1/en</v>
      </c>
    </row>
    <row r="14666" spans="3:5" x14ac:dyDescent="0.25">
      <c r="C14666" t="s">
        <v>27390</v>
      </c>
      <c r="D14666" t="s">
        <v>27391</v>
      </c>
      <c r="E14666" t="str">
        <f>HYPERLINK("https://patents.google.com/patent/DE102009021783A1/en")</f>
        <v>https://patents.google.com/patent/DE102009021783A1/en</v>
      </c>
    </row>
    <row r="14667" spans="3:5" x14ac:dyDescent="0.25">
      <c r="C14667" t="s">
        <v>27392</v>
      </c>
      <c r="D14667" t="s">
        <v>27393</v>
      </c>
      <c r="E14667" t="str">
        <f>HYPERLINK("https://patents.google.com/patent/CN102332219A/en")</f>
        <v>https://patents.google.com/patent/CN102332219A/en</v>
      </c>
    </row>
    <row r="14668" spans="3:5" x14ac:dyDescent="0.25">
      <c r="C14668" t="s">
        <v>27394</v>
      </c>
      <c r="D14668" t="s">
        <v>27395</v>
      </c>
      <c r="E14668" t="str">
        <f>HYPERLINK("https://patents.google.com/patent/CN1826453A/en")</f>
        <v>https://patents.google.com/patent/CN1826453A/en</v>
      </c>
    </row>
    <row r="14669" spans="3:5" x14ac:dyDescent="0.25">
      <c r="C14669" t="s">
        <v>27396</v>
      </c>
      <c r="D14669" t="s">
        <v>27397</v>
      </c>
      <c r="E14669" t="str">
        <f>HYPERLINK("https://patents.google.com/patent/US20110274523A1/en")</f>
        <v>https://patents.google.com/patent/US20110274523A1/en</v>
      </c>
    </row>
    <row r="14670" spans="3:5" x14ac:dyDescent="0.25">
      <c r="C14670" t="s">
        <v>27398</v>
      </c>
      <c r="D14670" t="s">
        <v>27399</v>
      </c>
      <c r="E14670" t="str">
        <f>HYPERLINK("https://patents.google.com/patent/KR101831264B1/en")</f>
        <v>https://patents.google.com/patent/KR101831264B1/en</v>
      </c>
    </row>
    <row r="14671" spans="3:5" x14ac:dyDescent="0.25">
      <c r="C14671" t="s">
        <v>27400</v>
      </c>
      <c r="D14671" t="s">
        <v>27401</v>
      </c>
      <c r="E14671" t="str">
        <f>HYPERLINK("https://patents.google.com/patent/WO2003079271A1/en")</f>
        <v>https://patents.google.com/patent/WO2003079271A1/en</v>
      </c>
    </row>
    <row r="14672" spans="3:5" x14ac:dyDescent="0.25">
      <c r="C14672" t="s">
        <v>27402</v>
      </c>
      <c r="D14672" t="s">
        <v>27403</v>
      </c>
      <c r="E14672" t="str">
        <f>HYPERLINK("https://patents.google.com/patent/JP2006030208A/en")</f>
        <v>https://patents.google.com/patent/JP2006030208A/en</v>
      </c>
    </row>
    <row r="14673" spans="3:5" x14ac:dyDescent="0.25">
      <c r="C14673" t="s">
        <v>27404</v>
      </c>
      <c r="D14673" t="s">
        <v>27405</v>
      </c>
      <c r="E14673" t="str">
        <f>HYPERLINK("https://patents.google.com/patent/CN105338476A/en")</f>
        <v>https://patents.google.com/patent/CN105338476A/en</v>
      </c>
    </row>
    <row r="14674" spans="3:5" x14ac:dyDescent="0.25">
      <c r="C14674" t="s">
        <v>27406</v>
      </c>
      <c r="D14674" t="s">
        <v>27407</v>
      </c>
      <c r="E14674" t="str">
        <f>HYPERLINK("https://patents.google.com/patent/US9492343B1/en")</f>
        <v>https://patents.google.com/patent/US9492343B1/en</v>
      </c>
    </row>
    <row r="14675" spans="3:5" x14ac:dyDescent="0.25">
      <c r="C14675" t="s">
        <v>27408</v>
      </c>
      <c r="D14675" t="s">
        <v>27409</v>
      </c>
      <c r="E14675" t="str">
        <f>HYPERLINK("https://patents.google.com/patent/US9719801B1/en")</f>
        <v>https://patents.google.com/patent/US9719801B1/en</v>
      </c>
    </row>
    <row r="14676" spans="3:5" x14ac:dyDescent="0.25">
      <c r="C14676" t="s">
        <v>27410</v>
      </c>
      <c r="D14676" t="s">
        <v>27411</v>
      </c>
      <c r="E14676" t="str">
        <f>HYPERLINK("https://patents.google.com/patent/CN102664897B/en")</f>
        <v>https://patents.google.com/patent/CN102664897B/en</v>
      </c>
    </row>
    <row r="14677" spans="3:5" x14ac:dyDescent="0.25">
      <c r="C14677" t="s">
        <v>27412</v>
      </c>
      <c r="D14677" t="s">
        <v>27413</v>
      </c>
      <c r="E14677" t="str">
        <f>HYPERLINK("https://patents.google.com/patent/CN101819610A/en")</f>
        <v>https://patents.google.com/patent/CN101819610A/en</v>
      </c>
    </row>
    <row r="14678" spans="3:5" x14ac:dyDescent="0.25">
      <c r="C14678" t="s">
        <v>27414</v>
      </c>
      <c r="D14678" t="s">
        <v>27415</v>
      </c>
      <c r="E14678" t="str">
        <f>HYPERLINK("https://patents.google.com/patent/US20090171572A1/en")</f>
        <v>https://patents.google.com/patent/US20090171572A1/en</v>
      </c>
    </row>
    <row r="14679" spans="3:5" x14ac:dyDescent="0.25">
      <c r="C14679" t="s">
        <v>27416</v>
      </c>
      <c r="D14679" t="s">
        <v>27417</v>
      </c>
      <c r="E14679" t="str">
        <f>HYPERLINK("https://patents.google.com/patent/US20170192089A1/en")</f>
        <v>https://patents.google.com/patent/US20170192089A1/en</v>
      </c>
    </row>
    <row r="14680" spans="3:5" x14ac:dyDescent="0.25">
      <c r="C14680" t="s">
        <v>27418</v>
      </c>
      <c r="D14680" t="s">
        <v>27419</v>
      </c>
      <c r="E14680" t="str">
        <f>HYPERLINK("https://patents.google.com/patent/RU2546604C2/en")</f>
        <v>https://patents.google.com/patent/RU2546604C2/en</v>
      </c>
    </row>
    <row r="14681" spans="3:5" x14ac:dyDescent="0.25">
      <c r="C14681" t="s">
        <v>27420</v>
      </c>
      <c r="D14681" t="s">
        <v>27421</v>
      </c>
      <c r="E14681" t="str">
        <f>HYPERLINK("https://patents.google.com/patent/DE202008005694U1/en")</f>
        <v>https://patents.google.com/patent/DE202008005694U1/en</v>
      </c>
    </row>
    <row r="14682" spans="3:5" x14ac:dyDescent="0.25">
      <c r="C14682" t="s">
        <v>27422</v>
      </c>
      <c r="D14682" t="s">
        <v>27423</v>
      </c>
      <c r="E14682" t="str">
        <f>HYPERLINK("https://patents.google.com/patent/US9540091B1/en")</f>
        <v>https://patents.google.com/patent/US9540091B1/en</v>
      </c>
    </row>
    <row r="14683" spans="3:5" x14ac:dyDescent="0.25">
      <c r="C14683" t="s">
        <v>27424</v>
      </c>
      <c r="D14683" t="s">
        <v>27425</v>
      </c>
      <c r="E14683" t="str">
        <f>HYPERLINK("https://patents.google.com/patent/US20170195561A1/en")</f>
        <v>https://patents.google.com/patent/US20170195561A1/en</v>
      </c>
    </row>
    <row r="14684" spans="3:5" x14ac:dyDescent="0.25">
      <c r="C14684" t="s">
        <v>27406</v>
      </c>
      <c r="D14684" t="s">
        <v>27426</v>
      </c>
      <c r="E14684" t="str">
        <f>HYPERLINK("https://patents.google.com/patent/US9770382B1/en")</f>
        <v>https://patents.google.com/patent/US9770382B1/en</v>
      </c>
    </row>
    <row r="14685" spans="3:5" x14ac:dyDescent="0.25">
      <c r="C14685" t="s">
        <v>27427</v>
      </c>
      <c r="D14685" t="s">
        <v>27428</v>
      </c>
      <c r="E14685" t="str">
        <f>HYPERLINK("https://patents.google.com/patent/CN104575103A/en")</f>
        <v>https://patents.google.com/patent/CN104575103A/en</v>
      </c>
    </row>
    <row r="14686" spans="3:5" x14ac:dyDescent="0.25">
      <c r="C14686" t="s">
        <v>27429</v>
      </c>
      <c r="D14686" t="s">
        <v>27430</v>
      </c>
      <c r="E14686" t="str">
        <f>HYPERLINK("https://patents.google.com/patent/DE69732755T2/en")</f>
        <v>https://patents.google.com/patent/DE69732755T2/en</v>
      </c>
    </row>
    <row r="14687" spans="3:5" x14ac:dyDescent="0.25">
      <c r="C14687" t="s">
        <v>27431</v>
      </c>
      <c r="D14687" t="s">
        <v>27432</v>
      </c>
      <c r="E14687" t="str">
        <f>HYPERLINK("https://patents.google.com/patent/US20160073023A1/en")</f>
        <v>https://patents.google.com/patent/US20160073023A1/en</v>
      </c>
    </row>
    <row r="14688" spans="3:5" x14ac:dyDescent="0.25">
      <c r="C14688" t="s">
        <v>27433</v>
      </c>
      <c r="D14688" t="s">
        <v>27434</v>
      </c>
      <c r="E14688" t="str">
        <f>HYPERLINK("https://patents.google.com/patent/US20110119153A1/en")</f>
        <v>https://patents.google.com/patent/US20110119153A1/en</v>
      </c>
    </row>
    <row r="14689" spans="3:5" x14ac:dyDescent="0.25">
      <c r="C14689" t="s">
        <v>27435</v>
      </c>
      <c r="D14689" t="s">
        <v>27436</v>
      </c>
      <c r="E14689" t="str">
        <f>HYPERLINK("https://patents.google.com/patent/CN104574939A/en")</f>
        <v>https://patents.google.com/patent/CN104574939A/en</v>
      </c>
    </row>
    <row r="14690" spans="3:5" x14ac:dyDescent="0.25">
      <c r="C14690" t="s">
        <v>27437</v>
      </c>
      <c r="D14690" t="s">
        <v>27438</v>
      </c>
      <c r="E14690" t="str">
        <f>HYPERLINK("https://patents.google.com/patent/KR101489315B1/en")</f>
        <v>https://patents.google.com/patent/KR101489315B1/en</v>
      </c>
    </row>
    <row r="14691" spans="3:5" x14ac:dyDescent="0.25">
      <c r="C14691" t="s">
        <v>27439</v>
      </c>
      <c r="D14691" t="s">
        <v>27440</v>
      </c>
      <c r="E14691" t="str">
        <f>HYPERLINK("https://patents.google.com/patent/CN108622432A/en")</f>
        <v>https://patents.google.com/patent/CN108622432A/en</v>
      </c>
    </row>
    <row r="14692" spans="3:5" x14ac:dyDescent="0.25">
      <c r="C14692" t="s">
        <v>27441</v>
      </c>
      <c r="D14692" t="s">
        <v>27442</v>
      </c>
      <c r="E14692" t="str">
        <f>HYPERLINK("https://patents.google.com/patent/CN101075395A/en")</f>
        <v>https://patents.google.com/patent/CN101075395A/en</v>
      </c>
    </row>
    <row r="14693" spans="3:5" x14ac:dyDescent="0.25">
      <c r="C14693" t="s">
        <v>25308</v>
      </c>
      <c r="D14693" t="s">
        <v>27443</v>
      </c>
      <c r="E14693" t="str">
        <f>HYPERLINK("https://patents.google.com/patent/EP3371772A1/en")</f>
        <v>https://patents.google.com/patent/EP3371772A1/en</v>
      </c>
    </row>
    <row r="14694" spans="3:5" x14ac:dyDescent="0.25">
      <c r="C14694" t="s">
        <v>27444</v>
      </c>
      <c r="D14694" t="s">
        <v>27445</v>
      </c>
      <c r="E14694" t="str">
        <f>HYPERLINK("https://patents.google.com/patent/KR20060052717A/en")</f>
        <v>https://patents.google.com/patent/KR20060052717A/en</v>
      </c>
    </row>
    <row r="14695" spans="3:5" x14ac:dyDescent="0.25">
      <c r="C14695" t="s">
        <v>27446</v>
      </c>
      <c r="D14695" t="s">
        <v>27447</v>
      </c>
      <c r="E14695" t="str">
        <f>HYPERLINK("https://patents.google.com/patent/CN106470216A/en")</f>
        <v>https://patents.google.com/patent/CN106470216A/en</v>
      </c>
    </row>
    <row r="14696" spans="3:5" x14ac:dyDescent="0.25">
      <c r="C14696" t="s">
        <v>27448</v>
      </c>
      <c r="D14696" t="s">
        <v>27449</v>
      </c>
      <c r="E14696" t="str">
        <f>HYPERLINK("https://patents.google.com/patent/CN106470395A/en")</f>
        <v>https://patents.google.com/patent/CN106470395A/en</v>
      </c>
    </row>
    <row r="14697" spans="3:5" x14ac:dyDescent="0.25">
      <c r="C14697" t="s">
        <v>9344</v>
      </c>
      <c r="D14697" t="s">
        <v>27450</v>
      </c>
      <c r="E14697" t="str">
        <f>HYPERLINK("https://patents.google.com/patent/CN105683699A/en")</f>
        <v>https://patents.google.com/patent/CN105683699A/en</v>
      </c>
    </row>
    <row r="14698" spans="3:5" x14ac:dyDescent="0.25">
      <c r="C14698" t="s">
        <v>27451</v>
      </c>
      <c r="D14698" t="s">
        <v>27452</v>
      </c>
      <c r="E14698" t="str">
        <f>HYPERLINK("https://patents.google.com/patent/CN101268656B/en")</f>
        <v>https://patents.google.com/patent/CN101268656B/en</v>
      </c>
    </row>
    <row r="14699" spans="3:5" x14ac:dyDescent="0.25">
      <c r="C14699" t="s">
        <v>27453</v>
      </c>
      <c r="D14699" t="s">
        <v>27454</v>
      </c>
      <c r="E14699" t="str">
        <f>HYPERLINK("https://patents.google.com/patent/US20170331177A1/en")</f>
        <v>https://patents.google.com/patent/US20170331177A1/en</v>
      </c>
    </row>
    <row r="14700" spans="3:5" x14ac:dyDescent="0.25">
      <c r="C14700" t="s">
        <v>27455</v>
      </c>
      <c r="D14700" t="s">
        <v>27456</v>
      </c>
      <c r="E14700" t="str">
        <f>HYPERLINK("https://patents.google.com/patent/KR20170028357A/en")</f>
        <v>https://patents.google.com/patent/KR20170028357A/en</v>
      </c>
    </row>
    <row r="14701" spans="3:5" x14ac:dyDescent="0.25">
      <c r="C14701" t="s">
        <v>27457</v>
      </c>
      <c r="D14701" t="s">
        <v>27458</v>
      </c>
      <c r="E14701" t="str">
        <f>HYPERLINK("https://patents.google.com/patent/CN107113022A/en")</f>
        <v>https://patents.google.com/patent/CN107113022A/en</v>
      </c>
    </row>
    <row r="14702" spans="3:5" x14ac:dyDescent="0.25">
      <c r="C14702" t="s">
        <v>27459</v>
      </c>
      <c r="D14702" t="s">
        <v>27460</v>
      </c>
      <c r="E14702" t="str">
        <f>HYPERLINK("https://patents.google.com/patent/CN106469339A/en")</f>
        <v>https://patents.google.com/patent/CN106469339A/en</v>
      </c>
    </row>
    <row r="14703" spans="3:5" x14ac:dyDescent="0.25">
      <c r="C14703" t="s">
        <v>27461</v>
      </c>
      <c r="D14703" t="s">
        <v>27462</v>
      </c>
      <c r="E14703" t="str">
        <f>HYPERLINK("https://patents.google.com/patent/CN108364494A/en")</f>
        <v>https://patents.google.com/patent/CN108364494A/en</v>
      </c>
    </row>
    <row r="14704" spans="3:5" x14ac:dyDescent="0.25">
      <c r="C14704" t="s">
        <v>27463</v>
      </c>
      <c r="D14704" t="s">
        <v>27464</v>
      </c>
      <c r="E14704" t="str">
        <f>HYPERLINK("https://patents.google.com/patent/CN100588166C/en")</f>
        <v>https://patents.google.com/patent/CN100588166C/en</v>
      </c>
    </row>
    <row r="14705" spans="1:5" x14ac:dyDescent="0.25">
      <c r="C14705" t="s">
        <v>27465</v>
      </c>
      <c r="D14705" t="s">
        <v>27466</v>
      </c>
      <c r="E14705" t="str">
        <f>HYPERLINK("https://patents.google.com/patent/CN105473471B/en")</f>
        <v>https://patents.google.com/patent/CN105473471B/en</v>
      </c>
    </row>
    <row r="14706" spans="1:5" x14ac:dyDescent="0.25">
      <c r="A14706" t="s">
        <v>4321</v>
      </c>
      <c r="B14706">
        <v>54</v>
      </c>
    </row>
    <row r="14707" spans="1:5" x14ac:dyDescent="0.25">
      <c r="C14707" t="s">
        <v>27467</v>
      </c>
      <c r="D14707" t="s">
        <v>27468</v>
      </c>
      <c r="E14707" t="str">
        <f>HYPERLINK("https://patents.google.com/patent/US7552467B2/en")</f>
        <v>https://patents.google.com/patent/US7552467B2/en</v>
      </c>
    </row>
    <row r="14708" spans="1:5" x14ac:dyDescent="0.25">
      <c r="C14708" t="s">
        <v>27469</v>
      </c>
      <c r="D14708" t="s">
        <v>27470</v>
      </c>
      <c r="E14708" t="str">
        <f>HYPERLINK("https://patents.google.com/patent/US20110010297A1/en")</f>
        <v>https://patents.google.com/patent/US20110010297A1/en</v>
      </c>
    </row>
    <row r="14709" spans="1:5" x14ac:dyDescent="0.25">
      <c r="C14709" t="s">
        <v>27471</v>
      </c>
      <c r="D14709" t="s">
        <v>27472</v>
      </c>
      <c r="E14709" t="str">
        <f>HYPERLINK("https://patents.google.com/patent/US20070042329A1/en")</f>
        <v>https://patents.google.com/patent/US20070042329A1/en</v>
      </c>
    </row>
    <row r="14710" spans="1:5" x14ac:dyDescent="0.25">
      <c r="C14710" t="s">
        <v>27473</v>
      </c>
      <c r="D14710" t="s">
        <v>27474</v>
      </c>
      <c r="E14710" t="str">
        <f>HYPERLINK("https://patents.google.com/patent/US9145067B1/en")</f>
        <v>https://patents.google.com/patent/US9145067B1/en</v>
      </c>
    </row>
    <row r="14711" spans="1:5" x14ac:dyDescent="0.25">
      <c r="C14711" t="s">
        <v>27475</v>
      </c>
      <c r="D14711" t="s">
        <v>27476</v>
      </c>
      <c r="E14711" t="str">
        <f>HYPERLINK("https://patents.google.com/patent/US20160314429A1/en")</f>
        <v>https://patents.google.com/patent/US20160314429A1/en</v>
      </c>
    </row>
    <row r="14712" spans="1:5" x14ac:dyDescent="0.25">
      <c r="C14712" t="s">
        <v>27477</v>
      </c>
      <c r="D14712" t="s">
        <v>27478</v>
      </c>
      <c r="E14712" t="str">
        <f>HYPERLINK("https://patents.google.com/patent/JP2015032312A/en")</f>
        <v>https://patents.google.com/patent/JP2015032312A/en</v>
      </c>
    </row>
    <row r="14713" spans="1:5" x14ac:dyDescent="0.25">
      <c r="C14713" t="s">
        <v>27479</v>
      </c>
      <c r="D14713" t="s">
        <v>27480</v>
      </c>
      <c r="E14713" t="str">
        <f>HYPERLINK("https://patents.google.com/patent/US20080270193A1/en")</f>
        <v>https://patents.google.com/patent/US20080270193A1/en</v>
      </c>
    </row>
    <row r="14714" spans="1:5" x14ac:dyDescent="0.25">
      <c r="C14714" t="s">
        <v>27481</v>
      </c>
      <c r="D14714" t="s">
        <v>27482</v>
      </c>
      <c r="E14714" t="str">
        <f>HYPERLINK("https://patents.google.com/patent/DE202015102562U1/en")</f>
        <v>https://patents.google.com/patent/DE202015102562U1/en</v>
      </c>
    </row>
    <row r="14715" spans="1:5" x14ac:dyDescent="0.25">
      <c r="C14715" t="s">
        <v>27483</v>
      </c>
      <c r="D14715" t="s">
        <v>27484</v>
      </c>
      <c r="E14715" t="str">
        <f>HYPERLINK("https://patents.google.com/patent/US9947221B1/en")</f>
        <v>https://patents.google.com/patent/US9947221B1/en</v>
      </c>
    </row>
    <row r="14716" spans="1:5" x14ac:dyDescent="0.25">
      <c r="C14716" t="s">
        <v>27485</v>
      </c>
      <c r="D14716" t="s">
        <v>27486</v>
      </c>
      <c r="E14716" t="str">
        <f>HYPERLINK("https://patents.google.com/patent/KR101720949B1/en")</f>
        <v>https://patents.google.com/patent/KR101720949B1/en</v>
      </c>
    </row>
    <row r="14717" spans="1:5" x14ac:dyDescent="0.25">
      <c r="C14717" t="s">
        <v>27487</v>
      </c>
      <c r="D14717" t="s">
        <v>27488</v>
      </c>
      <c r="E14717" t="str">
        <f>HYPERLINK("https://patents.google.com/patent/KR101721392B1/en")</f>
        <v>https://patents.google.com/patent/KR101721392B1/en</v>
      </c>
    </row>
    <row r="14718" spans="1:5" x14ac:dyDescent="0.25">
      <c r="C14718" t="s">
        <v>27489</v>
      </c>
      <c r="D14718" t="s">
        <v>27490</v>
      </c>
      <c r="E14718" t="str">
        <f>HYPERLINK("https://patents.google.com/patent/KR101879366B1/en")</f>
        <v>https://patents.google.com/patent/KR101879366B1/en</v>
      </c>
    </row>
    <row r="14719" spans="1:5" x14ac:dyDescent="0.25">
      <c r="C14719" t="s">
        <v>27491</v>
      </c>
      <c r="D14719" t="s">
        <v>27492</v>
      </c>
      <c r="E14719" t="str">
        <f>HYPERLINK("https://patents.google.com/patent/WO2017054956A1/en")</f>
        <v>https://patents.google.com/patent/WO2017054956A1/en</v>
      </c>
    </row>
    <row r="14720" spans="1:5" x14ac:dyDescent="0.25">
      <c r="C14720" t="s">
        <v>27493</v>
      </c>
      <c r="D14720" t="s">
        <v>27494</v>
      </c>
      <c r="E14720" t="str">
        <f>HYPERLINK("https://patents.google.com/patent/CN102381421A/en")</f>
        <v>https://patents.google.com/patent/CN102381421A/en</v>
      </c>
    </row>
    <row r="14721" spans="3:5" x14ac:dyDescent="0.25">
      <c r="C14721" t="s">
        <v>27495</v>
      </c>
      <c r="D14721" t="s">
        <v>27496</v>
      </c>
      <c r="E14721" t="str">
        <f>HYPERLINK("https://patents.google.com/patent/CN106515945A/en")</f>
        <v>https://patents.google.com/patent/CN106515945A/en</v>
      </c>
    </row>
    <row r="14722" spans="3:5" x14ac:dyDescent="0.25">
      <c r="C14722" t="s">
        <v>27497</v>
      </c>
      <c r="D14722" t="s">
        <v>27498</v>
      </c>
      <c r="E14722" t="str">
        <f>HYPERLINK("https://patents.google.com/patent/CN106379460A/en")</f>
        <v>https://patents.google.com/patent/CN106379460A/en</v>
      </c>
    </row>
    <row r="14723" spans="3:5" x14ac:dyDescent="0.25">
      <c r="C14723" t="s">
        <v>27499</v>
      </c>
      <c r="D14723" t="s">
        <v>27500</v>
      </c>
      <c r="E14723" t="str">
        <f>HYPERLINK("https://patents.google.com/patent/CN103372301B/en")</f>
        <v>https://patents.google.com/patent/CN103372301B/en</v>
      </c>
    </row>
    <row r="14724" spans="3:5" x14ac:dyDescent="0.25">
      <c r="C14724" t="s">
        <v>27501</v>
      </c>
      <c r="D14724" t="s">
        <v>27502</v>
      </c>
      <c r="E14724" t="str">
        <f>HYPERLINK("https://patents.google.com/patent/KR20170136417A/en")</f>
        <v>https://patents.google.com/patent/KR20170136417A/en</v>
      </c>
    </row>
    <row r="14725" spans="3:5" x14ac:dyDescent="0.25">
      <c r="C14725" t="s">
        <v>27503</v>
      </c>
      <c r="D14725" t="s">
        <v>27504</v>
      </c>
      <c r="E14725" t="str">
        <f>HYPERLINK("https://patents.google.com/patent/KR20110005911A/en")</f>
        <v>https://patents.google.com/patent/KR20110005911A/en</v>
      </c>
    </row>
    <row r="14726" spans="3:5" x14ac:dyDescent="0.25">
      <c r="C14726" t="s">
        <v>27505</v>
      </c>
      <c r="D14726" t="s">
        <v>27506</v>
      </c>
      <c r="E14726" t="str">
        <f>HYPERLINK("https://patents.google.com/patent/CN107804388A/en")</f>
        <v>https://patents.google.com/patent/CN107804388A/en</v>
      </c>
    </row>
    <row r="14727" spans="3:5" x14ac:dyDescent="0.25">
      <c r="C14727" t="s">
        <v>27507</v>
      </c>
      <c r="D14727" t="s">
        <v>27508</v>
      </c>
      <c r="E14727" t="str">
        <f>HYPERLINK("https://patents.google.com/patent/US20170372192A1/en")</f>
        <v>https://patents.google.com/patent/US20170372192A1/en</v>
      </c>
    </row>
    <row r="14728" spans="3:5" x14ac:dyDescent="0.25">
      <c r="C14728" t="s">
        <v>27509</v>
      </c>
      <c r="D14728" t="s">
        <v>27510</v>
      </c>
      <c r="E14728" t="str">
        <f>HYPERLINK("https://patents.google.com/patent/US20180047057A1/en")</f>
        <v>https://patents.google.com/patent/US20180047057A1/en</v>
      </c>
    </row>
    <row r="14729" spans="3:5" x14ac:dyDescent="0.25">
      <c r="C14729" t="s">
        <v>27493</v>
      </c>
      <c r="D14729" t="s">
        <v>27511</v>
      </c>
      <c r="E14729" t="str">
        <f>HYPERLINK("https://patents.google.com/patent/CN102381415A/en")</f>
        <v>https://patents.google.com/patent/CN102381415A/en</v>
      </c>
    </row>
    <row r="14730" spans="3:5" x14ac:dyDescent="0.25">
      <c r="C14730" t="s">
        <v>27512</v>
      </c>
      <c r="D14730" t="s">
        <v>27513</v>
      </c>
      <c r="E14730" t="str">
        <f>HYPERLINK("https://patents.google.com/patent/KR20180000543U/en")</f>
        <v>https://patents.google.com/patent/KR20180000543U/en</v>
      </c>
    </row>
    <row r="14731" spans="3:5" x14ac:dyDescent="0.25">
      <c r="C14731" t="s">
        <v>27514</v>
      </c>
      <c r="D14731" t="s">
        <v>27515</v>
      </c>
      <c r="E14731" t="str">
        <f>HYPERLINK("https://patents.google.com/patent/JP2017516969A/en")</f>
        <v>https://patents.google.com/patent/JP2017516969A/en</v>
      </c>
    </row>
    <row r="14732" spans="3:5" x14ac:dyDescent="0.25">
      <c r="C14732" t="s">
        <v>27516</v>
      </c>
      <c r="D14732" t="s">
        <v>27517</v>
      </c>
      <c r="E14732" t="str">
        <f>HYPERLINK("https://patents.google.com/patent/KR20170081272A/en")</f>
        <v>https://patents.google.com/patent/KR20170081272A/en</v>
      </c>
    </row>
    <row r="14733" spans="3:5" x14ac:dyDescent="0.25">
      <c r="C14733" t="s">
        <v>27518</v>
      </c>
      <c r="D14733" t="s">
        <v>27519</v>
      </c>
      <c r="E14733" t="str">
        <f>HYPERLINK("https://patents.google.com/patent/CN107367287A/en")</f>
        <v>https://patents.google.com/patent/CN107367287A/en</v>
      </c>
    </row>
    <row r="14734" spans="3:5" x14ac:dyDescent="0.25">
      <c r="C14734" t="s">
        <v>27520</v>
      </c>
      <c r="D14734" t="s">
        <v>27521</v>
      </c>
      <c r="E14734" t="str">
        <f>HYPERLINK("https://patents.google.com/patent/CN107727076A/en")</f>
        <v>https://patents.google.com/patent/CN107727076A/en</v>
      </c>
    </row>
    <row r="14735" spans="3:5" x14ac:dyDescent="0.25">
      <c r="C14735" t="s">
        <v>27522</v>
      </c>
      <c r="D14735" t="s">
        <v>27523</v>
      </c>
      <c r="E14735" t="str">
        <f>HYPERLINK("https://patents.google.com/patent/WO2014005757A1/en")</f>
        <v>https://patents.google.com/patent/WO2014005757A1/en</v>
      </c>
    </row>
    <row r="14736" spans="3:5" x14ac:dyDescent="0.25">
      <c r="C14736" t="s">
        <v>27524</v>
      </c>
      <c r="D14736" t="s">
        <v>27525</v>
      </c>
      <c r="E14736" t="str">
        <f>HYPERLINK("https://patents.google.com/patent/FR3041457A1/en")</f>
        <v>https://patents.google.com/patent/FR3041457A1/en</v>
      </c>
    </row>
    <row r="14737" spans="1:5" x14ac:dyDescent="0.25">
      <c r="C14737" t="s">
        <v>27526</v>
      </c>
      <c r="D14737" t="s">
        <v>27527</v>
      </c>
      <c r="E14737" t="str">
        <f>HYPERLINK("https://patents.google.com/patent/WO2013045634A1/en")</f>
        <v>https://patents.google.com/patent/WO2013045634A1/en</v>
      </c>
    </row>
    <row r="14738" spans="1:5" x14ac:dyDescent="0.25">
      <c r="C14738" t="s">
        <v>27528</v>
      </c>
      <c r="D14738" t="s">
        <v>27529</v>
      </c>
      <c r="E14738" t="str">
        <f>HYPERLINK("https://patents.google.com/patent/EP3119481A1/fr")</f>
        <v>https://patents.google.com/patent/EP3119481A1/fr</v>
      </c>
    </row>
    <row r="14739" spans="1:5" x14ac:dyDescent="0.25">
      <c r="A14739" t="s">
        <v>4322</v>
      </c>
      <c r="B14739">
        <v>96</v>
      </c>
    </row>
    <row r="14740" spans="1:5" x14ac:dyDescent="0.25">
      <c r="C14740" t="s">
        <v>27530</v>
      </c>
      <c r="D14740" t="s">
        <v>27531</v>
      </c>
      <c r="E14740" t="str">
        <f>HYPERLINK("https://patents.google.com/patent/US9083581B1/en")</f>
        <v>https://patents.google.com/patent/US9083581B1/en</v>
      </c>
    </row>
    <row r="14741" spans="1:5" x14ac:dyDescent="0.25">
      <c r="C14741" t="s">
        <v>27532</v>
      </c>
      <c r="D14741" t="s">
        <v>27533</v>
      </c>
      <c r="E14741" t="str">
        <f>HYPERLINK("https://patents.google.com/patent/US7957871B1/en")</f>
        <v>https://patents.google.com/patent/US7957871B1/en</v>
      </c>
    </row>
    <row r="14742" spans="1:5" x14ac:dyDescent="0.25">
      <c r="C14742" t="s">
        <v>27534</v>
      </c>
      <c r="D14742" t="s">
        <v>27535</v>
      </c>
      <c r="E14742" t="str">
        <f>HYPERLINK("https://patents.google.com/patent/US20110112969A1/en")</f>
        <v>https://patents.google.com/patent/US20110112969A1/en</v>
      </c>
    </row>
    <row r="14743" spans="1:5" x14ac:dyDescent="0.25">
      <c r="C14743" t="s">
        <v>27536</v>
      </c>
      <c r="D14743" t="s">
        <v>27537</v>
      </c>
      <c r="E14743" t="str">
        <f>HYPERLINK("https://patents.google.com/patent/US20100036599A1/en")</f>
        <v>https://patents.google.com/patent/US20100036599A1/en</v>
      </c>
    </row>
    <row r="14744" spans="1:5" x14ac:dyDescent="0.25">
      <c r="C14744" t="s">
        <v>27538</v>
      </c>
      <c r="D14744" t="s">
        <v>27539</v>
      </c>
      <c r="E14744" t="str">
        <f>HYPERLINK("https://patents.google.com/patent/US20090257620A1/en")</f>
        <v>https://patents.google.com/patent/US20090257620A1/en</v>
      </c>
    </row>
    <row r="14745" spans="1:5" x14ac:dyDescent="0.25">
      <c r="C14745" t="s">
        <v>27540</v>
      </c>
      <c r="D14745" t="s">
        <v>27541</v>
      </c>
      <c r="E14745" t="str">
        <f>HYPERLINK("https://patents.google.com/patent/US20150230263A1/en")</f>
        <v>https://patents.google.com/patent/US20150230263A1/en</v>
      </c>
    </row>
    <row r="14746" spans="1:5" x14ac:dyDescent="0.25">
      <c r="C14746" t="s">
        <v>27542</v>
      </c>
      <c r="D14746" t="s">
        <v>27543</v>
      </c>
      <c r="E14746" t="str">
        <f>HYPERLINK("https://patents.google.com/patent/US20080170755A1/en")</f>
        <v>https://patents.google.com/patent/US20080170755A1/en</v>
      </c>
    </row>
    <row r="14747" spans="1:5" x14ac:dyDescent="0.25">
      <c r="C14747" t="s">
        <v>27544</v>
      </c>
      <c r="D14747" t="s">
        <v>27545</v>
      </c>
      <c r="E14747" t="str">
        <f>HYPERLINK("https://patents.google.com/patent/US20160066184A1/en")</f>
        <v>https://patents.google.com/patent/US20160066184A1/en</v>
      </c>
    </row>
    <row r="14748" spans="1:5" x14ac:dyDescent="0.25">
      <c r="C14748" t="s">
        <v>27546</v>
      </c>
      <c r="D14748" t="s">
        <v>27547</v>
      </c>
      <c r="E14748" t="str">
        <f>HYPERLINK("https://patents.google.com/patent/US8770976B2/en")</f>
        <v>https://patents.google.com/patent/US8770976B2/en</v>
      </c>
    </row>
    <row r="14749" spans="1:5" x14ac:dyDescent="0.25">
      <c r="C14749" t="s">
        <v>27548</v>
      </c>
      <c r="D14749" t="s">
        <v>27549</v>
      </c>
      <c r="E14749" t="str">
        <f>HYPERLINK("https://patents.google.com/patent/US20140087707A1/en")</f>
        <v>https://patents.google.com/patent/US20140087707A1/en</v>
      </c>
    </row>
    <row r="14750" spans="1:5" x14ac:dyDescent="0.25">
      <c r="C14750" t="s">
        <v>27550</v>
      </c>
      <c r="D14750" t="s">
        <v>27551</v>
      </c>
      <c r="E14750" t="str">
        <f>HYPERLINK("https://patents.google.com/patent/US20140359573A1/en")</f>
        <v>https://patents.google.com/patent/US20140359573A1/en</v>
      </c>
    </row>
    <row r="14751" spans="1:5" x14ac:dyDescent="0.25">
      <c r="C14751" t="s">
        <v>27552</v>
      </c>
      <c r="D14751" t="s">
        <v>27553</v>
      </c>
      <c r="E14751" t="str">
        <f>HYPERLINK("https://patents.google.com/patent/US9513136B2/en")</f>
        <v>https://patents.google.com/patent/US9513136B2/en</v>
      </c>
    </row>
    <row r="14752" spans="1:5" x14ac:dyDescent="0.25">
      <c r="C14752" t="s">
        <v>27554</v>
      </c>
      <c r="D14752" t="s">
        <v>27555</v>
      </c>
      <c r="E14752" t="str">
        <f>HYPERLINK("https://patents.google.com/patent/US20150246705A1/en")</f>
        <v>https://patents.google.com/patent/US20150246705A1/en</v>
      </c>
    </row>
    <row r="14753" spans="3:5" x14ac:dyDescent="0.25">
      <c r="C14753" t="s">
        <v>27556</v>
      </c>
      <c r="D14753" t="s">
        <v>27557</v>
      </c>
      <c r="E14753" t="str">
        <f>HYPERLINK("https://patents.google.com/patent/US20130334269A1/en")</f>
        <v>https://patents.google.com/patent/US20130334269A1/en</v>
      </c>
    </row>
    <row r="14754" spans="3:5" x14ac:dyDescent="0.25">
      <c r="C14754" t="s">
        <v>27558</v>
      </c>
      <c r="D14754" t="s">
        <v>27559</v>
      </c>
      <c r="E14754" t="str">
        <f>HYPERLINK("https://patents.google.com/patent/US20160224936A1/en")</f>
        <v>https://patents.google.com/patent/US20160224936A1/en</v>
      </c>
    </row>
    <row r="14755" spans="3:5" x14ac:dyDescent="0.25">
      <c r="C14755" t="s">
        <v>27560</v>
      </c>
      <c r="D14755" t="s">
        <v>27561</v>
      </c>
      <c r="E14755" t="str">
        <f>HYPERLINK("https://patents.google.com/patent/US20150206166A1/en")</f>
        <v>https://patents.google.com/patent/US20150206166A1/en</v>
      </c>
    </row>
    <row r="14756" spans="3:5" x14ac:dyDescent="0.25">
      <c r="C14756" t="s">
        <v>27562</v>
      </c>
      <c r="D14756" t="s">
        <v>27563</v>
      </c>
      <c r="E14756" t="str">
        <f>HYPERLINK("https://patents.google.com/patent/DE202009018463U1/en")</f>
        <v>https://patents.google.com/patent/DE202009018463U1/en</v>
      </c>
    </row>
    <row r="14757" spans="3:5" x14ac:dyDescent="0.25">
      <c r="C14757" t="s">
        <v>27564</v>
      </c>
      <c r="D14757" t="s">
        <v>27565</v>
      </c>
      <c r="E14757" t="str">
        <f>HYPERLINK("https://patents.google.com/patent/KR101722219B1/en")</f>
        <v>https://patents.google.com/patent/KR101722219B1/en</v>
      </c>
    </row>
    <row r="14758" spans="3:5" x14ac:dyDescent="0.25">
      <c r="C14758" t="s">
        <v>27566</v>
      </c>
      <c r="D14758" t="s">
        <v>27567</v>
      </c>
      <c r="E14758" t="str">
        <f>HYPERLINK("https://patents.google.com/patent/CA2739693A1/en")</f>
        <v>https://patents.google.com/patent/CA2739693A1/en</v>
      </c>
    </row>
    <row r="14759" spans="3:5" x14ac:dyDescent="0.25">
      <c r="C14759" t="s">
        <v>27568</v>
      </c>
      <c r="D14759" t="s">
        <v>27569</v>
      </c>
      <c r="E14759" t="str">
        <f>HYPERLINK("https://patents.google.com/patent/US20160320198A1/en")</f>
        <v>https://patents.google.com/patent/US20160320198A1/en</v>
      </c>
    </row>
    <row r="14760" spans="3:5" x14ac:dyDescent="0.25">
      <c r="C14760" t="s">
        <v>27570</v>
      </c>
      <c r="D14760" t="s">
        <v>27571</v>
      </c>
      <c r="E14760" t="str">
        <f>HYPERLINK("https://patents.google.com/patent/US20160129953A1/en")</f>
        <v>https://patents.google.com/patent/US20160129953A1/en</v>
      </c>
    </row>
    <row r="14761" spans="3:5" x14ac:dyDescent="0.25">
      <c r="C14761" t="s">
        <v>27572</v>
      </c>
      <c r="D14761" t="s">
        <v>27573</v>
      </c>
      <c r="E14761" t="str">
        <f>HYPERLINK("https://patents.google.com/patent/US20170282736A1/en")</f>
        <v>https://patents.google.com/patent/US20170282736A1/en</v>
      </c>
    </row>
    <row r="14762" spans="3:5" x14ac:dyDescent="0.25">
      <c r="C14762" t="s">
        <v>27574</v>
      </c>
      <c r="D14762" t="s">
        <v>27575</v>
      </c>
      <c r="E14762" t="str">
        <f>HYPERLINK("https://patents.google.com/patent/US20160104222A1/en")</f>
        <v>https://patents.google.com/patent/US20160104222A1/en</v>
      </c>
    </row>
    <row r="14763" spans="3:5" x14ac:dyDescent="0.25">
      <c r="C14763" t="s">
        <v>27576</v>
      </c>
      <c r="D14763" t="s">
        <v>27577</v>
      </c>
      <c r="E14763" t="str">
        <f>HYPERLINK("https://patents.google.com/patent/US10034131B1/en")</f>
        <v>https://patents.google.com/patent/US10034131B1/en</v>
      </c>
    </row>
    <row r="14764" spans="3:5" x14ac:dyDescent="0.25">
      <c r="C14764" t="s">
        <v>27578</v>
      </c>
      <c r="D14764" t="s">
        <v>27579</v>
      </c>
      <c r="E14764" t="str">
        <f>HYPERLINK("https://patents.google.com/patent/US10037635B2/en")</f>
        <v>https://patents.google.com/patent/US10037635B2/en</v>
      </c>
    </row>
    <row r="14765" spans="3:5" x14ac:dyDescent="0.25">
      <c r="C14765" t="s">
        <v>27580</v>
      </c>
      <c r="D14765" t="s">
        <v>27581</v>
      </c>
      <c r="E14765" t="str">
        <f>HYPERLINK("https://patents.google.com/patent/DE102007045146A1/en")</f>
        <v>https://patents.google.com/patent/DE102007045146A1/en</v>
      </c>
    </row>
    <row r="14766" spans="3:5" x14ac:dyDescent="0.25">
      <c r="C14766" t="s">
        <v>27582</v>
      </c>
      <c r="D14766" t="s">
        <v>27583</v>
      </c>
      <c r="E14766" t="str">
        <f>HYPERLINK("https://patents.google.com/patent/CN103648597A/en")</f>
        <v>https://patents.google.com/patent/CN103648597A/en</v>
      </c>
    </row>
    <row r="14767" spans="3:5" x14ac:dyDescent="0.25">
      <c r="C14767" t="s">
        <v>27584</v>
      </c>
      <c r="D14767" t="s">
        <v>27585</v>
      </c>
      <c r="E14767" t="str">
        <f>HYPERLINK("https://patents.google.com/patent/US10036645B2/en")</f>
        <v>https://patents.google.com/patent/US10036645B2/en</v>
      </c>
    </row>
    <row r="14768" spans="3:5" x14ac:dyDescent="0.25">
      <c r="C14768" t="s">
        <v>27586</v>
      </c>
      <c r="D14768" t="s">
        <v>27587</v>
      </c>
      <c r="E14768" t="str">
        <f>HYPERLINK("https://patents.google.com/patent/US9842120B1/en")</f>
        <v>https://patents.google.com/patent/US9842120B1/en</v>
      </c>
    </row>
    <row r="14769" spans="3:5" x14ac:dyDescent="0.25">
      <c r="C14769" t="s">
        <v>27588</v>
      </c>
      <c r="D14769" t="s">
        <v>27589</v>
      </c>
      <c r="E14769" t="str">
        <f>HYPERLINK("https://patents.google.com/patent/DE202018003053U1/en")</f>
        <v>https://patents.google.com/patent/DE202018003053U1/en</v>
      </c>
    </row>
    <row r="14770" spans="3:5" x14ac:dyDescent="0.25">
      <c r="C14770" t="s">
        <v>27538</v>
      </c>
      <c r="D14770" t="s">
        <v>27590</v>
      </c>
      <c r="E14770" t="str">
        <f>HYPERLINK("https://patents.google.com/patent/WO2009126159A1/en")</f>
        <v>https://patents.google.com/patent/WO2009126159A1/en</v>
      </c>
    </row>
    <row r="14771" spans="3:5" x14ac:dyDescent="0.25">
      <c r="C14771" t="s">
        <v>27591</v>
      </c>
      <c r="D14771" t="s">
        <v>27592</v>
      </c>
      <c r="E14771" t="str">
        <f>HYPERLINK("https://patents.google.com/patent/DE102017126253A1/en")</f>
        <v>https://patents.google.com/patent/DE102017126253A1/en</v>
      </c>
    </row>
    <row r="14772" spans="3:5" x14ac:dyDescent="0.25">
      <c r="C14772" t="s">
        <v>27591</v>
      </c>
      <c r="D14772" t="s">
        <v>27593</v>
      </c>
      <c r="E14772" t="str">
        <f>HYPERLINK("https://patents.google.com/patent/DE102017125701A1/en")</f>
        <v>https://patents.google.com/patent/DE102017125701A1/en</v>
      </c>
    </row>
    <row r="14773" spans="3:5" x14ac:dyDescent="0.25">
      <c r="C14773" t="s">
        <v>27594</v>
      </c>
      <c r="D14773" t="s">
        <v>27595</v>
      </c>
      <c r="E14773" t="str">
        <f>HYPERLINK("https://patents.google.com/patent/DE102017126364A1/en")</f>
        <v>https://patents.google.com/patent/DE102017126364A1/en</v>
      </c>
    </row>
    <row r="14774" spans="3:5" x14ac:dyDescent="0.25">
      <c r="C14774" t="s">
        <v>27596</v>
      </c>
      <c r="D14774" t="s">
        <v>27597</v>
      </c>
      <c r="E14774" t="str">
        <f>HYPERLINK("https://patents.google.com/patent/DE102017216355A1/en")</f>
        <v>https://patents.google.com/patent/DE102017216355A1/en</v>
      </c>
    </row>
    <row r="14775" spans="3:5" x14ac:dyDescent="0.25">
      <c r="C14775" t="s">
        <v>27598</v>
      </c>
      <c r="D14775" t="s">
        <v>27599</v>
      </c>
      <c r="E14775" t="str">
        <f>HYPERLINK("https://patents.google.com/patent/US20170293857A1/en")</f>
        <v>https://patents.google.com/patent/US20170293857A1/en</v>
      </c>
    </row>
    <row r="14776" spans="3:5" x14ac:dyDescent="0.25">
      <c r="C14776" t="s">
        <v>27600</v>
      </c>
      <c r="D14776" t="s">
        <v>27601</v>
      </c>
      <c r="E14776" t="str">
        <f>HYPERLINK("https://patents.google.com/patent/US20180286220A1/en")</f>
        <v>https://patents.google.com/patent/US20180286220A1/en</v>
      </c>
    </row>
    <row r="14777" spans="3:5" x14ac:dyDescent="0.25">
      <c r="C14777" t="s">
        <v>27602</v>
      </c>
      <c r="D14777" t="s">
        <v>27603</v>
      </c>
      <c r="E14777" t="str">
        <f>HYPERLINK("https://patents.google.com/patent/EP3142918A1/en")</f>
        <v>https://patents.google.com/patent/EP3142918A1/en</v>
      </c>
    </row>
    <row r="14778" spans="3:5" x14ac:dyDescent="0.25">
      <c r="C14778" t="s">
        <v>27604</v>
      </c>
      <c r="D14778" t="s">
        <v>27605</v>
      </c>
      <c r="E14778" t="str">
        <f>HYPERLINK("https://patents.google.com/patent/CN106159149A/en")</f>
        <v>https://patents.google.com/patent/CN106159149A/en</v>
      </c>
    </row>
    <row r="14779" spans="3:5" x14ac:dyDescent="0.25">
      <c r="C14779" t="s">
        <v>27606</v>
      </c>
      <c r="D14779" t="s">
        <v>27607</v>
      </c>
      <c r="E14779" t="str">
        <f>HYPERLINK("https://patents.google.com/patent/CN108146555A/en")</f>
        <v>https://patents.google.com/patent/CN108146555A/en</v>
      </c>
    </row>
    <row r="14780" spans="3:5" x14ac:dyDescent="0.25">
      <c r="C14780" t="s">
        <v>27608</v>
      </c>
      <c r="D14780" t="s">
        <v>27609</v>
      </c>
      <c r="E14780" t="str">
        <f>HYPERLINK("https://patents.google.com/patent/US20180158325A1/en")</f>
        <v>https://patents.google.com/patent/US20180158325A1/en</v>
      </c>
    </row>
    <row r="14781" spans="3:5" x14ac:dyDescent="0.25">
      <c r="C14781" t="s">
        <v>27610</v>
      </c>
      <c r="D14781" t="s">
        <v>27611</v>
      </c>
      <c r="E14781" t="str">
        <f>HYPERLINK("https://patents.google.com/patent/US20180158326A1/en")</f>
        <v>https://patents.google.com/patent/US20180158326A1/en</v>
      </c>
    </row>
    <row r="14782" spans="3:5" x14ac:dyDescent="0.25">
      <c r="C14782" t="s">
        <v>27612</v>
      </c>
      <c r="D14782" t="s">
        <v>27613</v>
      </c>
      <c r="E14782" t="str">
        <f>HYPERLINK("https://patents.google.com/patent/US20180182238A1/en")</f>
        <v>https://patents.google.com/patent/US20180182238A1/en</v>
      </c>
    </row>
    <row r="14783" spans="3:5" x14ac:dyDescent="0.25">
      <c r="C14783" t="s">
        <v>27614</v>
      </c>
      <c r="D14783" t="s">
        <v>27615</v>
      </c>
      <c r="E14783" t="str">
        <f>HYPERLINK("https://patents.google.com/patent/CA2672928A1/en")</f>
        <v>https://patents.google.com/patent/CA2672928A1/en</v>
      </c>
    </row>
    <row r="14784" spans="3:5" x14ac:dyDescent="0.25">
      <c r="C14784" t="s">
        <v>27616</v>
      </c>
      <c r="D14784" t="s">
        <v>27617</v>
      </c>
      <c r="E14784" t="str">
        <f>HYPERLINK("https://patents.google.com/patent/CN206134749U/en")</f>
        <v>https://patents.google.com/patent/CN206134749U/en</v>
      </c>
    </row>
    <row r="14785" spans="3:5" x14ac:dyDescent="0.25">
      <c r="C14785" t="s">
        <v>27618</v>
      </c>
      <c r="D14785" t="s">
        <v>27619</v>
      </c>
      <c r="E14785" t="str">
        <f>HYPERLINK("https://patents.google.com/patent/WO2018140976A1/en")</f>
        <v>https://patents.google.com/patent/WO2018140976A1/en</v>
      </c>
    </row>
    <row r="14786" spans="3:5" x14ac:dyDescent="0.25">
      <c r="C14786" t="s">
        <v>27616</v>
      </c>
      <c r="D14786" t="s">
        <v>27620</v>
      </c>
      <c r="E14786" t="str">
        <f>HYPERLINK("https://patents.google.com/patent/CN206059469U/en")</f>
        <v>https://patents.google.com/patent/CN206059469U/en</v>
      </c>
    </row>
    <row r="14787" spans="3:5" x14ac:dyDescent="0.25">
      <c r="C14787" t="s">
        <v>27621</v>
      </c>
      <c r="D14787" t="s">
        <v>27622</v>
      </c>
      <c r="E14787" t="str">
        <f>HYPERLINK("https://patents.google.com/patent/EP3211789A1/en")</f>
        <v>https://patents.google.com/patent/EP3211789A1/en</v>
      </c>
    </row>
    <row r="14788" spans="3:5" x14ac:dyDescent="0.25">
      <c r="C14788" t="s">
        <v>27623</v>
      </c>
      <c r="D14788" t="s">
        <v>27624</v>
      </c>
      <c r="E14788" t="str">
        <f>HYPERLINK("https://patents.google.com/patent/WO2017136593A2/en")</f>
        <v>https://patents.google.com/patent/WO2017136593A2/en</v>
      </c>
    </row>
    <row r="14789" spans="3:5" x14ac:dyDescent="0.25">
      <c r="C14789" t="s">
        <v>27509</v>
      </c>
      <c r="D14789" t="s">
        <v>27625</v>
      </c>
      <c r="E14789" t="str">
        <f>HYPERLINK("https://patents.google.com/patent/CA2963084A1/en")</f>
        <v>https://patents.google.com/patent/CA2963084A1/en</v>
      </c>
    </row>
    <row r="14790" spans="3:5" x14ac:dyDescent="0.25">
      <c r="C14790" t="s">
        <v>27626</v>
      </c>
      <c r="D14790" t="s">
        <v>27627</v>
      </c>
      <c r="E14790" t="str">
        <f>HYPERLINK("https://patents.google.com/patent/US20170276834A1/en")</f>
        <v>https://patents.google.com/patent/US20170276834A1/en</v>
      </c>
    </row>
    <row r="14791" spans="3:5" x14ac:dyDescent="0.25">
      <c r="C14791" t="s">
        <v>27507</v>
      </c>
      <c r="D14791" t="s">
        <v>27628</v>
      </c>
      <c r="E14791" t="str">
        <f>HYPERLINK("https://patents.google.com/patent/US20170351417A1/en")</f>
        <v>https://patents.google.com/patent/US20170351417A1/en</v>
      </c>
    </row>
    <row r="14792" spans="3:5" x14ac:dyDescent="0.25">
      <c r="C14792" t="s">
        <v>27618</v>
      </c>
      <c r="D14792" t="s">
        <v>27629</v>
      </c>
      <c r="E14792" t="str">
        <f>HYPERLINK("https://patents.google.com/patent/US20180194548A1/en")</f>
        <v>https://patents.google.com/patent/US20180194548A1/en</v>
      </c>
    </row>
    <row r="14793" spans="3:5" x14ac:dyDescent="0.25">
      <c r="C14793" t="s">
        <v>27630</v>
      </c>
      <c r="D14793" t="s">
        <v>27631</v>
      </c>
      <c r="E14793" t="str">
        <f>HYPERLINK("https://patents.google.com/patent/FR3052430A3/en")</f>
        <v>https://patents.google.com/patent/FR3052430A3/en</v>
      </c>
    </row>
    <row r="14794" spans="3:5" x14ac:dyDescent="0.25">
      <c r="C14794" t="s">
        <v>27632</v>
      </c>
      <c r="D14794" t="s">
        <v>27633</v>
      </c>
      <c r="E14794" t="str">
        <f>HYPERLINK("https://patents.google.com/patent/CA2640202A1/en")</f>
        <v>https://patents.google.com/patent/CA2640202A1/en</v>
      </c>
    </row>
    <row r="14795" spans="3:5" x14ac:dyDescent="0.25">
      <c r="C14795" t="s">
        <v>27558</v>
      </c>
      <c r="D14795" t="s">
        <v>27634</v>
      </c>
      <c r="E14795" t="str">
        <f>HYPERLINK("https://patents.google.com/patent/CA2919526A1/en")</f>
        <v>https://patents.google.com/patent/CA2919526A1/en</v>
      </c>
    </row>
    <row r="14796" spans="3:5" x14ac:dyDescent="0.25">
      <c r="C14796" t="s">
        <v>27635</v>
      </c>
      <c r="D14796" t="s">
        <v>27636</v>
      </c>
      <c r="E14796" t="str">
        <f>HYPERLINK("https://patents.google.com/patent/CN106299184A/en")</f>
        <v>https://patents.google.com/patent/CN106299184A/en</v>
      </c>
    </row>
    <row r="14797" spans="3:5" x14ac:dyDescent="0.25">
      <c r="C14797" t="s">
        <v>27637</v>
      </c>
      <c r="D14797" t="s">
        <v>27638</v>
      </c>
      <c r="E14797" t="str">
        <f>HYPERLINK("https://patents.google.com/patent/FR3049563A3/en")</f>
        <v>https://patents.google.com/patent/FR3049563A3/en</v>
      </c>
    </row>
    <row r="14798" spans="3:5" x14ac:dyDescent="0.25">
      <c r="C14798" t="s">
        <v>27630</v>
      </c>
      <c r="D14798" t="s">
        <v>27639</v>
      </c>
      <c r="E14798" t="str">
        <f>HYPERLINK("https://patents.google.com/patent/FR3054995A3/en")</f>
        <v>https://patents.google.com/patent/FR3054995A3/en</v>
      </c>
    </row>
    <row r="14799" spans="3:5" x14ac:dyDescent="0.25">
      <c r="C14799" t="s">
        <v>27637</v>
      </c>
      <c r="D14799" t="s">
        <v>27640</v>
      </c>
      <c r="E14799" t="str">
        <f>HYPERLINK("https://patents.google.com/patent/FR3048404A3/en")</f>
        <v>https://patents.google.com/patent/FR3048404A3/en</v>
      </c>
    </row>
    <row r="14800" spans="3:5" x14ac:dyDescent="0.25">
      <c r="C14800" t="s">
        <v>27641</v>
      </c>
      <c r="D14800" t="s">
        <v>27642</v>
      </c>
      <c r="E14800" t="str">
        <f>HYPERLINK("https://patents.google.com/patent/EP2283739A1/en")</f>
        <v>https://patents.google.com/patent/EP2283739A1/en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PatentNumberResults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Elliott White</cp:lastModifiedBy>
  <dcterms:created xsi:type="dcterms:W3CDTF">2018-10-28T22:45:37Z</dcterms:created>
  <dcterms:modified xsi:type="dcterms:W3CDTF">2018-10-28T22:45:37Z</dcterms:modified>
</cp:coreProperties>
</file>