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lie\Documents\RStudioProjects\Malaria Summary Trials Information\"/>
    </mc:Choice>
  </mc:AlternateContent>
  <bookViews>
    <workbookView xWindow="360" yWindow="228" windowWidth="17232" windowHeight="9852"/>
  </bookViews>
  <sheets>
    <sheet name="Summary" sheetId="1" r:id="rId1"/>
    <sheet name="Template 1" sheetId="2" r:id="rId2"/>
    <sheet name="Template 2" sheetId="5" r:id="rId3"/>
    <sheet name="G2 smears" sheetId="4" r:id="rId4"/>
    <sheet name="G3 smears" sheetId="6" r:id="rId5"/>
    <sheet name="G4 smears" sheetId="7" r:id="rId6"/>
    <sheet name="G5 smears" sheetId="3" r:id="rId7"/>
  </sheets>
  <calcPr calcId="152511"/>
</workbook>
</file>

<file path=xl/calcChain.xml><?xml version="1.0" encoding="utf-8"?>
<calcChain xmlns="http://schemas.openxmlformats.org/spreadsheetml/2006/main">
  <c r="E560" i="1" l="1"/>
  <c r="D560" i="1"/>
  <c r="C560" i="1"/>
  <c r="B560" i="1"/>
  <c r="E557" i="1"/>
  <c r="D557" i="1"/>
  <c r="C557" i="1"/>
  <c r="B557" i="1"/>
  <c r="R406" i="1" l="1"/>
  <c r="AZ406" i="1"/>
  <c r="O493" i="1"/>
  <c r="R493" i="1"/>
  <c r="L493" i="1"/>
  <c r="K493" i="1"/>
  <c r="I493" i="1"/>
  <c r="H493" i="1"/>
  <c r="F493" i="1"/>
  <c r="E493" i="1"/>
  <c r="C493" i="1"/>
  <c r="B493" i="1"/>
  <c r="H23" i="7"/>
  <c r="R22" i="7"/>
  <c r="Q22" i="7"/>
  <c r="R10" i="7"/>
  <c r="Q10" i="7"/>
  <c r="M24" i="7"/>
  <c r="L24" i="7"/>
  <c r="M12" i="7"/>
  <c r="L12" i="7"/>
  <c r="H24" i="7" l="1"/>
  <c r="G24" i="7"/>
  <c r="G23" i="7"/>
  <c r="H12" i="7"/>
  <c r="G12" i="7"/>
  <c r="H11" i="7"/>
  <c r="G11" i="7"/>
  <c r="C23" i="7"/>
  <c r="B23" i="7"/>
  <c r="C11" i="7"/>
  <c r="B11" i="7"/>
  <c r="AU407" i="1" l="1"/>
  <c r="AV407" i="1"/>
  <c r="AG406" i="1" l="1"/>
  <c r="S406" i="1"/>
  <c r="E399" i="1" l="1"/>
  <c r="D399" i="1"/>
  <c r="E396" i="1"/>
  <c r="D396" i="1"/>
  <c r="C396" i="1"/>
  <c r="B396" i="1"/>
  <c r="L327" i="1"/>
  <c r="K327" i="1"/>
  <c r="AZ240" i="1"/>
  <c r="AY240" i="1"/>
  <c r="AV244" i="1"/>
  <c r="AV243" i="1"/>
  <c r="AV242" i="1"/>
  <c r="AV241" i="1"/>
  <c r="AV240" i="1"/>
  <c r="AU244" i="1"/>
  <c r="AU243" i="1"/>
  <c r="AU242" i="1"/>
  <c r="AU241" i="1"/>
  <c r="AU240" i="1"/>
  <c r="AX240" i="1" s="1"/>
  <c r="AG240" i="1"/>
  <c r="AF240" i="1"/>
  <c r="AC244" i="1"/>
  <c r="AC243" i="1"/>
  <c r="AC242" i="1"/>
  <c r="AC241" i="1"/>
  <c r="AC240" i="1"/>
  <c r="AB244" i="1"/>
  <c r="AB243" i="1"/>
  <c r="AB242" i="1"/>
  <c r="AB241" i="1"/>
  <c r="AB240" i="1"/>
  <c r="AE240" i="1" s="1"/>
  <c r="O244" i="1"/>
  <c r="O243" i="1"/>
  <c r="O242" i="1"/>
  <c r="O241" i="1"/>
  <c r="O240" i="1"/>
  <c r="N244" i="1"/>
  <c r="N243" i="1"/>
  <c r="N242" i="1"/>
  <c r="N241" i="1"/>
  <c r="N240" i="1"/>
  <c r="R240" i="1"/>
  <c r="Q240" i="1"/>
  <c r="AU82" i="1" l="1"/>
  <c r="AU81" i="1"/>
  <c r="AU80" i="1"/>
  <c r="AU79" i="1"/>
  <c r="AU78" i="1"/>
  <c r="AC82" i="1"/>
  <c r="AC81" i="1"/>
  <c r="AC80" i="1"/>
  <c r="AC79" i="1"/>
  <c r="AC78" i="1"/>
  <c r="AB82" i="1"/>
  <c r="AB81" i="1"/>
  <c r="AB80" i="1"/>
  <c r="AB79" i="1"/>
  <c r="AB78" i="1"/>
  <c r="AZ78" i="1" l="1"/>
  <c r="AY78" i="1"/>
  <c r="AX78" i="1"/>
  <c r="AV82" i="1"/>
  <c r="AV81" i="1"/>
  <c r="AV80" i="1"/>
  <c r="AV79" i="1"/>
  <c r="AV78" i="1"/>
  <c r="AG78" i="1"/>
  <c r="AF78" i="1"/>
  <c r="AE78" i="1"/>
  <c r="S78" i="1"/>
  <c r="R78" i="1"/>
  <c r="O82" i="1"/>
  <c r="O81" i="1"/>
  <c r="O80" i="1"/>
  <c r="O79" i="1"/>
  <c r="O78" i="1"/>
  <c r="N82" i="1"/>
  <c r="N81" i="1"/>
  <c r="N80" i="1"/>
  <c r="N79" i="1"/>
  <c r="N78" i="1"/>
  <c r="Q78" i="1" s="1"/>
  <c r="H78" i="1"/>
  <c r="G78" i="1"/>
  <c r="D82" i="1"/>
  <c r="B399" i="1"/>
  <c r="C399" i="1"/>
  <c r="F327" i="1" l="1"/>
  <c r="E327" i="1"/>
  <c r="I327" i="1"/>
  <c r="H327" i="1"/>
  <c r="R24" i="6" l="1"/>
  <c r="Q24" i="6"/>
  <c r="R22" i="6"/>
  <c r="Q22" i="6"/>
  <c r="R21" i="6"/>
  <c r="Q21" i="6"/>
  <c r="R12" i="6"/>
  <c r="Q12" i="6"/>
  <c r="R10" i="6"/>
  <c r="Q10" i="6"/>
  <c r="R9" i="6"/>
  <c r="Q9" i="6"/>
  <c r="M25" i="6"/>
  <c r="L25" i="6"/>
  <c r="M23" i="6"/>
  <c r="L23" i="6"/>
  <c r="M13" i="6"/>
  <c r="L13" i="6"/>
  <c r="M11" i="6"/>
  <c r="L11" i="6"/>
  <c r="H23" i="6" l="1"/>
  <c r="G23" i="6"/>
  <c r="G11" i="6"/>
  <c r="H11" i="6"/>
  <c r="S240" i="1" l="1"/>
  <c r="G240" i="1"/>
  <c r="D244" i="1"/>
  <c r="D243" i="1"/>
  <c r="D242" i="1"/>
  <c r="D241" i="1"/>
  <c r="D240" i="1"/>
  <c r="C244" i="1"/>
  <c r="C243" i="1"/>
  <c r="C241" i="1"/>
  <c r="C242" i="1"/>
  <c r="C240" i="1"/>
  <c r="F240" i="1" s="1"/>
  <c r="L166" i="1" l="1"/>
  <c r="K166" i="1"/>
  <c r="I166" i="1"/>
  <c r="H166" i="1"/>
  <c r="F166" i="1"/>
  <c r="E166" i="1"/>
  <c r="C166" i="1"/>
  <c r="B166" i="1"/>
  <c r="X166" i="1"/>
  <c r="U166" i="1"/>
  <c r="Q22" i="4"/>
  <c r="R25" i="4"/>
  <c r="Q25" i="4"/>
  <c r="R24" i="4"/>
  <c r="Q24" i="4"/>
  <c r="R23" i="4"/>
  <c r="Q23" i="4"/>
  <c r="R22" i="4"/>
  <c r="R21" i="4"/>
  <c r="Q21" i="4"/>
  <c r="R13" i="4"/>
  <c r="Q13" i="4"/>
  <c r="R12" i="4"/>
  <c r="Q12" i="4"/>
  <c r="R11" i="4"/>
  <c r="Q11" i="4"/>
  <c r="R10" i="4"/>
  <c r="Q10" i="4"/>
  <c r="R9" i="4"/>
  <c r="Q9" i="4"/>
  <c r="M25" i="4"/>
  <c r="L25" i="4"/>
  <c r="M24" i="4"/>
  <c r="L24" i="4"/>
  <c r="M22" i="4"/>
  <c r="L22" i="4"/>
  <c r="M21" i="4"/>
  <c r="L21" i="4"/>
  <c r="M13" i="4"/>
  <c r="L13" i="4"/>
  <c r="M12" i="4"/>
  <c r="L12" i="4"/>
  <c r="M10" i="4"/>
  <c r="L10" i="4"/>
  <c r="M9" i="4"/>
  <c r="L9" i="4"/>
  <c r="H22" i="4"/>
  <c r="G22" i="4"/>
  <c r="H10" i="4"/>
  <c r="G10" i="4"/>
  <c r="C25" i="4"/>
  <c r="B25" i="4"/>
  <c r="C24" i="4"/>
  <c r="B24" i="4"/>
  <c r="C13" i="4"/>
  <c r="B13" i="4"/>
  <c r="C12" i="4"/>
  <c r="B12" i="4"/>
  <c r="D12" i="4" s="1"/>
  <c r="D14" i="4" s="1"/>
  <c r="E233" i="1"/>
  <c r="D233" i="1"/>
  <c r="C233" i="1"/>
  <c r="B233" i="1"/>
  <c r="B68" i="1" l="1"/>
  <c r="B71" i="1"/>
  <c r="S21" i="3" l="1"/>
  <c r="N24" i="3"/>
  <c r="N21" i="3"/>
  <c r="N10" i="3"/>
  <c r="N9" i="3"/>
  <c r="I21" i="3"/>
  <c r="I9" i="3"/>
  <c r="S25" i="3"/>
  <c r="N25" i="3"/>
  <c r="I25" i="3"/>
  <c r="D25" i="3"/>
  <c r="S24" i="3"/>
  <c r="I24" i="3"/>
  <c r="D24" i="3"/>
  <c r="S23" i="3"/>
  <c r="N23" i="3"/>
  <c r="I23" i="3"/>
  <c r="D23" i="3"/>
  <c r="S22" i="3"/>
  <c r="N22" i="3"/>
  <c r="I22" i="3"/>
  <c r="D22" i="3"/>
  <c r="D21" i="3"/>
  <c r="D26" i="3" s="1"/>
  <c r="S13" i="3"/>
  <c r="N13" i="3"/>
  <c r="I13" i="3"/>
  <c r="D13" i="3"/>
  <c r="D14" i="3" s="1"/>
  <c r="S12" i="3"/>
  <c r="N12" i="3"/>
  <c r="I12" i="3"/>
  <c r="D12" i="3"/>
  <c r="S11" i="3"/>
  <c r="I11" i="3"/>
  <c r="D11" i="3"/>
  <c r="S10" i="3"/>
  <c r="I10" i="3"/>
  <c r="D10" i="3"/>
  <c r="S9" i="3"/>
  <c r="D9" i="3"/>
  <c r="S26" i="3" l="1"/>
  <c r="N11" i="3"/>
  <c r="N14" i="3" s="1"/>
  <c r="I26" i="3"/>
  <c r="I14" i="3"/>
  <c r="S14" i="3"/>
  <c r="N26" i="3"/>
  <c r="AY567" i="1"/>
  <c r="AG567" i="1"/>
  <c r="AF567" i="1"/>
  <c r="AU567" i="1"/>
  <c r="AU571" i="1"/>
  <c r="AV571" i="1"/>
  <c r="AV567" i="1"/>
  <c r="AV570" i="1"/>
  <c r="AV569" i="1"/>
  <c r="AV568" i="1"/>
  <c r="AU570" i="1"/>
  <c r="AU569" i="1"/>
  <c r="AU568" i="1"/>
  <c r="AC571" i="1"/>
  <c r="AC570" i="1"/>
  <c r="AC569" i="1"/>
  <c r="AC568" i="1"/>
  <c r="AC567" i="1"/>
  <c r="AB571" i="1"/>
  <c r="AB570" i="1"/>
  <c r="AB569" i="1"/>
  <c r="AB568" i="1"/>
  <c r="AB567" i="1"/>
  <c r="AE567" i="1" s="1"/>
  <c r="R567" i="1"/>
  <c r="O571" i="1"/>
  <c r="O570" i="1"/>
  <c r="O569" i="1"/>
  <c r="O568" i="1"/>
  <c r="O567" i="1"/>
  <c r="N571" i="1"/>
  <c r="N570" i="1"/>
  <c r="N569" i="1"/>
  <c r="N568" i="1"/>
  <c r="N567" i="1"/>
  <c r="G567" i="1"/>
  <c r="D571" i="1"/>
  <c r="D570" i="1"/>
  <c r="D569" i="1"/>
  <c r="D568" i="1"/>
  <c r="D567" i="1"/>
  <c r="C571" i="1"/>
  <c r="C570" i="1"/>
  <c r="C569" i="1"/>
  <c r="C568" i="1"/>
  <c r="C567" i="1"/>
  <c r="AY406" i="1"/>
  <c r="AV406" i="1"/>
  <c r="AU406" i="1"/>
  <c r="AF406" i="1"/>
  <c r="O406" i="1"/>
  <c r="N406" i="1"/>
  <c r="C406" i="1"/>
  <c r="F567" i="1" l="1"/>
  <c r="AX567" i="1"/>
  <c r="Q567" i="1"/>
  <c r="X493" i="1"/>
  <c r="U493" i="1"/>
  <c r="R166" i="1"/>
  <c r="S22" i="7"/>
  <c r="S26" i="7" s="1"/>
  <c r="S21" i="7"/>
  <c r="S10" i="7"/>
  <c r="S14" i="7" s="1"/>
  <c r="N25" i="7"/>
  <c r="N12" i="7"/>
  <c r="N14" i="7" s="1"/>
  <c r="N23" i="7"/>
  <c r="N11" i="7"/>
  <c r="N22" i="7"/>
  <c r="N10" i="7"/>
  <c r="N21" i="7"/>
  <c r="N9" i="7"/>
  <c r="S25" i="7"/>
  <c r="I25" i="7"/>
  <c r="D25" i="7"/>
  <c r="S24" i="7"/>
  <c r="N24" i="7"/>
  <c r="N26" i="7" s="1"/>
  <c r="I24" i="7"/>
  <c r="D24" i="7"/>
  <c r="S23" i="7"/>
  <c r="I23" i="7"/>
  <c r="D23" i="7"/>
  <c r="D26" i="7" s="1"/>
  <c r="I22" i="7"/>
  <c r="D22" i="7"/>
  <c r="I21" i="7"/>
  <c r="D21" i="7"/>
  <c r="S13" i="7"/>
  <c r="N13" i="7"/>
  <c r="I13" i="7"/>
  <c r="D13" i="7"/>
  <c r="S12" i="7"/>
  <c r="I12" i="7"/>
  <c r="D12" i="7"/>
  <c r="S11" i="7"/>
  <c r="I11" i="7"/>
  <c r="D11" i="7"/>
  <c r="D14" i="7" s="1"/>
  <c r="I10" i="7"/>
  <c r="D10" i="7"/>
  <c r="S9" i="7"/>
  <c r="I9" i="7"/>
  <c r="D9" i="7"/>
  <c r="AC406" i="1"/>
  <c r="AB406" i="1"/>
  <c r="O410" i="1"/>
  <c r="N410" i="1"/>
  <c r="G406" i="1"/>
  <c r="D406" i="1"/>
  <c r="AV410" i="1"/>
  <c r="AV409" i="1"/>
  <c r="AV408" i="1"/>
  <c r="AU410" i="1"/>
  <c r="AU409" i="1"/>
  <c r="AU408" i="1"/>
  <c r="AC410" i="1"/>
  <c r="AC409" i="1"/>
  <c r="AC408" i="1"/>
  <c r="AC407" i="1"/>
  <c r="AB410" i="1"/>
  <c r="AB409" i="1"/>
  <c r="AB408" i="1"/>
  <c r="AB407" i="1"/>
  <c r="O409" i="1"/>
  <c r="O408" i="1"/>
  <c r="O407" i="1"/>
  <c r="N409" i="1"/>
  <c r="N408" i="1"/>
  <c r="N407" i="1"/>
  <c r="Q406" i="1" s="1"/>
  <c r="D410" i="1"/>
  <c r="D409" i="1"/>
  <c r="D408" i="1"/>
  <c r="D407" i="1"/>
  <c r="C410" i="1"/>
  <c r="C409" i="1"/>
  <c r="C408" i="1"/>
  <c r="C407" i="1"/>
  <c r="I26" i="7" l="1"/>
  <c r="I14" i="7"/>
  <c r="AX406" i="1"/>
  <c r="F406" i="1"/>
  <c r="AE406" i="1"/>
  <c r="D81" i="1" l="1"/>
  <c r="D80" i="1"/>
  <c r="C82" i="1"/>
  <c r="C81" i="1"/>
  <c r="C80" i="1"/>
  <c r="X327" i="1"/>
  <c r="U327" i="1"/>
  <c r="R327" i="1"/>
  <c r="I21" i="6"/>
  <c r="F78" i="1" l="1"/>
  <c r="C327" i="1"/>
  <c r="B327" i="1"/>
  <c r="N24" i="6"/>
  <c r="I25" i="6"/>
  <c r="I24" i="6"/>
  <c r="I23" i="6"/>
  <c r="N13" i="6"/>
  <c r="N11" i="6"/>
  <c r="N10" i="6"/>
  <c r="I13" i="6"/>
  <c r="I12" i="6"/>
  <c r="I11" i="6"/>
  <c r="I14" i="6" s="1"/>
  <c r="S25" i="6"/>
  <c r="N25" i="6"/>
  <c r="D25" i="6"/>
  <c r="S24" i="6"/>
  <c r="D24" i="6"/>
  <c r="S23" i="6"/>
  <c r="N23" i="6"/>
  <c r="D23" i="6"/>
  <c r="S22" i="6"/>
  <c r="N22" i="6"/>
  <c r="I22" i="6"/>
  <c r="D22" i="6"/>
  <c r="S21" i="6"/>
  <c r="S26" i="6" s="1"/>
  <c r="N21" i="6"/>
  <c r="D21" i="6"/>
  <c r="S13" i="6"/>
  <c r="D13" i="6"/>
  <c r="S12" i="6"/>
  <c r="N12" i="6"/>
  <c r="D12" i="6"/>
  <c r="S11" i="6"/>
  <c r="D11" i="6"/>
  <c r="S10" i="6"/>
  <c r="I10" i="6"/>
  <c r="D10" i="6"/>
  <c r="S9" i="6"/>
  <c r="N9" i="6"/>
  <c r="I9" i="6"/>
  <c r="D9" i="6"/>
  <c r="S14" i="6" l="1"/>
  <c r="N26" i="6"/>
  <c r="N14" i="6"/>
  <c r="I26" i="6"/>
  <c r="D26" i="6"/>
  <c r="D14" i="6"/>
  <c r="E230" i="1"/>
  <c r="D230" i="1"/>
  <c r="C230" i="1"/>
  <c r="B230" i="1"/>
  <c r="S21" i="4" l="1"/>
  <c r="S23" i="4"/>
  <c r="N25" i="4"/>
  <c r="N21" i="4"/>
  <c r="I23" i="4"/>
  <c r="S12" i="4"/>
  <c r="S11" i="4"/>
  <c r="S9" i="4"/>
  <c r="N13" i="4"/>
  <c r="N9" i="4"/>
  <c r="I12" i="4"/>
  <c r="I11" i="4"/>
  <c r="S25" i="5"/>
  <c r="N25" i="5"/>
  <c r="I25" i="5"/>
  <c r="D25" i="5"/>
  <c r="S24" i="5"/>
  <c r="N24" i="5"/>
  <c r="I24" i="5"/>
  <c r="D24" i="5"/>
  <c r="S23" i="5"/>
  <c r="N23" i="5"/>
  <c r="I23" i="5"/>
  <c r="D23" i="5"/>
  <c r="S22" i="5"/>
  <c r="N22" i="5"/>
  <c r="I22" i="5"/>
  <c r="D22" i="5"/>
  <c r="S21" i="5"/>
  <c r="N21" i="5"/>
  <c r="I21" i="5"/>
  <c r="D21" i="5"/>
  <c r="S13" i="5"/>
  <c r="N13" i="5"/>
  <c r="I13" i="5"/>
  <c r="D13" i="5"/>
  <c r="S12" i="5"/>
  <c r="N12" i="5"/>
  <c r="I12" i="5"/>
  <c r="D12" i="5"/>
  <c r="S11" i="5"/>
  <c r="N11" i="5"/>
  <c r="I11" i="5"/>
  <c r="D11" i="5"/>
  <c r="S10" i="5"/>
  <c r="N10" i="5"/>
  <c r="I10" i="5"/>
  <c r="D10" i="5"/>
  <c r="S9" i="5"/>
  <c r="N9" i="5"/>
  <c r="I9" i="5"/>
  <c r="D9" i="5"/>
  <c r="S25" i="4"/>
  <c r="S24" i="4"/>
  <c r="S22" i="4"/>
  <c r="N24" i="4"/>
  <c r="N23" i="4"/>
  <c r="N22" i="4"/>
  <c r="I25" i="4"/>
  <c r="I24" i="4"/>
  <c r="I22" i="4"/>
  <c r="I26" i="4" s="1"/>
  <c r="I21" i="4"/>
  <c r="D25" i="4"/>
  <c r="D24" i="4"/>
  <c r="D26" i="4" s="1"/>
  <c r="D23" i="4"/>
  <c r="D22" i="4"/>
  <c r="D21" i="4"/>
  <c r="S13" i="4"/>
  <c r="S10" i="4"/>
  <c r="N12" i="4"/>
  <c r="N11" i="4"/>
  <c r="N10" i="4"/>
  <c r="I13" i="4"/>
  <c r="I10" i="4"/>
  <c r="I14" i="4" s="1"/>
  <c r="I9" i="4"/>
  <c r="D13" i="4"/>
  <c r="D11" i="4"/>
  <c r="D10" i="4"/>
  <c r="D9" i="4"/>
  <c r="S14" i="4" l="1"/>
  <c r="N26" i="4"/>
  <c r="N14" i="4"/>
  <c r="S26" i="4"/>
</calcChain>
</file>

<file path=xl/sharedStrings.xml><?xml version="1.0" encoding="utf-8"?>
<sst xmlns="http://schemas.openxmlformats.org/spreadsheetml/2006/main" count="2207" uniqueCount="104">
  <si>
    <t xml:space="preserve">Title: </t>
  </si>
  <si>
    <t>Dosage TBI used:</t>
  </si>
  <si>
    <t>TBI:</t>
  </si>
  <si>
    <t>Treatment:</t>
  </si>
  <si>
    <t>Generation 1</t>
  </si>
  <si>
    <t>Oocyst counts in mosquito population 1</t>
  </si>
  <si>
    <t>n</t>
  </si>
  <si>
    <t>infected</t>
  </si>
  <si>
    <t>uninfected</t>
  </si>
  <si>
    <t>intensity</t>
  </si>
  <si>
    <t>SEM</t>
  </si>
  <si>
    <t>Date:</t>
  </si>
  <si>
    <t>Sum</t>
  </si>
  <si>
    <t>Mean</t>
  </si>
  <si>
    <t>Mean spz. score delivered per mouse</t>
  </si>
  <si>
    <t>Spz. Intensity</t>
  </si>
  <si>
    <t>Spz. Prevalence</t>
  </si>
  <si>
    <t>1 bite</t>
  </si>
  <si>
    <t>Mouse 1</t>
  </si>
  <si>
    <t>Mouse 2</t>
  </si>
  <si>
    <t>Mouse 3</t>
  </si>
  <si>
    <t>Mouse 4</t>
  </si>
  <si>
    <t>Mouse 5</t>
  </si>
  <si>
    <t>2 bites</t>
  </si>
  <si>
    <t>5 bites</t>
  </si>
  <si>
    <t>10 bites</t>
  </si>
  <si>
    <t>Generation 2</t>
  </si>
  <si>
    <t>Parasitemia</t>
  </si>
  <si>
    <t>1 Bite</t>
  </si>
  <si>
    <t>2 Bites</t>
  </si>
  <si>
    <t>5 Bites</t>
  </si>
  <si>
    <t>Mouse G2</t>
  </si>
  <si>
    <t>Sporozoite scores (received by mice) for feeds</t>
  </si>
  <si>
    <t>Day 4:</t>
  </si>
  <si>
    <t>(+ or - infection)</t>
  </si>
  <si>
    <t>10 Bites</t>
  </si>
  <si>
    <t>Infected?</t>
  </si>
  <si>
    <t>Day 5:</t>
  </si>
  <si>
    <t>Day 6:</t>
  </si>
  <si>
    <t>Day 7:</t>
  </si>
  <si>
    <t>Day 8:</t>
  </si>
  <si>
    <t>Day 9:</t>
  </si>
  <si>
    <t>Parasitemia and gametocytemia recorded</t>
  </si>
  <si>
    <t>Gametocytemia</t>
  </si>
  <si>
    <t>Day 10:</t>
  </si>
  <si>
    <t>Mosquito G2</t>
  </si>
  <si>
    <t>Oocyst counts in mosquito population 2</t>
  </si>
  <si>
    <t>Generation 3</t>
  </si>
  <si>
    <t>Mouse G3</t>
  </si>
  <si>
    <t>Mosquito G3</t>
  </si>
  <si>
    <t>Oocyst counts in mosquito population 3</t>
  </si>
  <si>
    <t>Generation 4</t>
  </si>
  <si>
    <t>Mouse G4</t>
  </si>
  <si>
    <t>Mosquito G4</t>
  </si>
  <si>
    <t>Oocyst counts in mosquito population 4</t>
  </si>
  <si>
    <t>Generation 5</t>
  </si>
  <si>
    <t>Mouse G5</t>
  </si>
  <si>
    <t>Mosquito G5</t>
  </si>
  <si>
    <t>Oocyst counts in mosquito population 5</t>
  </si>
  <si>
    <t>Day to patency</t>
  </si>
  <si>
    <t>Mean day to patency</t>
  </si>
  <si>
    <t>prevalence</t>
  </si>
  <si>
    <t>Parasitemia and gametocytemia recorded (2 windows)</t>
  </si>
  <si>
    <t xml:space="preserve">Mouse 1 </t>
  </si>
  <si>
    <t xml:space="preserve">Mouse 2 </t>
  </si>
  <si>
    <t xml:space="preserve">Mouse 3 </t>
  </si>
  <si>
    <t xml:space="preserve">Mouse 4 </t>
  </si>
  <si>
    <t xml:space="preserve">Mouse 5 </t>
  </si>
  <si>
    <t xml:space="preserve">Mean </t>
  </si>
  <si>
    <t>Parasitemia and gametocytemia recorded (mean from 2 windows shown - see separate tab for all data)</t>
  </si>
  <si>
    <t>Win2</t>
  </si>
  <si>
    <t>Win1</t>
  </si>
  <si>
    <t>Overall Mean (infected only)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</si>
  <si>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= counted day 8</t>
    </r>
  </si>
  <si>
    <r>
      <rPr>
        <sz val="11"/>
        <color rgb="FFFF0000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Mouse 5 </t>
    </r>
  </si>
  <si>
    <r>
      <rPr>
        <sz val="11"/>
        <color rgb="FFFF0000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= counted day 9</t>
    </r>
  </si>
  <si>
    <t>Day</t>
  </si>
  <si>
    <t>NI</t>
  </si>
  <si>
    <t>Overall mean is for infected mice only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</si>
  <si>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Mouse 4 </t>
    </r>
  </si>
  <si>
    <t xml:space="preserve">Date: </t>
  </si>
  <si>
    <t>None</t>
  </si>
  <si>
    <t>N/A</t>
  </si>
  <si>
    <t>Date: 19/03/2015</t>
  </si>
  <si>
    <t xml:space="preserve"> </t>
  </si>
  <si>
    <t>No intervention</t>
  </si>
  <si>
    <t>No</t>
  </si>
  <si>
    <t>Yes</t>
  </si>
  <si>
    <t>died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</si>
  <si>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Mouse 2 </t>
    </r>
  </si>
  <si>
    <r>
      <rPr>
        <sz val="11"/>
        <color rgb="FFFF0000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Mouse 2 </t>
    </r>
  </si>
  <si>
    <t>01.05.2015</t>
  </si>
  <si>
    <t>02.05.2015</t>
  </si>
  <si>
    <t>03.05.2015</t>
  </si>
  <si>
    <t>04.05.2015</t>
  </si>
  <si>
    <t>05.05.2015</t>
  </si>
  <si>
    <t>06.05.2015</t>
  </si>
  <si>
    <t>07.05.2015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</si>
  <si>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= counted day 9</t>
    </r>
  </si>
  <si>
    <t>All mice received 1 bite - empty cells represent salivary glands lost during scoring process</t>
  </si>
  <si>
    <t>All mice received 5 bites - empty cells represent salivary glands lost during scoring process</t>
  </si>
  <si>
    <r>
      <t>*</t>
    </r>
    <r>
      <rPr>
        <sz val="11"/>
        <rFont val="Calibri"/>
        <family val="2"/>
        <scheme val="minor"/>
      </rPr>
      <t>Mouse 1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</si>
  <si>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Mouse 1 </t>
    </r>
  </si>
  <si>
    <t>Mouse 5 only received 9 bites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</si>
</sst>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/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10" fontId="2" fillId="0" borderId="0" xfId="0" applyNumberFormat="1" applyFont="1" applyAlignment="1">
      <alignment horizontal="center" vertical="center" wrapText="1"/>
    </xf>
    <xf numFmtId="10" fontId="0" fillId="0" borderId="12" xfId="1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0" fontId="9" fillId="0" borderId="0" xfId="0" applyNumberFormat="1" applyFont="1" applyAlignment="1">
      <alignment horizontal="center" vertical="center" wrapText="1"/>
    </xf>
    <xf numFmtId="10" fontId="0" fillId="0" borderId="12" xfId="1" applyNumberFormat="1" applyFon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0" xfId="0" applyNumberFormat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0" fillId="0" borderId="0" xfId="0" applyFon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 vertical="center" wrapText="1"/>
    </xf>
    <xf numFmtId="14" fontId="0" fillId="0" borderId="0" xfId="0" applyNumberFormat="1" applyFont="1"/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49" fontId="0" fillId="0" borderId="13" xfId="0" applyNumberFormat="1" applyFont="1" applyBorder="1" applyAlignment="1">
      <alignment horizontal="center"/>
    </xf>
    <xf numFmtId="49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10" fontId="0" fillId="0" borderId="0" xfId="0" applyNumberFormat="1" applyFont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10" fontId="0" fillId="0" borderId="0" xfId="0" applyNumberFormat="1" applyFont="1" applyAlignment="1">
      <alignment horizontal="center"/>
    </xf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9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0" fontId="12" fillId="0" borderId="14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38102</xdr:rowOff>
    </xdr:from>
    <xdr:to>
      <xdr:col>11</xdr:col>
      <xdr:colOff>95250</xdr:colOff>
      <xdr:row>1</xdr:row>
      <xdr:rowOff>142876</xdr:rowOff>
    </xdr:to>
    <xdr:sp macro="" textlink="">
      <xdr:nvSpPr>
        <xdr:cNvPr id="2" name="TextBox 1"/>
        <xdr:cNvSpPr txBox="1"/>
      </xdr:nvSpPr>
      <xdr:spPr>
        <a:xfrm>
          <a:off x="4295775" y="38102"/>
          <a:ext cx="2638425" cy="295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>
              <a:solidFill>
                <a:srgbClr val="FF0000"/>
              </a:solidFill>
            </a:rPr>
            <a:t>Template for</a:t>
          </a:r>
          <a:r>
            <a:rPr lang="en-GB" sz="1100" baseline="0">
              <a:solidFill>
                <a:srgbClr val="FF0000"/>
              </a:solidFill>
            </a:rPr>
            <a:t> recording at the microscope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721"/>
  <sheetViews>
    <sheetView tabSelected="1" topLeftCell="A547" zoomScaleNormal="100" workbookViewId="0">
      <selection activeCell="C237" sqref="C237"/>
    </sheetView>
  </sheetViews>
  <sheetFormatPr defaultRowHeight="14.4" x14ac:dyDescent="0.3"/>
  <cols>
    <col min="1" max="1" width="13.109375" customWidth="1"/>
    <col min="2" max="2" width="12.109375" style="5" customWidth="1"/>
    <col min="3" max="33" width="10.6640625" customWidth="1"/>
    <col min="50" max="50" width="11" customWidth="1"/>
    <col min="52" max="52" width="11.88671875" customWidth="1"/>
  </cols>
  <sheetData>
    <row r="1" spans="1:2" x14ac:dyDescent="0.3">
      <c r="A1" s="4" t="s">
        <v>0</v>
      </c>
      <c r="B1" s="6" t="s">
        <v>85</v>
      </c>
    </row>
    <row r="2" spans="1:2" x14ac:dyDescent="0.3">
      <c r="A2" s="4"/>
    </row>
    <row r="3" spans="1:2" x14ac:dyDescent="0.3">
      <c r="A3" s="4" t="s">
        <v>2</v>
      </c>
      <c r="B3" s="5" t="s">
        <v>81</v>
      </c>
    </row>
    <row r="4" spans="1:2" ht="28.8" x14ac:dyDescent="0.3">
      <c r="A4" s="20" t="s">
        <v>1</v>
      </c>
      <c r="B4" s="82" t="s">
        <v>82</v>
      </c>
    </row>
    <row r="5" spans="1:2" x14ac:dyDescent="0.3">
      <c r="A5" s="4" t="s">
        <v>3</v>
      </c>
      <c r="B5" s="5" t="s">
        <v>82</v>
      </c>
    </row>
    <row r="6" spans="1:2" x14ac:dyDescent="0.3">
      <c r="A6" s="4"/>
    </row>
    <row r="7" spans="1:2" x14ac:dyDescent="0.3">
      <c r="A7" s="7" t="s">
        <v>4</v>
      </c>
    </row>
    <row r="8" spans="1:2" x14ac:dyDescent="0.3">
      <c r="A8" s="4"/>
    </row>
    <row r="9" spans="1:2" x14ac:dyDescent="0.3">
      <c r="A9" s="6" t="s">
        <v>5</v>
      </c>
    </row>
    <row r="10" spans="1:2" x14ac:dyDescent="0.3">
      <c r="A10" s="4" t="s">
        <v>83</v>
      </c>
    </row>
    <row r="11" spans="1:2" ht="15" thickBot="1" x14ac:dyDescent="0.35"/>
    <row r="12" spans="1:2" x14ac:dyDescent="0.3">
      <c r="B12" s="77">
        <v>11</v>
      </c>
    </row>
    <row r="13" spans="1:2" x14ac:dyDescent="0.3">
      <c r="B13" s="78">
        <v>43</v>
      </c>
    </row>
    <row r="14" spans="1:2" x14ac:dyDescent="0.3">
      <c r="B14" s="78">
        <v>0</v>
      </c>
    </row>
    <row r="15" spans="1:2" x14ac:dyDescent="0.3">
      <c r="B15" s="78">
        <v>114</v>
      </c>
    </row>
    <row r="16" spans="1:2" x14ac:dyDescent="0.3">
      <c r="B16" s="78">
        <v>5</v>
      </c>
    </row>
    <row r="17" spans="2:2" x14ac:dyDescent="0.3">
      <c r="B17" s="78">
        <v>13</v>
      </c>
    </row>
    <row r="18" spans="2:2" x14ac:dyDescent="0.3">
      <c r="B18" s="78">
        <v>10</v>
      </c>
    </row>
    <row r="19" spans="2:2" x14ac:dyDescent="0.3">
      <c r="B19" s="78">
        <v>83</v>
      </c>
    </row>
    <row r="20" spans="2:2" x14ac:dyDescent="0.3">
      <c r="B20" s="78">
        <v>55</v>
      </c>
    </row>
    <row r="21" spans="2:2" x14ac:dyDescent="0.3">
      <c r="B21" s="78">
        <v>16</v>
      </c>
    </row>
    <row r="22" spans="2:2" x14ac:dyDescent="0.3">
      <c r="B22" s="78">
        <v>36</v>
      </c>
    </row>
    <row r="23" spans="2:2" x14ac:dyDescent="0.3">
      <c r="B23" s="78">
        <v>9</v>
      </c>
    </row>
    <row r="24" spans="2:2" x14ac:dyDescent="0.3">
      <c r="B24" s="78">
        <v>18</v>
      </c>
    </row>
    <row r="25" spans="2:2" x14ac:dyDescent="0.3">
      <c r="B25" s="78">
        <v>80</v>
      </c>
    </row>
    <row r="26" spans="2:2" x14ac:dyDescent="0.3">
      <c r="B26" s="78">
        <v>78</v>
      </c>
    </row>
    <row r="27" spans="2:2" x14ac:dyDescent="0.3">
      <c r="B27" s="78">
        <v>11</v>
      </c>
    </row>
    <row r="28" spans="2:2" x14ac:dyDescent="0.3">
      <c r="B28" s="78">
        <v>56</v>
      </c>
    </row>
    <row r="29" spans="2:2" x14ac:dyDescent="0.3">
      <c r="B29" s="78">
        <v>24</v>
      </c>
    </row>
    <row r="30" spans="2:2" x14ac:dyDescent="0.3">
      <c r="B30" s="78">
        <v>0</v>
      </c>
    </row>
    <row r="31" spans="2:2" x14ac:dyDescent="0.3">
      <c r="B31" s="78">
        <v>15</v>
      </c>
    </row>
    <row r="32" spans="2:2" x14ac:dyDescent="0.3">
      <c r="B32" s="78">
        <v>43</v>
      </c>
    </row>
    <row r="33" spans="2:2" x14ac:dyDescent="0.3">
      <c r="B33" s="78">
        <v>34</v>
      </c>
    </row>
    <row r="34" spans="2:2" x14ac:dyDescent="0.3">
      <c r="B34" s="78">
        <v>85</v>
      </c>
    </row>
    <row r="35" spans="2:2" x14ac:dyDescent="0.3">
      <c r="B35" s="78">
        <v>19</v>
      </c>
    </row>
    <row r="36" spans="2:2" x14ac:dyDescent="0.3">
      <c r="B36" s="78">
        <v>19</v>
      </c>
    </row>
    <row r="37" spans="2:2" x14ac:dyDescent="0.3">
      <c r="B37" s="78">
        <v>52</v>
      </c>
    </row>
    <row r="38" spans="2:2" x14ac:dyDescent="0.3">
      <c r="B38" s="78">
        <v>4</v>
      </c>
    </row>
    <row r="39" spans="2:2" x14ac:dyDescent="0.3">
      <c r="B39" s="78">
        <v>0</v>
      </c>
    </row>
    <row r="40" spans="2:2" x14ac:dyDescent="0.3">
      <c r="B40" s="78">
        <v>58</v>
      </c>
    </row>
    <row r="41" spans="2:2" x14ac:dyDescent="0.3">
      <c r="B41" s="78">
        <v>0</v>
      </c>
    </row>
    <row r="42" spans="2:2" x14ac:dyDescent="0.3">
      <c r="B42" s="78">
        <v>0</v>
      </c>
    </row>
    <row r="43" spans="2:2" x14ac:dyDescent="0.3">
      <c r="B43" s="78">
        <v>44</v>
      </c>
    </row>
    <row r="44" spans="2:2" x14ac:dyDescent="0.3">
      <c r="B44" s="78">
        <v>0</v>
      </c>
    </row>
    <row r="45" spans="2:2" x14ac:dyDescent="0.3">
      <c r="B45" s="78">
        <v>7</v>
      </c>
    </row>
    <row r="46" spans="2:2" x14ac:dyDescent="0.3">
      <c r="B46" s="78">
        <v>60</v>
      </c>
    </row>
    <row r="47" spans="2:2" x14ac:dyDescent="0.3">
      <c r="B47" s="78">
        <v>18</v>
      </c>
    </row>
    <row r="48" spans="2:2" x14ac:dyDescent="0.3">
      <c r="B48" s="78">
        <v>47</v>
      </c>
    </row>
    <row r="49" spans="1:2" x14ac:dyDescent="0.3">
      <c r="B49" s="78">
        <v>18</v>
      </c>
    </row>
    <row r="50" spans="1:2" x14ac:dyDescent="0.3">
      <c r="B50" s="78">
        <v>20</v>
      </c>
    </row>
    <row r="51" spans="1:2" x14ac:dyDescent="0.3">
      <c r="B51" s="78">
        <v>32</v>
      </c>
    </row>
    <row r="52" spans="1:2" x14ac:dyDescent="0.3">
      <c r="B52" s="78">
        <v>7</v>
      </c>
    </row>
    <row r="53" spans="1:2" x14ac:dyDescent="0.3">
      <c r="B53" s="78">
        <v>0</v>
      </c>
    </row>
    <row r="54" spans="1:2" x14ac:dyDescent="0.3">
      <c r="B54" s="78">
        <v>29</v>
      </c>
    </row>
    <row r="55" spans="1:2" x14ac:dyDescent="0.3">
      <c r="B55" s="78">
        <v>41</v>
      </c>
    </row>
    <row r="56" spans="1:2" x14ac:dyDescent="0.3">
      <c r="B56" s="78">
        <v>19</v>
      </c>
    </row>
    <row r="57" spans="1:2" x14ac:dyDescent="0.3">
      <c r="B57" s="78">
        <v>82</v>
      </c>
    </row>
    <row r="58" spans="1:2" x14ac:dyDescent="0.3">
      <c r="B58" s="78">
        <v>45</v>
      </c>
    </row>
    <row r="59" spans="1:2" x14ac:dyDescent="0.3">
      <c r="B59" s="78">
        <v>37</v>
      </c>
    </row>
    <row r="60" spans="1:2" x14ac:dyDescent="0.3">
      <c r="B60" s="78">
        <v>2</v>
      </c>
    </row>
    <row r="61" spans="1:2" x14ac:dyDescent="0.3">
      <c r="B61" s="78">
        <v>8</v>
      </c>
    </row>
    <row r="62" spans="1:2" ht="15" thickBot="1" x14ac:dyDescent="0.35">
      <c r="B62" s="79"/>
    </row>
    <row r="63" spans="1:2" x14ac:dyDescent="0.3">
      <c r="B63" s="83"/>
    </row>
    <row r="64" spans="1:2" x14ac:dyDescent="0.3">
      <c r="A64" t="s">
        <v>6</v>
      </c>
      <c r="B64" s="83">
        <v>50</v>
      </c>
    </row>
    <row r="65" spans="1:52" x14ac:dyDescent="0.3">
      <c r="A65" t="s">
        <v>7</v>
      </c>
      <c r="B65" s="83">
        <v>43</v>
      </c>
    </row>
    <row r="66" spans="1:52" x14ac:dyDescent="0.3">
      <c r="A66" t="s">
        <v>8</v>
      </c>
      <c r="B66" s="83">
        <v>7</v>
      </c>
    </row>
    <row r="67" spans="1:52" x14ac:dyDescent="0.3">
      <c r="B67" s="83"/>
    </row>
    <row r="68" spans="1:52" x14ac:dyDescent="0.3">
      <c r="A68" t="s">
        <v>9</v>
      </c>
      <c r="B68" s="84">
        <f>AVERAGE(B12:B61)</f>
        <v>30.14</v>
      </c>
    </row>
    <row r="69" spans="1:52" x14ac:dyDescent="0.3">
      <c r="A69" t="s">
        <v>10</v>
      </c>
      <c r="B69" s="84">
        <v>3.952</v>
      </c>
    </row>
    <row r="70" spans="1:52" x14ac:dyDescent="0.3">
      <c r="B70" s="83"/>
    </row>
    <row r="71" spans="1:52" x14ac:dyDescent="0.3">
      <c r="A71" t="s">
        <v>61</v>
      </c>
      <c r="B71" s="52">
        <f>B65/(B65+B66)</f>
        <v>0.86</v>
      </c>
    </row>
    <row r="73" spans="1:52" x14ac:dyDescent="0.3">
      <c r="A73" s="6" t="s">
        <v>32</v>
      </c>
    </row>
    <row r="74" spans="1:52" x14ac:dyDescent="0.3">
      <c r="A74" s="4" t="s">
        <v>80</v>
      </c>
      <c r="B74" s="86">
        <v>42090</v>
      </c>
    </row>
    <row r="75" spans="1:52" x14ac:dyDescent="0.3">
      <c r="E75" s="8"/>
    </row>
    <row r="76" spans="1:52" x14ac:dyDescent="0.3">
      <c r="A76" s="6" t="s">
        <v>17</v>
      </c>
      <c r="K76" s="6" t="s">
        <v>23</v>
      </c>
      <c r="V76" s="6" t="s">
        <v>24</v>
      </c>
      <c r="AJ76" s="6" t="s">
        <v>25</v>
      </c>
    </row>
    <row r="77" spans="1:52" s="19" customFormat="1" ht="58.2" thickBot="1" x14ac:dyDescent="0.35">
      <c r="B77" s="85"/>
      <c r="C77" s="19" t="s">
        <v>12</v>
      </c>
      <c r="D77" s="19" t="s">
        <v>13</v>
      </c>
      <c r="F77" s="19" t="s">
        <v>14</v>
      </c>
      <c r="G77" s="19" t="s">
        <v>15</v>
      </c>
      <c r="H77" s="19" t="s">
        <v>16</v>
      </c>
      <c r="N77" s="19" t="s">
        <v>12</v>
      </c>
      <c r="O77" s="19" t="s">
        <v>13</v>
      </c>
      <c r="Q77" s="19" t="s">
        <v>14</v>
      </c>
      <c r="R77" s="19" t="s">
        <v>15</v>
      </c>
      <c r="S77" s="19" t="s">
        <v>16</v>
      </c>
      <c r="AB77" s="19" t="s">
        <v>12</v>
      </c>
      <c r="AC77" s="19" t="s">
        <v>13</v>
      </c>
      <c r="AE77" s="19" t="s">
        <v>14</v>
      </c>
      <c r="AF77" s="19" t="s">
        <v>15</v>
      </c>
      <c r="AG77" s="19" t="s">
        <v>16</v>
      </c>
      <c r="AU77" s="19" t="s">
        <v>12</v>
      </c>
      <c r="AV77" s="19" t="s">
        <v>13</v>
      </c>
      <c r="AX77" s="19" t="s">
        <v>14</v>
      </c>
      <c r="AY77" s="19" t="s">
        <v>15</v>
      </c>
      <c r="AZ77" s="19" t="s">
        <v>16</v>
      </c>
    </row>
    <row r="78" spans="1:52" x14ac:dyDescent="0.3">
      <c r="A78" s="5" t="s">
        <v>18</v>
      </c>
      <c r="B78" s="77"/>
      <c r="C78" s="30"/>
      <c r="D78" s="30"/>
      <c r="E78" s="30"/>
      <c r="F78" s="57">
        <f>AVERAGE(C80:C82)</f>
        <v>0.33333333333333331</v>
      </c>
      <c r="G78" s="57">
        <f>AVERAGE(B80:B82)</f>
        <v>0.33333333333333331</v>
      </c>
      <c r="H78" s="53">
        <f>1/3</f>
        <v>0.33333333333333331</v>
      </c>
      <c r="K78" s="5" t="s">
        <v>18</v>
      </c>
      <c r="L78" s="49">
        <v>0</v>
      </c>
      <c r="M78" s="49">
        <v>1</v>
      </c>
      <c r="N78" s="30">
        <f>SUM(L78:M78)</f>
        <v>1</v>
      </c>
      <c r="O78" s="30">
        <f>AVERAGE(L78:M78)</f>
        <v>0.5</v>
      </c>
      <c r="Q78" s="30">
        <f>AVERAGE(N78:N82)</f>
        <v>0.6</v>
      </c>
      <c r="R78" s="30">
        <f>AVERAGE(L78:M82)</f>
        <v>0.3</v>
      </c>
      <c r="S78" s="53">
        <f>3/10</f>
        <v>0.3</v>
      </c>
      <c r="V78" s="5" t="s">
        <v>18</v>
      </c>
      <c r="W78" s="49">
        <v>2</v>
      </c>
      <c r="X78" s="49">
        <v>3</v>
      </c>
      <c r="Y78" s="49">
        <v>2</v>
      </c>
      <c r="Z78" s="49">
        <v>0</v>
      </c>
      <c r="AA78" s="49">
        <v>2</v>
      </c>
      <c r="AB78" s="30">
        <f>SUM(W78:AA78)</f>
        <v>9</v>
      </c>
      <c r="AC78" s="30">
        <f>AVERAGE(W78:AA78)</f>
        <v>1.8</v>
      </c>
      <c r="AE78" s="54">
        <f>AVERAGE(AB78:AB82)</f>
        <v>6.8</v>
      </c>
      <c r="AF78" s="54">
        <f>AVERAGE(W78:AA78,W79:Z79,W80:AA82)</f>
        <v>1.4166666666666667</v>
      </c>
      <c r="AG78" s="53">
        <f>13/24</f>
        <v>0.54166666666666663</v>
      </c>
      <c r="AJ78" s="5" t="s">
        <v>18</v>
      </c>
      <c r="AK78" s="49">
        <v>0</v>
      </c>
      <c r="AL78" s="49">
        <v>1</v>
      </c>
      <c r="AM78" s="49">
        <v>2</v>
      </c>
      <c r="AN78" s="49">
        <v>0</v>
      </c>
      <c r="AO78" s="49">
        <v>0</v>
      </c>
      <c r="AP78" s="49">
        <v>0</v>
      </c>
      <c r="AQ78" s="49">
        <v>0</v>
      </c>
      <c r="AR78" s="49">
        <v>1</v>
      </c>
      <c r="AS78" s="49">
        <v>3</v>
      </c>
      <c r="AT78" s="49"/>
      <c r="AU78" s="30">
        <f>SUM(AK78:AS78)</f>
        <v>7</v>
      </c>
      <c r="AV78" s="54">
        <f>AVERAGE(AK78:AS78)</f>
        <v>0.77777777777777779</v>
      </c>
      <c r="AX78" s="30">
        <f>AVERAGE(AU78:AU82)</f>
        <v>10.199999999999999</v>
      </c>
      <c r="AY78" s="54">
        <f>AVERAGE(AK78:AS78,AK79:AS79,AK80:AT82)</f>
        <v>1.0625</v>
      </c>
      <c r="AZ78" s="53">
        <f>23/48</f>
        <v>0.47916666666666669</v>
      </c>
    </row>
    <row r="79" spans="1:52" x14ac:dyDescent="0.3">
      <c r="A79" s="5" t="s">
        <v>19</v>
      </c>
      <c r="B79" s="78"/>
      <c r="C79" s="30"/>
      <c r="D79" s="30"/>
      <c r="E79" s="30"/>
      <c r="F79" s="30"/>
      <c r="G79" s="30"/>
      <c r="H79" s="30"/>
      <c r="K79" s="5" t="s">
        <v>19</v>
      </c>
      <c r="L79" s="50">
        <v>0</v>
      </c>
      <c r="M79" s="50">
        <v>1</v>
      </c>
      <c r="N79" s="30">
        <f>SUM(L79:M79)</f>
        <v>1</v>
      </c>
      <c r="O79" s="30">
        <f>AVERAGE(L79:M79)</f>
        <v>0.5</v>
      </c>
      <c r="V79" s="5" t="s">
        <v>19</v>
      </c>
      <c r="W79" s="50">
        <v>0</v>
      </c>
      <c r="X79" s="50">
        <v>0</v>
      </c>
      <c r="Y79" s="50">
        <v>1</v>
      </c>
      <c r="Z79" s="50">
        <v>2</v>
      </c>
      <c r="AA79" s="50"/>
      <c r="AB79" s="30">
        <f>SUM(W79:Z79)</f>
        <v>3</v>
      </c>
      <c r="AC79" s="30">
        <f>AVERAGE(W79:Z79)</f>
        <v>0.75</v>
      </c>
      <c r="AJ79" s="5" t="s">
        <v>19</v>
      </c>
      <c r="AK79" s="50">
        <v>2</v>
      </c>
      <c r="AL79" s="50">
        <v>0</v>
      </c>
      <c r="AM79" s="50">
        <v>1</v>
      </c>
      <c r="AN79" s="50">
        <v>0</v>
      </c>
      <c r="AO79" s="50">
        <v>3</v>
      </c>
      <c r="AP79" s="50">
        <v>4</v>
      </c>
      <c r="AQ79" s="50">
        <v>2</v>
      </c>
      <c r="AR79" s="50">
        <v>0</v>
      </c>
      <c r="AS79" s="50">
        <v>0</v>
      </c>
      <c r="AT79" s="50"/>
      <c r="AU79" s="30">
        <f>SUM(AK79:AS79)</f>
        <v>12</v>
      </c>
      <c r="AV79" s="54">
        <f>AVERAGE(AK79:AS79)</f>
        <v>1.3333333333333333</v>
      </c>
    </row>
    <row r="80" spans="1:52" x14ac:dyDescent="0.3">
      <c r="A80" s="5" t="s">
        <v>20</v>
      </c>
      <c r="B80" s="78">
        <v>0</v>
      </c>
      <c r="C80" s="30">
        <f>SUM(B80)</f>
        <v>0</v>
      </c>
      <c r="D80" s="30">
        <f>AVERAGE(B80)</f>
        <v>0</v>
      </c>
      <c r="E80" s="30"/>
      <c r="F80" s="30"/>
      <c r="G80" s="30"/>
      <c r="H80" s="30"/>
      <c r="K80" s="5" t="s">
        <v>20</v>
      </c>
      <c r="L80" s="50">
        <v>0</v>
      </c>
      <c r="M80" s="50">
        <v>0</v>
      </c>
      <c r="N80" s="30">
        <f>SUM(L80:M80)</f>
        <v>0</v>
      </c>
      <c r="O80" s="30">
        <f>AVERAGE(L80:M80)</f>
        <v>0</v>
      </c>
      <c r="V80" s="5" t="s">
        <v>20</v>
      </c>
      <c r="W80" s="50">
        <v>0</v>
      </c>
      <c r="X80" s="50">
        <v>0</v>
      </c>
      <c r="Y80" s="50">
        <v>2</v>
      </c>
      <c r="Z80" s="50">
        <v>0</v>
      </c>
      <c r="AA80" s="50">
        <v>0</v>
      </c>
      <c r="AB80" s="30">
        <f>SUM(W80:AA80)</f>
        <v>2</v>
      </c>
      <c r="AC80" s="30">
        <f>AVERAGE(W80:AA80)</f>
        <v>0.4</v>
      </c>
      <c r="AJ80" s="5" t="s">
        <v>20</v>
      </c>
      <c r="AK80" s="50">
        <v>2</v>
      </c>
      <c r="AL80" s="50">
        <v>0</v>
      </c>
      <c r="AM80" s="50">
        <v>2</v>
      </c>
      <c r="AN80" s="50">
        <v>0</v>
      </c>
      <c r="AO80" s="50">
        <v>0</v>
      </c>
      <c r="AP80" s="50">
        <v>0</v>
      </c>
      <c r="AQ80" s="50">
        <v>0</v>
      </c>
      <c r="AR80" s="50">
        <v>2</v>
      </c>
      <c r="AS80" s="50">
        <v>0</v>
      </c>
      <c r="AT80" s="50">
        <v>2</v>
      </c>
      <c r="AU80" s="30">
        <f>SUM(AK80:AT80)</f>
        <v>8</v>
      </c>
      <c r="AV80" s="54">
        <f>AVERAGE(AK80:AT80)</f>
        <v>0.8</v>
      </c>
    </row>
    <row r="81" spans="1:48" x14ac:dyDescent="0.3">
      <c r="A81" s="5" t="s">
        <v>21</v>
      </c>
      <c r="B81" s="78">
        <v>0</v>
      </c>
      <c r="C81" s="30">
        <f>SUM(B81)</f>
        <v>0</v>
      </c>
      <c r="D81" s="30">
        <f>AVERAGE(B81)</f>
        <v>0</v>
      </c>
      <c r="E81" s="30"/>
      <c r="F81" s="30"/>
      <c r="G81" s="30"/>
      <c r="H81" s="30"/>
      <c r="K81" s="5" t="s">
        <v>21</v>
      </c>
      <c r="L81" s="50">
        <v>1</v>
      </c>
      <c r="M81" s="50">
        <v>0</v>
      </c>
      <c r="N81" s="30">
        <f>SUM(L81:M81)</f>
        <v>1</v>
      </c>
      <c r="O81" s="30">
        <f>AVERAGE(L81:M81)</f>
        <v>0.5</v>
      </c>
      <c r="V81" s="5" t="s">
        <v>21</v>
      </c>
      <c r="W81" s="50">
        <v>0</v>
      </c>
      <c r="X81" s="50">
        <v>4</v>
      </c>
      <c r="Y81" s="50">
        <v>0</v>
      </c>
      <c r="Z81" s="50">
        <v>2</v>
      </c>
      <c r="AA81" s="50">
        <v>4</v>
      </c>
      <c r="AB81" s="30">
        <f>SUM(W81:AA81)</f>
        <v>10</v>
      </c>
      <c r="AC81" s="30">
        <f>AVERAGE(W81:AA81)</f>
        <v>2</v>
      </c>
      <c r="AJ81" s="5" t="s">
        <v>21</v>
      </c>
      <c r="AK81" s="50">
        <v>3</v>
      </c>
      <c r="AL81" s="50">
        <v>0</v>
      </c>
      <c r="AM81" s="50">
        <v>0</v>
      </c>
      <c r="AN81" s="50">
        <v>2</v>
      </c>
      <c r="AO81" s="50">
        <v>0</v>
      </c>
      <c r="AP81" s="50">
        <v>1</v>
      </c>
      <c r="AQ81" s="50">
        <v>0</v>
      </c>
      <c r="AR81" s="50">
        <v>0</v>
      </c>
      <c r="AS81" s="50">
        <v>3</v>
      </c>
      <c r="AT81" s="50">
        <v>0</v>
      </c>
      <c r="AU81" s="30">
        <f>SUM(AK81:AT81)</f>
        <v>9</v>
      </c>
      <c r="AV81" s="54">
        <f>AVERAGE(AK81:AT81)</f>
        <v>0.9</v>
      </c>
    </row>
    <row r="82" spans="1:48" ht="15" thickBot="1" x14ac:dyDescent="0.35">
      <c r="A82" s="5" t="s">
        <v>22</v>
      </c>
      <c r="B82" s="79">
        <v>1</v>
      </c>
      <c r="C82" s="30">
        <f>SUM(B82)</f>
        <v>1</v>
      </c>
      <c r="D82" s="30">
        <f>AVERAGE(B82)</f>
        <v>1</v>
      </c>
      <c r="E82" s="30"/>
      <c r="F82" s="30"/>
      <c r="G82" s="30"/>
      <c r="H82" s="30"/>
      <c r="K82" s="5" t="s">
        <v>22</v>
      </c>
      <c r="L82" s="51">
        <v>0</v>
      </c>
      <c r="M82" s="51">
        <v>0</v>
      </c>
      <c r="N82" s="30">
        <f>SUM(L82:M82)</f>
        <v>0</v>
      </c>
      <c r="O82" s="30">
        <f>AVERAGE(L82:M82)</f>
        <v>0</v>
      </c>
      <c r="V82" s="5" t="s">
        <v>22</v>
      </c>
      <c r="W82" s="51">
        <v>0</v>
      </c>
      <c r="X82" s="51">
        <v>0</v>
      </c>
      <c r="Y82" s="51">
        <v>4</v>
      </c>
      <c r="Z82" s="51">
        <v>2</v>
      </c>
      <c r="AA82" s="51">
        <v>4</v>
      </c>
      <c r="AB82" s="30">
        <f>SUM(W82:AA82)</f>
        <v>10</v>
      </c>
      <c r="AC82" s="30">
        <f>AVERAGE(W82:AA82)</f>
        <v>2</v>
      </c>
      <c r="AJ82" s="5" t="s">
        <v>22</v>
      </c>
      <c r="AK82" s="51">
        <v>0</v>
      </c>
      <c r="AL82" s="51">
        <v>2</v>
      </c>
      <c r="AM82" s="51">
        <v>0</v>
      </c>
      <c r="AN82" s="51">
        <v>1</v>
      </c>
      <c r="AO82" s="51">
        <v>3</v>
      </c>
      <c r="AP82" s="51">
        <v>3</v>
      </c>
      <c r="AQ82" s="51">
        <v>3</v>
      </c>
      <c r="AR82" s="51">
        <v>0</v>
      </c>
      <c r="AS82" s="51">
        <v>3</v>
      </c>
      <c r="AT82" s="51">
        <v>0</v>
      </c>
      <c r="AU82" s="30">
        <f>SUM(AK82:AT82)</f>
        <v>15</v>
      </c>
      <c r="AV82" s="54">
        <f>AVERAGE(AK82:AT82)</f>
        <v>1.5</v>
      </c>
    </row>
    <row r="83" spans="1:48" x14ac:dyDescent="0.3">
      <c r="B83" s="5" t="s">
        <v>99</v>
      </c>
      <c r="W83" s="5" t="s">
        <v>100</v>
      </c>
    </row>
    <row r="85" spans="1:48" x14ac:dyDescent="0.3">
      <c r="A85" s="7" t="s">
        <v>26</v>
      </c>
    </row>
    <row r="87" spans="1:48" x14ac:dyDescent="0.3">
      <c r="A87" s="4" t="s">
        <v>31</v>
      </c>
    </row>
    <row r="89" spans="1:48" x14ac:dyDescent="0.3">
      <c r="A89" s="6" t="s">
        <v>33</v>
      </c>
      <c r="B89" s="5" t="s">
        <v>34</v>
      </c>
    </row>
    <row r="90" spans="1:48" x14ac:dyDescent="0.3">
      <c r="A90" t="s">
        <v>11</v>
      </c>
      <c r="B90" s="86">
        <v>42094</v>
      </c>
    </row>
    <row r="92" spans="1:48" x14ac:dyDescent="0.3">
      <c r="A92" s="9" t="s">
        <v>28</v>
      </c>
      <c r="D92" s="9" t="s">
        <v>29</v>
      </c>
      <c r="G92" s="9" t="s">
        <v>30</v>
      </c>
      <c r="J92" s="9" t="s">
        <v>35</v>
      </c>
    </row>
    <row r="93" spans="1:48" ht="15" thickBot="1" x14ac:dyDescent="0.35">
      <c r="B93" s="5" t="s">
        <v>36</v>
      </c>
      <c r="E93" t="s">
        <v>36</v>
      </c>
      <c r="H93" t="s">
        <v>36</v>
      </c>
      <c r="K93" t="s">
        <v>36</v>
      </c>
    </row>
    <row r="94" spans="1:48" x14ac:dyDescent="0.3">
      <c r="A94" t="s">
        <v>18</v>
      </c>
      <c r="B94" s="87" t="s">
        <v>86</v>
      </c>
      <c r="D94" t="s">
        <v>18</v>
      </c>
      <c r="E94" s="45" t="s">
        <v>86</v>
      </c>
      <c r="G94" t="s">
        <v>18</v>
      </c>
      <c r="H94" s="45" t="s">
        <v>86</v>
      </c>
      <c r="J94" t="s">
        <v>18</v>
      </c>
      <c r="K94" s="45" t="s">
        <v>86</v>
      </c>
    </row>
    <row r="95" spans="1:48" x14ac:dyDescent="0.3">
      <c r="A95" t="s">
        <v>19</v>
      </c>
      <c r="B95" s="88" t="s">
        <v>86</v>
      </c>
      <c r="D95" t="s">
        <v>19</v>
      </c>
      <c r="E95" s="46" t="s">
        <v>86</v>
      </c>
      <c r="G95" t="s">
        <v>19</v>
      </c>
      <c r="H95" s="46" t="s">
        <v>86</v>
      </c>
      <c r="J95" t="s">
        <v>19</v>
      </c>
      <c r="K95" s="46" t="s">
        <v>86</v>
      </c>
    </row>
    <row r="96" spans="1:48" x14ac:dyDescent="0.3">
      <c r="A96" t="s">
        <v>20</v>
      </c>
      <c r="B96" s="89" t="s">
        <v>86</v>
      </c>
      <c r="D96" t="s">
        <v>20</v>
      </c>
      <c r="E96" s="55" t="s">
        <v>86</v>
      </c>
      <c r="G96" t="s">
        <v>20</v>
      </c>
      <c r="H96" s="55" t="s">
        <v>86</v>
      </c>
      <c r="J96" t="s">
        <v>20</v>
      </c>
      <c r="K96" s="55" t="s">
        <v>86</v>
      </c>
    </row>
    <row r="97" spans="1:11" x14ac:dyDescent="0.3">
      <c r="A97" t="s">
        <v>21</v>
      </c>
      <c r="B97" s="89" t="s">
        <v>86</v>
      </c>
      <c r="D97" t="s">
        <v>21</v>
      </c>
      <c r="E97" s="55" t="s">
        <v>86</v>
      </c>
      <c r="G97" t="s">
        <v>21</v>
      </c>
      <c r="H97" s="55" t="s">
        <v>86</v>
      </c>
      <c r="J97" t="s">
        <v>21</v>
      </c>
      <c r="K97" s="55" t="s">
        <v>86</v>
      </c>
    </row>
    <row r="98" spans="1:11" ht="15" thickBot="1" x14ac:dyDescent="0.35">
      <c r="A98" t="s">
        <v>22</v>
      </c>
      <c r="B98" s="90" t="s">
        <v>86</v>
      </c>
      <c r="D98" t="s">
        <v>22</v>
      </c>
      <c r="E98" s="56" t="s">
        <v>86</v>
      </c>
      <c r="G98" t="s">
        <v>22</v>
      </c>
      <c r="H98" s="56" t="s">
        <v>86</v>
      </c>
      <c r="J98" t="s">
        <v>22</v>
      </c>
      <c r="K98" s="56" t="s">
        <v>86</v>
      </c>
    </row>
    <row r="99" spans="1:11" x14ac:dyDescent="0.3">
      <c r="A99" s="8"/>
      <c r="B99" s="8"/>
      <c r="C99" s="8"/>
    </row>
    <row r="100" spans="1:11" x14ac:dyDescent="0.3">
      <c r="A100" s="6" t="s">
        <v>37</v>
      </c>
      <c r="B100" s="5" t="s">
        <v>34</v>
      </c>
    </row>
    <row r="101" spans="1:11" x14ac:dyDescent="0.3">
      <c r="A101" t="s">
        <v>11</v>
      </c>
      <c r="B101" s="86">
        <v>42095</v>
      </c>
    </row>
    <row r="103" spans="1:11" x14ac:dyDescent="0.3">
      <c r="A103" s="9" t="s">
        <v>28</v>
      </c>
      <c r="D103" s="9" t="s">
        <v>29</v>
      </c>
      <c r="G103" s="9" t="s">
        <v>30</v>
      </c>
      <c r="J103" s="9" t="s">
        <v>35</v>
      </c>
    </row>
    <row r="104" spans="1:11" ht="15" thickBot="1" x14ac:dyDescent="0.35">
      <c r="B104" s="5" t="s">
        <v>36</v>
      </c>
      <c r="E104" t="s">
        <v>36</v>
      </c>
      <c r="H104" t="s">
        <v>36</v>
      </c>
      <c r="K104" t="s">
        <v>36</v>
      </c>
    </row>
    <row r="105" spans="1:11" x14ac:dyDescent="0.3">
      <c r="A105" t="s">
        <v>18</v>
      </c>
      <c r="B105" s="87" t="s">
        <v>86</v>
      </c>
      <c r="D105" t="s">
        <v>18</v>
      </c>
      <c r="E105" s="45" t="s">
        <v>86</v>
      </c>
      <c r="G105" t="s">
        <v>18</v>
      </c>
      <c r="H105" s="45" t="s">
        <v>86</v>
      </c>
      <c r="J105" t="s">
        <v>18</v>
      </c>
      <c r="K105" s="45" t="s">
        <v>86</v>
      </c>
    </row>
    <row r="106" spans="1:11" x14ac:dyDescent="0.3">
      <c r="A106" t="s">
        <v>19</v>
      </c>
      <c r="B106" s="88" t="s">
        <v>86</v>
      </c>
      <c r="D106" t="s">
        <v>19</v>
      </c>
      <c r="E106" s="46" t="s">
        <v>87</v>
      </c>
      <c r="G106" t="s">
        <v>19</v>
      </c>
      <c r="H106" s="46" t="s">
        <v>86</v>
      </c>
      <c r="J106" t="s">
        <v>19</v>
      </c>
      <c r="K106" s="46" t="s">
        <v>86</v>
      </c>
    </row>
    <row r="107" spans="1:11" x14ac:dyDescent="0.3">
      <c r="A107" t="s">
        <v>20</v>
      </c>
      <c r="B107" s="88" t="s">
        <v>86</v>
      </c>
      <c r="D107" t="s">
        <v>20</v>
      </c>
      <c r="E107" s="46" t="s">
        <v>86</v>
      </c>
      <c r="G107" t="s">
        <v>20</v>
      </c>
      <c r="H107" s="46" t="s">
        <v>86</v>
      </c>
      <c r="J107" t="s">
        <v>20</v>
      </c>
      <c r="K107" s="46" t="s">
        <v>86</v>
      </c>
    </row>
    <row r="108" spans="1:11" x14ac:dyDescent="0.3">
      <c r="A108" t="s">
        <v>21</v>
      </c>
      <c r="B108" s="88" t="s">
        <v>87</v>
      </c>
      <c r="D108" t="s">
        <v>21</v>
      </c>
      <c r="E108" s="46" t="s">
        <v>86</v>
      </c>
      <c r="G108" t="s">
        <v>21</v>
      </c>
      <c r="H108" s="46" t="s">
        <v>86</v>
      </c>
      <c r="J108" t="s">
        <v>21</v>
      </c>
      <c r="K108" s="46" t="s">
        <v>86</v>
      </c>
    </row>
    <row r="109" spans="1:11" ht="15" thickBot="1" x14ac:dyDescent="0.35">
      <c r="A109" t="s">
        <v>22</v>
      </c>
      <c r="B109" s="91" t="s">
        <v>86</v>
      </c>
      <c r="D109" t="s">
        <v>22</v>
      </c>
      <c r="E109" s="47" t="s">
        <v>86</v>
      </c>
      <c r="G109" t="s">
        <v>22</v>
      </c>
      <c r="H109" s="47" t="s">
        <v>87</v>
      </c>
      <c r="J109" t="s">
        <v>22</v>
      </c>
      <c r="K109" s="47" t="s">
        <v>87</v>
      </c>
    </row>
    <row r="112" spans="1:11" x14ac:dyDescent="0.3">
      <c r="A112" s="6" t="s">
        <v>38</v>
      </c>
      <c r="B112" s="5" t="s">
        <v>34</v>
      </c>
    </row>
    <row r="113" spans="1:11" x14ac:dyDescent="0.3">
      <c r="A113" t="s">
        <v>11</v>
      </c>
      <c r="B113" s="86">
        <v>42096</v>
      </c>
    </row>
    <row r="115" spans="1:11" x14ac:dyDescent="0.3">
      <c r="A115" s="9" t="s">
        <v>28</v>
      </c>
      <c r="D115" s="9" t="s">
        <v>29</v>
      </c>
      <c r="G115" s="9" t="s">
        <v>30</v>
      </c>
      <c r="J115" s="9" t="s">
        <v>35</v>
      </c>
    </row>
    <row r="116" spans="1:11" ht="15" thickBot="1" x14ac:dyDescent="0.35">
      <c r="B116" s="5" t="s">
        <v>36</v>
      </c>
      <c r="E116" t="s">
        <v>36</v>
      </c>
      <c r="H116" t="s">
        <v>36</v>
      </c>
      <c r="K116" t="s">
        <v>36</v>
      </c>
    </row>
    <row r="117" spans="1:11" x14ac:dyDescent="0.3">
      <c r="A117" t="s">
        <v>18</v>
      </c>
      <c r="B117" s="87" t="s">
        <v>86</v>
      </c>
      <c r="D117" t="s">
        <v>18</v>
      </c>
      <c r="E117" s="45" t="s">
        <v>86</v>
      </c>
      <c r="G117" t="s">
        <v>18</v>
      </c>
      <c r="H117" s="45" t="s">
        <v>87</v>
      </c>
      <c r="J117" t="s">
        <v>18</v>
      </c>
      <c r="K117" s="45" t="s">
        <v>86</v>
      </c>
    </row>
    <row r="118" spans="1:11" x14ac:dyDescent="0.3">
      <c r="A118" t="s">
        <v>19</v>
      </c>
      <c r="B118" s="88" t="s">
        <v>86</v>
      </c>
      <c r="D118" t="s">
        <v>19</v>
      </c>
      <c r="E118" s="46" t="s">
        <v>87</v>
      </c>
      <c r="G118" t="s">
        <v>19</v>
      </c>
      <c r="H118" s="46" t="s">
        <v>87</v>
      </c>
      <c r="J118" t="s">
        <v>19</v>
      </c>
      <c r="K118" s="46" t="s">
        <v>87</v>
      </c>
    </row>
    <row r="119" spans="1:11" x14ac:dyDescent="0.3">
      <c r="A119" t="s">
        <v>20</v>
      </c>
      <c r="B119" s="88" t="s">
        <v>86</v>
      </c>
      <c r="D119" t="s">
        <v>20</v>
      </c>
      <c r="E119" s="46" t="s">
        <v>86</v>
      </c>
      <c r="G119" t="s">
        <v>20</v>
      </c>
      <c r="H119" s="46" t="s">
        <v>86</v>
      </c>
      <c r="J119" t="s">
        <v>20</v>
      </c>
      <c r="K119" s="46" t="s">
        <v>86</v>
      </c>
    </row>
    <row r="120" spans="1:11" x14ac:dyDescent="0.3">
      <c r="A120" t="s">
        <v>21</v>
      </c>
      <c r="B120" s="88" t="s">
        <v>87</v>
      </c>
      <c r="D120" t="s">
        <v>21</v>
      </c>
      <c r="E120" s="46" t="s">
        <v>86</v>
      </c>
      <c r="G120" t="s">
        <v>21</v>
      </c>
      <c r="H120" s="46" t="s">
        <v>86</v>
      </c>
      <c r="J120" t="s">
        <v>21</v>
      </c>
      <c r="K120" s="46" t="s">
        <v>87</v>
      </c>
    </row>
    <row r="121" spans="1:11" ht="15" thickBot="1" x14ac:dyDescent="0.35">
      <c r="A121" t="s">
        <v>22</v>
      </c>
      <c r="B121" s="91" t="s">
        <v>86</v>
      </c>
      <c r="D121" t="s">
        <v>22</v>
      </c>
      <c r="E121" s="47" t="s">
        <v>86</v>
      </c>
      <c r="G121" t="s">
        <v>22</v>
      </c>
      <c r="H121" s="47" t="s">
        <v>87</v>
      </c>
      <c r="J121" t="s">
        <v>22</v>
      </c>
      <c r="K121" s="47" t="s">
        <v>87</v>
      </c>
    </row>
    <row r="123" spans="1:11" x14ac:dyDescent="0.3">
      <c r="A123" s="6" t="s">
        <v>39</v>
      </c>
      <c r="B123" s="5" t="s">
        <v>34</v>
      </c>
    </row>
    <row r="124" spans="1:11" x14ac:dyDescent="0.3">
      <c r="A124" t="s">
        <v>11</v>
      </c>
      <c r="B124" s="86">
        <v>42097</v>
      </c>
    </row>
    <row r="126" spans="1:11" x14ac:dyDescent="0.3">
      <c r="A126" s="9" t="s">
        <v>28</v>
      </c>
      <c r="D126" s="9" t="s">
        <v>29</v>
      </c>
      <c r="G126" s="9" t="s">
        <v>30</v>
      </c>
      <c r="J126" s="9" t="s">
        <v>35</v>
      </c>
    </row>
    <row r="127" spans="1:11" ht="15" thickBot="1" x14ac:dyDescent="0.35">
      <c r="B127" s="5" t="s">
        <v>36</v>
      </c>
      <c r="E127" t="s">
        <v>36</v>
      </c>
      <c r="H127" t="s">
        <v>36</v>
      </c>
      <c r="K127" t="s">
        <v>36</v>
      </c>
    </row>
    <row r="128" spans="1:11" x14ac:dyDescent="0.3">
      <c r="A128" t="s">
        <v>18</v>
      </c>
      <c r="B128" s="87" t="s">
        <v>86</v>
      </c>
      <c r="D128" t="s">
        <v>18</v>
      </c>
      <c r="E128" s="45" t="s">
        <v>86</v>
      </c>
      <c r="G128" t="s">
        <v>18</v>
      </c>
      <c r="H128" s="45" t="s">
        <v>87</v>
      </c>
      <c r="J128" t="s">
        <v>18</v>
      </c>
      <c r="K128" s="45" t="s">
        <v>87</v>
      </c>
    </row>
    <row r="129" spans="1:11" x14ac:dyDescent="0.3">
      <c r="A129" t="s">
        <v>19</v>
      </c>
      <c r="B129" s="88" t="s">
        <v>86</v>
      </c>
      <c r="D129" t="s">
        <v>19</v>
      </c>
      <c r="E129" s="46" t="s">
        <v>87</v>
      </c>
      <c r="G129" t="s">
        <v>19</v>
      </c>
      <c r="H129" s="46" t="s">
        <v>87</v>
      </c>
      <c r="J129" t="s">
        <v>19</v>
      </c>
      <c r="K129" s="46" t="s">
        <v>87</v>
      </c>
    </row>
    <row r="130" spans="1:11" x14ac:dyDescent="0.3">
      <c r="A130" t="s">
        <v>20</v>
      </c>
      <c r="B130" s="88" t="s">
        <v>86</v>
      </c>
      <c r="D130" t="s">
        <v>20</v>
      </c>
      <c r="E130" s="46" t="s">
        <v>86</v>
      </c>
      <c r="G130" t="s">
        <v>20</v>
      </c>
      <c r="H130" s="46" t="s">
        <v>86</v>
      </c>
      <c r="J130" t="s">
        <v>20</v>
      </c>
      <c r="K130" s="46" t="s">
        <v>87</v>
      </c>
    </row>
    <row r="131" spans="1:11" x14ac:dyDescent="0.3">
      <c r="A131" t="s">
        <v>21</v>
      </c>
      <c r="B131" s="88" t="s">
        <v>87</v>
      </c>
      <c r="D131" t="s">
        <v>21</v>
      </c>
      <c r="E131" s="46" t="s">
        <v>86</v>
      </c>
      <c r="G131" t="s">
        <v>21</v>
      </c>
      <c r="H131" s="46" t="s">
        <v>86</v>
      </c>
      <c r="J131" t="s">
        <v>21</v>
      </c>
      <c r="K131" s="46" t="s">
        <v>87</v>
      </c>
    </row>
    <row r="132" spans="1:11" ht="15" thickBot="1" x14ac:dyDescent="0.35">
      <c r="A132" t="s">
        <v>22</v>
      </c>
      <c r="B132" s="91" t="s">
        <v>86</v>
      </c>
      <c r="D132" t="s">
        <v>22</v>
      </c>
      <c r="E132" s="47" t="s">
        <v>86</v>
      </c>
      <c r="G132" t="s">
        <v>22</v>
      </c>
      <c r="H132" s="47" t="s">
        <v>87</v>
      </c>
      <c r="J132" t="s">
        <v>22</v>
      </c>
      <c r="K132" s="47" t="s">
        <v>87</v>
      </c>
    </row>
    <row r="134" spans="1:11" x14ac:dyDescent="0.3">
      <c r="A134" s="6" t="s">
        <v>40</v>
      </c>
      <c r="B134" s="5" t="s">
        <v>34</v>
      </c>
    </row>
    <row r="135" spans="1:11" x14ac:dyDescent="0.3">
      <c r="A135" t="s">
        <v>11</v>
      </c>
      <c r="B135" s="86">
        <v>42098</v>
      </c>
    </row>
    <row r="137" spans="1:11" x14ac:dyDescent="0.3">
      <c r="A137" s="9" t="s">
        <v>28</v>
      </c>
      <c r="D137" s="9" t="s">
        <v>29</v>
      </c>
      <c r="G137" s="9" t="s">
        <v>30</v>
      </c>
      <c r="J137" s="9" t="s">
        <v>35</v>
      </c>
    </row>
    <row r="138" spans="1:11" ht="15" thickBot="1" x14ac:dyDescent="0.35">
      <c r="B138" s="5" t="s">
        <v>36</v>
      </c>
      <c r="E138" t="s">
        <v>36</v>
      </c>
      <c r="H138" t="s">
        <v>36</v>
      </c>
      <c r="K138" t="s">
        <v>36</v>
      </c>
    </row>
    <row r="139" spans="1:11" x14ac:dyDescent="0.3">
      <c r="A139" t="s">
        <v>18</v>
      </c>
      <c r="B139" s="87" t="s">
        <v>86</v>
      </c>
      <c r="D139" t="s">
        <v>18</v>
      </c>
      <c r="E139" s="45" t="s">
        <v>86</v>
      </c>
      <c r="G139" t="s">
        <v>18</v>
      </c>
      <c r="H139" s="45" t="s">
        <v>87</v>
      </c>
      <c r="J139" t="s">
        <v>18</v>
      </c>
      <c r="K139" s="45" t="s">
        <v>87</v>
      </c>
    </row>
    <row r="140" spans="1:11" x14ac:dyDescent="0.3">
      <c r="A140" t="s">
        <v>19</v>
      </c>
      <c r="B140" s="88" t="s">
        <v>86</v>
      </c>
      <c r="D140" t="s">
        <v>19</v>
      </c>
      <c r="E140" s="46" t="s">
        <v>87</v>
      </c>
      <c r="G140" t="s">
        <v>19</v>
      </c>
      <c r="H140" s="46" t="s">
        <v>87</v>
      </c>
      <c r="J140" t="s">
        <v>19</v>
      </c>
      <c r="K140" s="46" t="s">
        <v>87</v>
      </c>
    </row>
    <row r="141" spans="1:11" x14ac:dyDescent="0.3">
      <c r="A141" t="s">
        <v>20</v>
      </c>
      <c r="B141" s="88" t="s">
        <v>86</v>
      </c>
      <c r="D141" t="s">
        <v>20</v>
      </c>
      <c r="E141" s="46" t="s">
        <v>86</v>
      </c>
      <c r="G141" t="s">
        <v>20</v>
      </c>
      <c r="H141" s="46" t="s">
        <v>86</v>
      </c>
      <c r="J141" t="s">
        <v>20</v>
      </c>
      <c r="K141" s="46" t="s">
        <v>87</v>
      </c>
    </row>
    <row r="142" spans="1:11" x14ac:dyDescent="0.3">
      <c r="A142" t="s">
        <v>21</v>
      </c>
      <c r="B142" s="88" t="s">
        <v>87</v>
      </c>
      <c r="D142" t="s">
        <v>21</v>
      </c>
      <c r="E142" s="46" t="s">
        <v>86</v>
      </c>
      <c r="G142" t="s">
        <v>21</v>
      </c>
      <c r="H142" s="46" t="s">
        <v>87</v>
      </c>
      <c r="J142" t="s">
        <v>21</v>
      </c>
      <c r="K142" s="46" t="s">
        <v>87</v>
      </c>
    </row>
    <row r="143" spans="1:11" ht="15" thickBot="1" x14ac:dyDescent="0.35">
      <c r="A143" t="s">
        <v>22</v>
      </c>
      <c r="B143" s="91" t="s">
        <v>86</v>
      </c>
      <c r="D143" t="s">
        <v>22</v>
      </c>
      <c r="E143" s="47" t="s">
        <v>86</v>
      </c>
      <c r="G143" t="s">
        <v>22</v>
      </c>
      <c r="H143" s="47" t="s">
        <v>87</v>
      </c>
      <c r="J143" t="s">
        <v>22</v>
      </c>
      <c r="K143" s="47" t="s">
        <v>87</v>
      </c>
    </row>
    <row r="145" spans="1:24" x14ac:dyDescent="0.3">
      <c r="A145" s="6" t="s">
        <v>41</v>
      </c>
      <c r="B145" s="5" t="s">
        <v>34</v>
      </c>
    </row>
    <row r="146" spans="1:24" x14ac:dyDescent="0.3">
      <c r="A146" t="s">
        <v>11</v>
      </c>
      <c r="B146" s="86">
        <v>42099</v>
      </c>
    </row>
    <row r="148" spans="1:24" x14ac:dyDescent="0.3">
      <c r="A148" s="9" t="s">
        <v>28</v>
      </c>
      <c r="D148" s="9" t="s">
        <v>29</v>
      </c>
      <c r="G148" s="9" t="s">
        <v>30</v>
      </c>
      <c r="J148" s="9" t="s">
        <v>35</v>
      </c>
    </row>
    <row r="149" spans="1:24" ht="15" thickBot="1" x14ac:dyDescent="0.35">
      <c r="B149" s="5" t="s">
        <v>36</v>
      </c>
      <c r="E149" t="s">
        <v>36</v>
      </c>
      <c r="H149" t="s">
        <v>36</v>
      </c>
      <c r="K149" t="s">
        <v>36</v>
      </c>
    </row>
    <row r="150" spans="1:24" x14ac:dyDescent="0.3">
      <c r="A150" t="s">
        <v>18</v>
      </c>
      <c r="B150" s="87" t="s">
        <v>86</v>
      </c>
      <c r="D150" t="s">
        <v>18</v>
      </c>
      <c r="E150" s="45" t="s">
        <v>86</v>
      </c>
      <c r="G150" t="s">
        <v>18</v>
      </c>
      <c r="H150" s="45" t="s">
        <v>87</v>
      </c>
      <c r="J150" t="s">
        <v>18</v>
      </c>
      <c r="K150" s="45" t="s">
        <v>87</v>
      </c>
    </row>
    <row r="151" spans="1:24" x14ac:dyDescent="0.3">
      <c r="A151" t="s">
        <v>19</v>
      </c>
      <c r="B151" s="88" t="s">
        <v>86</v>
      </c>
      <c r="D151" t="s">
        <v>19</v>
      </c>
      <c r="E151" s="46" t="s">
        <v>87</v>
      </c>
      <c r="G151" t="s">
        <v>19</v>
      </c>
      <c r="H151" s="46" t="s">
        <v>87</v>
      </c>
      <c r="J151" t="s">
        <v>19</v>
      </c>
      <c r="K151" s="46" t="s">
        <v>88</v>
      </c>
    </row>
    <row r="152" spans="1:24" x14ac:dyDescent="0.3">
      <c r="A152" t="s">
        <v>20</v>
      </c>
      <c r="B152" s="88" t="s">
        <v>86</v>
      </c>
      <c r="D152" t="s">
        <v>20</v>
      </c>
      <c r="E152" s="46" t="s">
        <v>86</v>
      </c>
      <c r="G152" t="s">
        <v>20</v>
      </c>
      <c r="H152" s="46" t="s">
        <v>86</v>
      </c>
      <c r="J152" t="s">
        <v>20</v>
      </c>
      <c r="K152" s="46" t="s">
        <v>87</v>
      </c>
    </row>
    <row r="153" spans="1:24" x14ac:dyDescent="0.3">
      <c r="A153" t="s">
        <v>21</v>
      </c>
      <c r="B153" s="88" t="s">
        <v>87</v>
      </c>
      <c r="D153" t="s">
        <v>21</v>
      </c>
      <c r="E153" s="46" t="s">
        <v>86</v>
      </c>
      <c r="G153" t="s">
        <v>21</v>
      </c>
      <c r="H153" s="46" t="s">
        <v>87</v>
      </c>
      <c r="J153" t="s">
        <v>21</v>
      </c>
      <c r="K153" s="46" t="s">
        <v>88</v>
      </c>
    </row>
    <row r="154" spans="1:24" ht="15" thickBot="1" x14ac:dyDescent="0.35">
      <c r="A154" t="s">
        <v>22</v>
      </c>
      <c r="B154" s="91" t="s">
        <v>86</v>
      </c>
      <c r="D154" t="s">
        <v>22</v>
      </c>
      <c r="E154" s="47" t="s">
        <v>86</v>
      </c>
      <c r="G154" t="s">
        <v>22</v>
      </c>
      <c r="H154" s="47" t="s">
        <v>87</v>
      </c>
      <c r="J154" t="s">
        <v>22</v>
      </c>
      <c r="K154" s="47" t="s">
        <v>87</v>
      </c>
    </row>
    <row r="155" spans="1:24" x14ac:dyDescent="0.3">
      <c r="E155" s="10"/>
    </row>
    <row r="156" spans="1:24" x14ac:dyDescent="0.3">
      <c r="A156" s="6" t="s">
        <v>44</v>
      </c>
      <c r="B156" s="5" t="s">
        <v>69</v>
      </c>
      <c r="N156" t="s">
        <v>59</v>
      </c>
    </row>
    <row r="157" spans="1:24" x14ac:dyDescent="0.3">
      <c r="A157" t="s">
        <v>11</v>
      </c>
      <c r="B157" s="86">
        <v>42100</v>
      </c>
      <c r="D157" s="8" t="s">
        <v>78</v>
      </c>
    </row>
    <row r="159" spans="1:24" x14ac:dyDescent="0.3">
      <c r="A159" s="9" t="s">
        <v>28</v>
      </c>
      <c r="D159" s="9" t="s">
        <v>29</v>
      </c>
      <c r="G159" s="9" t="s">
        <v>30</v>
      </c>
      <c r="J159" s="9" t="s">
        <v>35</v>
      </c>
      <c r="N159" s="9" t="s">
        <v>28</v>
      </c>
      <c r="Q159" s="9" t="s">
        <v>29</v>
      </c>
      <c r="T159" s="9" t="s">
        <v>30</v>
      </c>
      <c r="W159" s="9" t="s">
        <v>35</v>
      </c>
    </row>
    <row r="160" spans="1:24" ht="15" thickBot="1" x14ac:dyDescent="0.35">
      <c r="B160" s="5" t="s">
        <v>27</v>
      </c>
      <c r="C160" t="s">
        <v>43</v>
      </c>
      <c r="E160" t="s">
        <v>27</v>
      </c>
      <c r="F160" t="s">
        <v>43</v>
      </c>
      <c r="H160" t="s">
        <v>27</v>
      </c>
      <c r="I160" t="s">
        <v>43</v>
      </c>
      <c r="K160" t="s">
        <v>27</v>
      </c>
      <c r="L160" t="s">
        <v>43</v>
      </c>
      <c r="O160" t="s">
        <v>76</v>
      </c>
      <c r="R160" t="s">
        <v>76</v>
      </c>
      <c r="U160" t="s">
        <v>76</v>
      </c>
      <c r="X160" t="s">
        <v>76</v>
      </c>
    </row>
    <row r="161" spans="1:24" x14ac:dyDescent="0.3">
      <c r="A161" t="s">
        <v>18</v>
      </c>
      <c r="B161" s="41">
        <v>0</v>
      </c>
      <c r="C161" s="41">
        <v>0</v>
      </c>
      <c r="D161" t="s">
        <v>18</v>
      </c>
      <c r="E161" s="41">
        <v>0</v>
      </c>
      <c r="F161" s="41">
        <v>0</v>
      </c>
      <c r="G161" t="s">
        <v>18</v>
      </c>
      <c r="H161" s="41">
        <v>3.9519056261343014E-2</v>
      </c>
      <c r="I161" s="41">
        <v>1.7241379310344827E-3</v>
      </c>
      <c r="J161" t="s">
        <v>18</v>
      </c>
      <c r="K161" s="41">
        <v>2.7142857142857142E-2</v>
      </c>
      <c r="L161" s="41">
        <v>1.4285714285714286E-3</v>
      </c>
      <c r="N161" t="s">
        <v>18</v>
      </c>
      <c r="O161" s="45" t="s">
        <v>77</v>
      </c>
      <c r="Q161" t="s">
        <v>18</v>
      </c>
      <c r="R161" s="45" t="s">
        <v>77</v>
      </c>
      <c r="T161" t="s">
        <v>18</v>
      </c>
      <c r="U161" s="45">
        <v>6</v>
      </c>
      <c r="W161" t="s">
        <v>18</v>
      </c>
      <c r="X161" s="45">
        <v>7</v>
      </c>
    </row>
    <row r="162" spans="1:24" x14ac:dyDescent="0.3">
      <c r="A162" t="s">
        <v>19</v>
      </c>
      <c r="B162" s="42">
        <v>0</v>
      </c>
      <c r="C162" s="42">
        <v>0</v>
      </c>
      <c r="D162" t="s">
        <v>19</v>
      </c>
      <c r="E162" s="42">
        <v>4.3507890961262556E-2</v>
      </c>
      <c r="F162" s="42">
        <v>1.2195121951219512E-3</v>
      </c>
      <c r="G162" t="s">
        <v>19</v>
      </c>
      <c r="H162" s="42">
        <v>7.9826086956521741E-2</v>
      </c>
      <c r="I162" s="42">
        <v>0</v>
      </c>
      <c r="J162" t="s">
        <v>19</v>
      </c>
      <c r="K162" s="42">
        <v>8.4512471655328797E-2</v>
      </c>
      <c r="L162" s="42">
        <v>2.0408163265306124E-3</v>
      </c>
      <c r="N162" t="s">
        <v>19</v>
      </c>
      <c r="O162" s="46" t="s">
        <v>77</v>
      </c>
      <c r="Q162" t="s">
        <v>19</v>
      </c>
      <c r="R162" s="46">
        <v>5</v>
      </c>
      <c r="T162" t="s">
        <v>19</v>
      </c>
      <c r="U162" s="46">
        <v>6</v>
      </c>
      <c r="W162" t="s">
        <v>19</v>
      </c>
      <c r="X162" s="46">
        <v>6</v>
      </c>
    </row>
    <row r="163" spans="1:24" x14ac:dyDescent="0.3">
      <c r="A163" t="s">
        <v>20</v>
      </c>
      <c r="B163" s="42">
        <v>0</v>
      </c>
      <c r="C163" s="42">
        <v>0</v>
      </c>
      <c r="D163" t="s">
        <v>20</v>
      </c>
      <c r="E163" s="42">
        <v>0</v>
      </c>
      <c r="F163" s="42">
        <v>0</v>
      </c>
      <c r="G163" t="s">
        <v>20</v>
      </c>
      <c r="H163" s="42">
        <v>0</v>
      </c>
      <c r="I163" s="42">
        <v>0</v>
      </c>
      <c r="J163" t="s">
        <v>20</v>
      </c>
      <c r="K163" s="42">
        <v>4.8058608058608059E-2</v>
      </c>
      <c r="L163" s="42">
        <v>1.2820512820512821E-3</v>
      </c>
      <c r="N163" t="s">
        <v>20</v>
      </c>
      <c r="O163" s="46" t="s">
        <v>77</v>
      </c>
      <c r="Q163" t="s">
        <v>20</v>
      </c>
      <c r="R163" s="46" t="s">
        <v>77</v>
      </c>
      <c r="T163" t="s">
        <v>20</v>
      </c>
      <c r="U163" s="46" t="s">
        <v>77</v>
      </c>
      <c r="W163" t="s">
        <v>20</v>
      </c>
      <c r="X163" s="46">
        <v>7</v>
      </c>
    </row>
    <row r="164" spans="1:24" x14ac:dyDescent="0.3">
      <c r="A164" t="s">
        <v>21</v>
      </c>
      <c r="B164" s="42">
        <v>4.7807308970099667E-2</v>
      </c>
      <c r="C164" s="42">
        <v>0</v>
      </c>
      <c r="D164" t="s">
        <v>21</v>
      </c>
      <c r="E164" s="42">
        <v>0</v>
      </c>
      <c r="F164" s="42">
        <v>0</v>
      </c>
      <c r="G164" t="s">
        <v>21</v>
      </c>
      <c r="H164" s="42">
        <v>2.8794642857142855E-2</v>
      </c>
      <c r="I164" s="42">
        <v>0</v>
      </c>
      <c r="J164" t="s">
        <v>21</v>
      </c>
      <c r="K164" s="42">
        <v>5.3630897317298795E-2</v>
      </c>
      <c r="L164" s="42">
        <v>0</v>
      </c>
      <c r="N164" t="s">
        <v>21</v>
      </c>
      <c r="O164" s="46">
        <v>5</v>
      </c>
      <c r="Q164" t="s">
        <v>21</v>
      </c>
      <c r="R164" s="46" t="s">
        <v>77</v>
      </c>
      <c r="T164" t="s">
        <v>21</v>
      </c>
      <c r="U164" s="46">
        <v>8</v>
      </c>
      <c r="W164" t="s">
        <v>21</v>
      </c>
      <c r="X164" s="46">
        <v>6</v>
      </c>
    </row>
    <row r="165" spans="1:24" ht="15" thickBot="1" x14ac:dyDescent="0.35">
      <c r="A165" t="s">
        <v>22</v>
      </c>
      <c r="B165" s="43">
        <v>0</v>
      </c>
      <c r="C165" s="43">
        <v>0</v>
      </c>
      <c r="D165" t="s">
        <v>22</v>
      </c>
      <c r="E165" s="43">
        <v>0</v>
      </c>
      <c r="F165" s="43">
        <v>0</v>
      </c>
      <c r="G165" t="s">
        <v>22</v>
      </c>
      <c r="H165" s="43">
        <v>0.10771317829457365</v>
      </c>
      <c r="I165" s="43">
        <v>0</v>
      </c>
      <c r="J165" t="s">
        <v>22</v>
      </c>
      <c r="K165" s="43">
        <v>2.78125E-2</v>
      </c>
      <c r="L165" s="43">
        <v>0</v>
      </c>
      <c r="N165" t="s">
        <v>22</v>
      </c>
      <c r="O165" s="47" t="s">
        <v>77</v>
      </c>
      <c r="Q165" t="s">
        <v>22</v>
      </c>
      <c r="R165" s="47" t="s">
        <v>77</v>
      </c>
      <c r="T165" t="s">
        <v>22</v>
      </c>
      <c r="U165" s="47">
        <v>5</v>
      </c>
      <c r="W165" t="s">
        <v>22</v>
      </c>
      <c r="X165" s="47">
        <v>5</v>
      </c>
    </row>
    <row r="166" spans="1:24" s="19" customFormat="1" ht="28.8" x14ac:dyDescent="0.3">
      <c r="A166" s="19" t="s">
        <v>13</v>
      </c>
      <c r="B166" s="92">
        <f>AVERAGE(B164)</f>
        <v>4.7807308970099667E-2</v>
      </c>
      <c r="C166" s="44">
        <f>AVERAGE(C164)</f>
        <v>0</v>
      </c>
      <c r="D166" s="19" t="s">
        <v>13</v>
      </c>
      <c r="E166" s="44">
        <f>AVERAGE(E162)</f>
        <v>4.3507890961262556E-2</v>
      </c>
      <c r="F166" s="44">
        <f>AVERAGE(F162)</f>
        <v>1.2195121951219512E-3</v>
      </c>
      <c r="G166" s="19" t="s">
        <v>13</v>
      </c>
      <c r="H166" s="44">
        <f>AVERAGE(H161:H162,H164:H165)</f>
        <v>6.3963241092395318E-2</v>
      </c>
      <c r="I166" s="44">
        <f>AVERAGE(I161:I162,I164:I165)</f>
        <v>4.3103448275862068E-4</v>
      </c>
      <c r="J166" s="19" t="s">
        <v>13</v>
      </c>
      <c r="K166" s="44">
        <f>AVERAGE(K161:K165)</f>
        <v>4.8231466834818555E-2</v>
      </c>
      <c r="L166" s="44">
        <f>AVERAGE(L161:L165)</f>
        <v>9.502878074306645E-4</v>
      </c>
      <c r="N166" s="19" t="s">
        <v>60</v>
      </c>
      <c r="O166" s="48">
        <v>5</v>
      </c>
      <c r="Q166" s="19" t="s">
        <v>60</v>
      </c>
      <c r="R166" s="48">
        <f>AVERAGE(R161:R165)</f>
        <v>5</v>
      </c>
      <c r="T166" s="19" t="s">
        <v>60</v>
      </c>
      <c r="U166" s="48">
        <f>AVERAGE(U161:U162,U164:U165)</f>
        <v>6.25</v>
      </c>
      <c r="W166" s="19" t="s">
        <v>60</v>
      </c>
      <c r="X166" s="48">
        <f>AVERAGE(X161:X165)</f>
        <v>6.2</v>
      </c>
    </row>
    <row r="168" spans="1:24" x14ac:dyDescent="0.3">
      <c r="A168" s="4" t="s">
        <v>45</v>
      </c>
    </row>
    <row r="170" spans="1:24" x14ac:dyDescent="0.3">
      <c r="A170" s="6" t="s">
        <v>46</v>
      </c>
      <c r="I170" s="8"/>
      <c r="J170" s="8"/>
      <c r="K170" s="8"/>
    </row>
    <row r="171" spans="1:24" x14ac:dyDescent="0.3">
      <c r="A171" s="4" t="s">
        <v>11</v>
      </c>
      <c r="B171" s="86">
        <v>42114</v>
      </c>
    </row>
    <row r="172" spans="1:24" ht="15" thickBot="1" x14ac:dyDescent="0.35">
      <c r="A172" s="4"/>
    </row>
    <row r="173" spans="1:24" ht="15" thickBot="1" x14ac:dyDescent="0.35">
      <c r="B173" s="93" t="s">
        <v>17</v>
      </c>
      <c r="C173" s="62" t="s">
        <v>23</v>
      </c>
      <c r="D173" s="62" t="s">
        <v>24</v>
      </c>
      <c r="E173" s="63" t="s">
        <v>25</v>
      </c>
    </row>
    <row r="174" spans="1:24" x14ac:dyDescent="0.3">
      <c r="B174" s="77">
        <v>0</v>
      </c>
      <c r="C174" s="58">
        <v>9</v>
      </c>
      <c r="D174" s="49">
        <v>0</v>
      </c>
      <c r="E174" s="49">
        <v>9</v>
      </c>
    </row>
    <row r="175" spans="1:24" x14ac:dyDescent="0.3">
      <c r="B175" s="78">
        <v>59</v>
      </c>
      <c r="C175" s="59">
        <v>0</v>
      </c>
      <c r="D175" s="50">
        <v>26</v>
      </c>
      <c r="E175" s="50">
        <v>169</v>
      </c>
    </row>
    <row r="176" spans="1:24" x14ac:dyDescent="0.3">
      <c r="B176" s="78">
        <v>0</v>
      </c>
      <c r="C176" s="59">
        <v>0</v>
      </c>
      <c r="D176" s="50">
        <v>0</v>
      </c>
      <c r="E176" s="50">
        <v>43</v>
      </c>
    </row>
    <row r="177" spans="2:11" x14ac:dyDescent="0.3">
      <c r="B177" s="78">
        <v>2</v>
      </c>
      <c r="C177" s="59">
        <v>15</v>
      </c>
      <c r="D177" s="50">
        <v>22</v>
      </c>
      <c r="E177" s="50">
        <v>46</v>
      </c>
    </row>
    <row r="178" spans="2:11" x14ac:dyDescent="0.3">
      <c r="B178" s="78">
        <v>0</v>
      </c>
      <c r="C178" s="59">
        <v>1</v>
      </c>
      <c r="D178" s="50">
        <v>0</v>
      </c>
      <c r="E178" s="50">
        <v>78</v>
      </c>
    </row>
    <row r="179" spans="2:11" x14ac:dyDescent="0.3">
      <c r="B179" s="78">
        <v>0</v>
      </c>
      <c r="C179" s="59">
        <v>0</v>
      </c>
      <c r="D179" s="50">
        <v>26</v>
      </c>
      <c r="E179" s="50">
        <v>120</v>
      </c>
    </row>
    <row r="180" spans="2:11" x14ac:dyDescent="0.3">
      <c r="B180" s="78">
        <v>0</v>
      </c>
      <c r="C180" s="59">
        <v>0</v>
      </c>
      <c r="D180" s="50">
        <v>0</v>
      </c>
      <c r="E180" s="50">
        <v>0</v>
      </c>
    </row>
    <row r="181" spans="2:11" x14ac:dyDescent="0.3">
      <c r="B181" s="78">
        <v>0</v>
      </c>
      <c r="C181" s="59">
        <v>0</v>
      </c>
      <c r="D181" s="50">
        <v>104</v>
      </c>
      <c r="E181" s="50">
        <v>28</v>
      </c>
      <c r="I181" s="8"/>
      <c r="J181" s="8"/>
      <c r="K181" s="8"/>
    </row>
    <row r="182" spans="2:11" x14ac:dyDescent="0.3">
      <c r="B182" s="78">
        <v>16</v>
      </c>
      <c r="C182" s="59">
        <v>0</v>
      </c>
      <c r="D182" s="50">
        <v>88</v>
      </c>
      <c r="E182" s="50">
        <v>7</v>
      </c>
    </row>
    <row r="183" spans="2:11" x14ac:dyDescent="0.3">
      <c r="B183" s="78">
        <v>0</v>
      </c>
      <c r="C183" s="59">
        <v>16</v>
      </c>
      <c r="D183" s="50">
        <v>17</v>
      </c>
      <c r="E183" s="50">
        <v>0</v>
      </c>
    </row>
    <row r="184" spans="2:11" x14ac:dyDescent="0.3">
      <c r="B184" s="78">
        <v>0</v>
      </c>
      <c r="C184" s="59">
        <v>0</v>
      </c>
      <c r="D184" s="50">
        <v>0</v>
      </c>
      <c r="E184" s="50">
        <v>1</v>
      </c>
    </row>
    <row r="185" spans="2:11" x14ac:dyDescent="0.3">
      <c r="B185" s="78">
        <v>0</v>
      </c>
      <c r="C185" s="59">
        <v>0</v>
      </c>
      <c r="D185" s="50">
        <v>0</v>
      </c>
      <c r="E185" s="50">
        <v>0</v>
      </c>
    </row>
    <row r="186" spans="2:11" x14ac:dyDescent="0.3">
      <c r="B186" s="78">
        <v>0</v>
      </c>
      <c r="C186" s="59">
        <v>0</v>
      </c>
      <c r="D186" s="50">
        <v>0</v>
      </c>
      <c r="E186" s="50">
        <v>42</v>
      </c>
    </row>
    <row r="187" spans="2:11" x14ac:dyDescent="0.3">
      <c r="B187" s="78">
        <v>0</v>
      </c>
      <c r="C187" s="59">
        <v>122</v>
      </c>
      <c r="D187" s="50">
        <v>163</v>
      </c>
      <c r="E187" s="50">
        <v>17</v>
      </c>
    </row>
    <row r="188" spans="2:11" x14ac:dyDescent="0.3">
      <c r="B188" s="78">
        <v>14</v>
      </c>
      <c r="C188" s="59">
        <v>8</v>
      </c>
      <c r="D188" s="50">
        <v>72</v>
      </c>
      <c r="E188" s="50">
        <v>10</v>
      </c>
    </row>
    <row r="189" spans="2:11" x14ac:dyDescent="0.3">
      <c r="B189" s="78">
        <v>1</v>
      </c>
      <c r="C189" s="59">
        <v>0</v>
      </c>
      <c r="D189" s="50">
        <v>49</v>
      </c>
      <c r="E189" s="50">
        <v>0</v>
      </c>
    </row>
    <row r="190" spans="2:11" x14ac:dyDescent="0.3">
      <c r="B190" s="78">
        <v>0</v>
      </c>
      <c r="C190" s="59">
        <v>3</v>
      </c>
      <c r="D190" s="50">
        <v>0</v>
      </c>
      <c r="E190" s="50">
        <v>26</v>
      </c>
    </row>
    <row r="191" spans="2:11" x14ac:dyDescent="0.3">
      <c r="B191" s="78">
        <v>0</v>
      </c>
      <c r="C191" s="59">
        <v>0</v>
      </c>
      <c r="D191" s="50">
        <v>0</v>
      </c>
      <c r="E191" s="50">
        <v>17</v>
      </c>
    </row>
    <row r="192" spans="2:11" x14ac:dyDescent="0.3">
      <c r="B192" s="78">
        <v>2</v>
      </c>
      <c r="C192" s="59">
        <v>0</v>
      </c>
      <c r="D192" s="50">
        <v>0</v>
      </c>
      <c r="E192" s="50">
        <v>113</v>
      </c>
    </row>
    <row r="193" spans="2:5" x14ac:dyDescent="0.3">
      <c r="B193" s="78">
        <v>0</v>
      </c>
      <c r="C193" s="59">
        <v>0</v>
      </c>
      <c r="D193" s="50">
        <v>0</v>
      </c>
      <c r="E193" s="50">
        <v>65</v>
      </c>
    </row>
    <row r="194" spans="2:5" x14ac:dyDescent="0.3">
      <c r="B194" s="78">
        <v>1</v>
      </c>
      <c r="C194" s="59">
        <v>0</v>
      </c>
      <c r="D194" s="50">
        <v>0</v>
      </c>
      <c r="E194" s="50">
        <v>38</v>
      </c>
    </row>
    <row r="195" spans="2:5" x14ac:dyDescent="0.3">
      <c r="B195" s="78">
        <v>2</v>
      </c>
      <c r="C195" s="59">
        <v>0</v>
      </c>
      <c r="D195" s="50">
        <v>29</v>
      </c>
      <c r="E195" s="50">
        <v>11</v>
      </c>
    </row>
    <row r="196" spans="2:5" x14ac:dyDescent="0.3">
      <c r="B196" s="78">
        <v>0</v>
      </c>
      <c r="C196" s="59">
        <v>1</v>
      </c>
      <c r="D196" s="50">
        <v>27</v>
      </c>
      <c r="E196" s="50">
        <v>74</v>
      </c>
    </row>
    <row r="197" spans="2:5" x14ac:dyDescent="0.3">
      <c r="B197" s="78">
        <v>0</v>
      </c>
      <c r="C197" s="59">
        <v>32</v>
      </c>
      <c r="D197" s="50">
        <v>78</v>
      </c>
      <c r="E197" s="50">
        <v>29</v>
      </c>
    </row>
    <row r="198" spans="2:5" x14ac:dyDescent="0.3">
      <c r="B198" s="78">
        <v>0</v>
      </c>
      <c r="C198" s="59">
        <v>3</v>
      </c>
      <c r="D198" s="50">
        <v>0</v>
      </c>
      <c r="E198" s="50">
        <v>26</v>
      </c>
    </row>
    <row r="199" spans="2:5" x14ac:dyDescent="0.3">
      <c r="B199" s="78">
        <v>0</v>
      </c>
      <c r="C199" s="59">
        <v>0</v>
      </c>
      <c r="D199" s="50">
        <v>0</v>
      </c>
      <c r="E199" s="50">
        <v>5</v>
      </c>
    </row>
    <row r="200" spans="2:5" x14ac:dyDescent="0.3">
      <c r="B200" s="78">
        <v>0</v>
      </c>
      <c r="C200" s="59">
        <v>3</v>
      </c>
      <c r="D200" s="50">
        <v>0</v>
      </c>
      <c r="E200" s="50">
        <v>6</v>
      </c>
    </row>
    <row r="201" spans="2:5" x14ac:dyDescent="0.3">
      <c r="B201" s="78">
        <v>3</v>
      </c>
      <c r="C201" s="64">
        <v>0</v>
      </c>
      <c r="D201" s="50">
        <v>22</v>
      </c>
      <c r="E201" s="50">
        <v>0</v>
      </c>
    </row>
    <row r="202" spans="2:5" x14ac:dyDescent="0.3">
      <c r="B202" s="78">
        <v>0</v>
      </c>
      <c r="C202" s="59">
        <v>19</v>
      </c>
      <c r="D202" s="50">
        <v>0</v>
      </c>
      <c r="E202" s="50">
        <v>0</v>
      </c>
    </row>
    <row r="203" spans="2:5" x14ac:dyDescent="0.3">
      <c r="B203" s="78">
        <v>0</v>
      </c>
      <c r="C203" s="59">
        <v>0</v>
      </c>
      <c r="D203" s="50">
        <v>7</v>
      </c>
      <c r="E203" s="50">
        <v>0</v>
      </c>
    </row>
    <row r="204" spans="2:5" x14ac:dyDescent="0.3">
      <c r="B204" s="78">
        <v>2</v>
      </c>
      <c r="C204" s="59">
        <v>0</v>
      </c>
      <c r="D204" s="50">
        <v>0</v>
      </c>
      <c r="E204" s="50">
        <v>50</v>
      </c>
    </row>
    <row r="205" spans="2:5" x14ac:dyDescent="0.3">
      <c r="B205" s="78">
        <v>0</v>
      </c>
      <c r="C205" s="59">
        <v>16</v>
      </c>
      <c r="D205" s="50">
        <v>0</v>
      </c>
      <c r="E205" s="50">
        <v>80</v>
      </c>
    </row>
    <row r="206" spans="2:5" x14ac:dyDescent="0.3">
      <c r="B206" s="78">
        <v>16</v>
      </c>
      <c r="C206" s="59">
        <v>0</v>
      </c>
      <c r="D206" s="50">
        <v>166</v>
      </c>
      <c r="E206" s="50">
        <v>56</v>
      </c>
    </row>
    <row r="207" spans="2:5" x14ac:dyDescent="0.3">
      <c r="B207" s="78">
        <v>0</v>
      </c>
      <c r="C207" s="59">
        <v>0</v>
      </c>
      <c r="D207" s="50">
        <v>0</v>
      </c>
      <c r="E207" s="50">
        <v>0</v>
      </c>
    </row>
    <row r="208" spans="2:5" x14ac:dyDescent="0.3">
      <c r="B208" s="78">
        <v>0</v>
      </c>
      <c r="C208" s="59">
        <v>0</v>
      </c>
      <c r="D208" s="50">
        <v>88</v>
      </c>
      <c r="E208" s="50">
        <v>60</v>
      </c>
    </row>
    <row r="209" spans="2:9" x14ac:dyDescent="0.3">
      <c r="B209" s="78">
        <v>0</v>
      </c>
      <c r="C209" s="59">
        <v>14</v>
      </c>
      <c r="D209" s="50">
        <v>0</v>
      </c>
      <c r="E209" s="50">
        <v>63</v>
      </c>
    </row>
    <row r="210" spans="2:9" x14ac:dyDescent="0.3">
      <c r="B210" s="78">
        <v>0</v>
      </c>
      <c r="C210" s="59">
        <v>5</v>
      </c>
      <c r="D210" s="50">
        <v>0</v>
      </c>
      <c r="E210" s="50">
        <v>0</v>
      </c>
    </row>
    <row r="211" spans="2:9" x14ac:dyDescent="0.3">
      <c r="B211" s="78">
        <v>0</v>
      </c>
      <c r="C211" s="59">
        <v>0</v>
      </c>
      <c r="D211" s="50">
        <v>90</v>
      </c>
      <c r="E211" s="50">
        <v>29</v>
      </c>
    </row>
    <row r="212" spans="2:9" x14ac:dyDescent="0.3">
      <c r="B212" s="78">
        <v>1</v>
      </c>
      <c r="C212" s="59">
        <v>0</v>
      </c>
      <c r="D212" s="50">
        <v>0</v>
      </c>
      <c r="E212" s="50">
        <v>4</v>
      </c>
    </row>
    <row r="213" spans="2:9" x14ac:dyDescent="0.3">
      <c r="B213" s="78">
        <v>0</v>
      </c>
      <c r="C213" s="59">
        <v>10</v>
      </c>
      <c r="D213" s="50">
        <v>67</v>
      </c>
      <c r="E213" s="50">
        <v>76</v>
      </c>
    </row>
    <row r="214" spans="2:9" x14ac:dyDescent="0.3">
      <c r="B214" s="78">
        <v>0</v>
      </c>
      <c r="C214" s="59">
        <v>0</v>
      </c>
      <c r="D214" s="50">
        <v>10</v>
      </c>
      <c r="E214" s="50">
        <v>32</v>
      </c>
      <c r="I214" t="s">
        <v>84</v>
      </c>
    </row>
    <row r="215" spans="2:9" x14ac:dyDescent="0.3">
      <c r="B215" s="78">
        <v>0</v>
      </c>
      <c r="C215" s="64">
        <v>0</v>
      </c>
      <c r="D215" s="50">
        <v>116</v>
      </c>
      <c r="E215" s="50">
        <v>0</v>
      </c>
    </row>
    <row r="216" spans="2:9" x14ac:dyDescent="0.3">
      <c r="B216" s="78">
        <v>0</v>
      </c>
      <c r="C216" s="59">
        <v>23</v>
      </c>
      <c r="D216" s="50">
        <v>1</v>
      </c>
      <c r="E216" s="50">
        <v>112</v>
      </c>
    </row>
    <row r="217" spans="2:9" x14ac:dyDescent="0.3">
      <c r="B217" s="78">
        <v>0</v>
      </c>
      <c r="C217" s="59">
        <v>2</v>
      </c>
      <c r="D217" s="50">
        <v>0</v>
      </c>
      <c r="E217" s="50">
        <v>0</v>
      </c>
    </row>
    <row r="218" spans="2:9" x14ac:dyDescent="0.3">
      <c r="B218" s="78">
        <v>0</v>
      </c>
      <c r="C218" s="59">
        <v>0</v>
      </c>
      <c r="D218" s="50">
        <v>18</v>
      </c>
      <c r="E218" s="50">
        <v>39</v>
      </c>
    </row>
    <row r="219" spans="2:9" x14ac:dyDescent="0.3">
      <c r="B219" s="78">
        <v>4</v>
      </c>
      <c r="C219" s="59">
        <v>0</v>
      </c>
      <c r="D219" s="50">
        <v>0</v>
      </c>
      <c r="E219" s="50">
        <v>85</v>
      </c>
    </row>
    <row r="220" spans="2:9" x14ac:dyDescent="0.3">
      <c r="B220" s="78">
        <v>0</v>
      </c>
      <c r="C220" s="59">
        <v>10</v>
      </c>
      <c r="D220" s="50">
        <v>28</v>
      </c>
      <c r="E220" s="50">
        <v>40</v>
      </c>
    </row>
    <row r="221" spans="2:9" x14ac:dyDescent="0.3">
      <c r="B221" s="78">
        <v>0</v>
      </c>
      <c r="C221" s="59">
        <v>0</v>
      </c>
      <c r="D221" s="50">
        <v>0</v>
      </c>
      <c r="E221" s="50">
        <v>0</v>
      </c>
    </row>
    <row r="222" spans="2:9" x14ac:dyDescent="0.3">
      <c r="B222" s="78">
        <v>0</v>
      </c>
      <c r="C222" s="59">
        <v>0</v>
      </c>
      <c r="D222" s="50">
        <v>0</v>
      </c>
      <c r="E222" s="50">
        <v>2</v>
      </c>
    </row>
    <row r="223" spans="2:9" x14ac:dyDescent="0.3">
      <c r="B223" s="78">
        <v>55</v>
      </c>
      <c r="C223" s="59">
        <v>0</v>
      </c>
      <c r="D223" s="50">
        <v>18</v>
      </c>
      <c r="E223" s="50">
        <v>0</v>
      </c>
    </row>
    <row r="224" spans="2:9" ht="15" thickBot="1" x14ac:dyDescent="0.35">
      <c r="B224" s="79"/>
      <c r="C224" s="60"/>
      <c r="D224" s="51"/>
      <c r="E224" s="61"/>
    </row>
    <row r="226" spans="1:52" x14ac:dyDescent="0.3">
      <c r="A226" t="s">
        <v>6</v>
      </c>
      <c r="B226" s="94">
        <v>50</v>
      </c>
      <c r="C226" s="64">
        <v>50</v>
      </c>
      <c r="D226" s="64">
        <v>50</v>
      </c>
      <c r="E226" s="64">
        <v>50</v>
      </c>
    </row>
    <row r="227" spans="1:52" x14ac:dyDescent="0.3">
      <c r="A227" t="s">
        <v>7</v>
      </c>
      <c r="B227" s="83">
        <v>14</v>
      </c>
      <c r="C227" s="30">
        <v>19</v>
      </c>
      <c r="D227" s="30">
        <v>24</v>
      </c>
      <c r="E227" s="30">
        <v>37</v>
      </c>
    </row>
    <row r="228" spans="1:52" x14ac:dyDescent="0.3">
      <c r="A228" t="s">
        <v>8</v>
      </c>
      <c r="B228" s="83">
        <v>36</v>
      </c>
      <c r="C228" s="30">
        <v>31</v>
      </c>
      <c r="D228" s="30">
        <v>26</v>
      </c>
      <c r="E228" s="30">
        <v>13</v>
      </c>
    </row>
    <row r="229" spans="1:52" x14ac:dyDescent="0.3">
      <c r="B229" s="83"/>
      <c r="C229" s="30"/>
      <c r="D229" s="30"/>
      <c r="E229" s="30"/>
    </row>
    <row r="230" spans="1:52" x14ac:dyDescent="0.3">
      <c r="A230" t="s">
        <v>9</v>
      </c>
      <c r="B230" s="84">
        <f>AVERAGE(B174:B223)</f>
        <v>3.56</v>
      </c>
      <c r="C230" s="57">
        <f>AVERAGE(C174:C223)</f>
        <v>6.24</v>
      </c>
      <c r="D230" s="57">
        <f>AVERAGE(D174:D223)</f>
        <v>26.64</v>
      </c>
      <c r="E230" s="57">
        <f>AVERAGE(E174:E223)</f>
        <v>34.159999999999997</v>
      </c>
    </row>
    <row r="231" spans="1:52" x14ac:dyDescent="0.3">
      <c r="A231" t="s">
        <v>10</v>
      </c>
      <c r="B231" s="84">
        <v>1.6439999999999999</v>
      </c>
      <c r="C231" s="57">
        <v>2.57</v>
      </c>
      <c r="D231" s="57">
        <v>6.0750000000000002</v>
      </c>
      <c r="E231" s="57">
        <v>5.5129999999999999</v>
      </c>
    </row>
    <row r="232" spans="1:52" x14ac:dyDescent="0.3">
      <c r="B232" s="83"/>
      <c r="C232" s="30"/>
      <c r="D232" s="30"/>
      <c r="E232" s="30"/>
    </row>
    <row r="233" spans="1:52" x14ac:dyDescent="0.3">
      <c r="A233" t="s">
        <v>61</v>
      </c>
      <c r="B233" s="53">
        <f>B227/B226</f>
        <v>0.28000000000000003</v>
      </c>
      <c r="C233" s="53">
        <f>C227/C226</f>
        <v>0.38</v>
      </c>
      <c r="D233" s="53">
        <f>D227/D226</f>
        <v>0.48</v>
      </c>
      <c r="E233" s="53">
        <f>E227/E226</f>
        <v>0.74</v>
      </c>
    </row>
    <row r="235" spans="1:52" x14ac:dyDescent="0.3">
      <c r="A235" s="6" t="s">
        <v>32</v>
      </c>
    </row>
    <row r="236" spans="1:52" x14ac:dyDescent="0.3">
      <c r="A236" s="4" t="s">
        <v>11</v>
      </c>
      <c r="B236" s="86">
        <v>42121</v>
      </c>
    </row>
    <row r="238" spans="1:52" x14ac:dyDescent="0.3">
      <c r="A238" s="6" t="s">
        <v>17</v>
      </c>
      <c r="K238" s="6" t="s">
        <v>23</v>
      </c>
      <c r="V238" s="6" t="s">
        <v>24</v>
      </c>
      <c r="AJ238" s="6" t="s">
        <v>25</v>
      </c>
    </row>
    <row r="239" spans="1:52" s="18" customFormat="1" ht="58.2" thickBot="1" x14ac:dyDescent="0.35">
      <c r="B239" s="95"/>
      <c r="C239" s="18" t="s">
        <v>12</v>
      </c>
      <c r="D239" s="18" t="s">
        <v>13</v>
      </c>
      <c r="F239" s="18" t="s">
        <v>14</v>
      </c>
      <c r="G239" s="18" t="s">
        <v>15</v>
      </c>
      <c r="H239" s="18" t="s">
        <v>16</v>
      </c>
      <c r="N239" s="18" t="s">
        <v>12</v>
      </c>
      <c r="O239" s="18" t="s">
        <v>13</v>
      </c>
      <c r="Q239" s="18" t="s">
        <v>14</v>
      </c>
      <c r="R239" s="18" t="s">
        <v>15</v>
      </c>
      <c r="S239" s="18" t="s">
        <v>16</v>
      </c>
      <c r="AB239" s="18" t="s">
        <v>12</v>
      </c>
      <c r="AC239" s="18" t="s">
        <v>13</v>
      </c>
      <c r="AE239" s="18" t="s">
        <v>14</v>
      </c>
      <c r="AF239" s="18" t="s">
        <v>15</v>
      </c>
      <c r="AG239" s="18" t="s">
        <v>16</v>
      </c>
      <c r="AU239" s="18" t="s">
        <v>12</v>
      </c>
      <c r="AV239" s="18" t="s">
        <v>13</v>
      </c>
      <c r="AX239" s="18" t="s">
        <v>14</v>
      </c>
      <c r="AY239" s="18" t="s">
        <v>15</v>
      </c>
      <c r="AZ239" s="18" t="s">
        <v>16</v>
      </c>
    </row>
    <row r="240" spans="1:52" x14ac:dyDescent="0.3">
      <c r="A240" s="5" t="s">
        <v>18</v>
      </c>
      <c r="B240" s="77">
        <v>0</v>
      </c>
      <c r="C240" s="30">
        <f>SUM(B240)</f>
        <v>0</v>
      </c>
      <c r="D240" s="30">
        <f>AVERAGE(B240)</f>
        <v>0</v>
      </c>
      <c r="F240" s="54">
        <f>AVERAGE(C240:C244)</f>
        <v>0</v>
      </c>
      <c r="G240" s="54">
        <f>AVERAGE(B240:B244)</f>
        <v>0</v>
      </c>
      <c r="H240" s="53">
        <v>0</v>
      </c>
      <c r="K240" s="5" t="s">
        <v>18</v>
      </c>
      <c r="L240" s="49">
        <v>0</v>
      </c>
      <c r="M240" s="49">
        <v>0</v>
      </c>
      <c r="N240" s="30">
        <f>SUM(L240:M240)</f>
        <v>0</v>
      </c>
      <c r="O240" s="30">
        <f>AVERAGE(L240:M240)</f>
        <v>0</v>
      </c>
      <c r="Q240" s="30">
        <f>AVERAGE(N240:N244)</f>
        <v>2.6</v>
      </c>
      <c r="R240" s="30">
        <f>AVERAGE(L240:M244)</f>
        <v>1.3</v>
      </c>
      <c r="S240" s="53">
        <f>4/10</f>
        <v>0.4</v>
      </c>
      <c r="V240" s="5" t="s">
        <v>18</v>
      </c>
      <c r="W240" s="49">
        <v>0</v>
      </c>
      <c r="X240" s="49">
        <v>0</v>
      </c>
      <c r="Y240" s="49">
        <v>2</v>
      </c>
      <c r="Z240" s="49">
        <v>0</v>
      </c>
      <c r="AA240" s="49">
        <v>3</v>
      </c>
      <c r="AB240" s="30">
        <f>SUM(W240:AA240)</f>
        <v>5</v>
      </c>
      <c r="AC240" s="30">
        <f>AVERAGE(W240:AA240)</f>
        <v>1</v>
      </c>
      <c r="AE240" s="30">
        <f>AVERAGE(AB240:AB244)</f>
        <v>5.2</v>
      </c>
      <c r="AF240" s="54">
        <f>AVERAGE(W240:AA244)</f>
        <v>1.04</v>
      </c>
      <c r="AG240" s="53">
        <f>10/25</f>
        <v>0.4</v>
      </c>
      <c r="AJ240" s="5" t="s">
        <v>18</v>
      </c>
      <c r="AK240" s="49">
        <v>0</v>
      </c>
      <c r="AL240" s="49">
        <v>0</v>
      </c>
      <c r="AM240" s="49">
        <v>3</v>
      </c>
      <c r="AN240" s="49">
        <v>1</v>
      </c>
      <c r="AO240" s="49">
        <v>0</v>
      </c>
      <c r="AP240" s="49">
        <v>0</v>
      </c>
      <c r="AQ240" s="49">
        <v>0</v>
      </c>
      <c r="AR240" s="49">
        <v>4</v>
      </c>
      <c r="AS240" s="49">
        <v>3</v>
      </c>
      <c r="AT240" s="49">
        <v>3</v>
      </c>
      <c r="AU240" s="30">
        <f>SUM(AK240:AT240)</f>
        <v>14</v>
      </c>
      <c r="AV240" s="30">
        <f>AVERAGE(AK240:AT240)</f>
        <v>1.4</v>
      </c>
      <c r="AX240" s="30">
        <f>AVERAGE(AU240:AU244)</f>
        <v>15.6</v>
      </c>
      <c r="AY240" s="54">
        <f>AVERAGE(AK240:AT244)</f>
        <v>1.56</v>
      </c>
      <c r="AZ240" s="53">
        <f>29/50</f>
        <v>0.57999999999999996</v>
      </c>
    </row>
    <row r="241" spans="1:48" x14ac:dyDescent="0.3">
      <c r="A241" s="5" t="s">
        <v>19</v>
      </c>
      <c r="B241" s="78">
        <v>0</v>
      </c>
      <c r="C241" s="30">
        <f>SUM(B241)</f>
        <v>0</v>
      </c>
      <c r="D241" s="30">
        <f>AVERAGE(B241)</f>
        <v>0</v>
      </c>
      <c r="K241" s="5" t="s">
        <v>19</v>
      </c>
      <c r="L241" s="50">
        <v>0</v>
      </c>
      <c r="M241" s="50">
        <v>3</v>
      </c>
      <c r="N241" s="30">
        <f>SUM(L241:M241)</f>
        <v>3</v>
      </c>
      <c r="O241" s="30">
        <f>AVERAGE(L241:M241)</f>
        <v>1.5</v>
      </c>
      <c r="V241" s="5" t="s">
        <v>19</v>
      </c>
      <c r="W241" s="50">
        <v>4</v>
      </c>
      <c r="X241" s="50">
        <v>2</v>
      </c>
      <c r="Y241" s="50">
        <v>3</v>
      </c>
      <c r="Z241" s="50">
        <v>0</v>
      </c>
      <c r="AA241" s="50">
        <v>1</v>
      </c>
      <c r="AB241" s="30">
        <f>SUM(W241:AA241)</f>
        <v>10</v>
      </c>
      <c r="AC241" s="30">
        <f>AVERAGE(W241:AA241)</f>
        <v>2</v>
      </c>
      <c r="AJ241" s="5" t="s">
        <v>19</v>
      </c>
      <c r="AK241" s="50">
        <v>0</v>
      </c>
      <c r="AL241" s="50">
        <v>4</v>
      </c>
      <c r="AM241" s="50">
        <v>0</v>
      </c>
      <c r="AN241" s="50">
        <v>4</v>
      </c>
      <c r="AO241" s="50">
        <v>4</v>
      </c>
      <c r="AP241" s="50">
        <v>2</v>
      </c>
      <c r="AQ241" s="50">
        <v>0</v>
      </c>
      <c r="AR241" s="50">
        <v>0</v>
      </c>
      <c r="AS241" s="50">
        <v>2</v>
      </c>
      <c r="AT241" s="50">
        <v>2</v>
      </c>
      <c r="AU241" s="30">
        <f>SUM(AK241:AT241)</f>
        <v>18</v>
      </c>
      <c r="AV241" s="30">
        <f>AVERAGE(AK241:AT241)</f>
        <v>1.8</v>
      </c>
    </row>
    <row r="242" spans="1:48" x14ac:dyDescent="0.3">
      <c r="A242" s="5" t="s">
        <v>20</v>
      </c>
      <c r="B242" s="78">
        <v>0</v>
      </c>
      <c r="C242" s="30">
        <f>SUM(B242)</f>
        <v>0</v>
      </c>
      <c r="D242" s="30">
        <f>AVERAGE(B242)</f>
        <v>0</v>
      </c>
      <c r="K242" s="5" t="s">
        <v>20</v>
      </c>
      <c r="L242" s="50">
        <v>0</v>
      </c>
      <c r="M242" s="50">
        <v>4</v>
      </c>
      <c r="N242" s="30">
        <f>SUM(L242:M242)</f>
        <v>4</v>
      </c>
      <c r="O242" s="30">
        <f>AVERAGE(L242:M242)</f>
        <v>2</v>
      </c>
      <c r="V242" s="5" t="s">
        <v>20</v>
      </c>
      <c r="W242" s="50">
        <v>4</v>
      </c>
      <c r="X242" s="50">
        <v>0</v>
      </c>
      <c r="Y242" s="50">
        <v>0</v>
      </c>
      <c r="Z242" s="50">
        <v>0</v>
      </c>
      <c r="AA242" s="50">
        <v>3</v>
      </c>
      <c r="AB242" s="30">
        <f>SUM(W242:AA242)</f>
        <v>7</v>
      </c>
      <c r="AC242" s="30">
        <f>AVERAGE(W242:AA242)</f>
        <v>1.4</v>
      </c>
      <c r="AJ242" s="5" t="s">
        <v>20</v>
      </c>
      <c r="AK242" s="50">
        <v>3</v>
      </c>
      <c r="AL242" s="50">
        <v>0</v>
      </c>
      <c r="AM242" s="50">
        <v>3</v>
      </c>
      <c r="AN242" s="50">
        <v>0</v>
      </c>
      <c r="AO242" s="50">
        <v>0</v>
      </c>
      <c r="AP242" s="50">
        <v>0</v>
      </c>
      <c r="AQ242" s="50">
        <v>2</v>
      </c>
      <c r="AR242" s="50">
        <v>1</v>
      </c>
      <c r="AS242" s="50">
        <v>1</v>
      </c>
      <c r="AT242" s="50">
        <v>3</v>
      </c>
      <c r="AU242" s="30">
        <f>SUM(AK242:AT242)</f>
        <v>13</v>
      </c>
      <c r="AV242" s="30">
        <f>AVERAGE(AK242:AT242)</f>
        <v>1.3</v>
      </c>
    </row>
    <row r="243" spans="1:48" x14ac:dyDescent="0.3">
      <c r="A243" s="5" t="s">
        <v>21</v>
      </c>
      <c r="B243" s="78">
        <v>0</v>
      </c>
      <c r="C243" s="30">
        <f>SUM(B243)</f>
        <v>0</v>
      </c>
      <c r="D243" s="30">
        <f>AVERAGE(B243)</f>
        <v>0</v>
      </c>
      <c r="K243" s="5" t="s">
        <v>21</v>
      </c>
      <c r="L243" s="50">
        <v>2</v>
      </c>
      <c r="M243" s="50">
        <v>0</v>
      </c>
      <c r="N243" s="30">
        <f>SUM(L243:M243)</f>
        <v>2</v>
      </c>
      <c r="O243" s="30">
        <f>AVERAGE(L243:M243)</f>
        <v>1</v>
      </c>
      <c r="V243" s="5" t="s">
        <v>21</v>
      </c>
      <c r="W243" s="50">
        <v>0</v>
      </c>
      <c r="X243" s="50">
        <v>0</v>
      </c>
      <c r="Y243" s="50">
        <v>0</v>
      </c>
      <c r="Z243" s="50">
        <v>0</v>
      </c>
      <c r="AA243" s="50">
        <v>0</v>
      </c>
      <c r="AB243" s="30">
        <f>SUM(W243:AA243)</f>
        <v>0</v>
      </c>
      <c r="AC243" s="30">
        <f>AVERAGE(W243:AA243)</f>
        <v>0</v>
      </c>
      <c r="AJ243" s="5" t="s">
        <v>21</v>
      </c>
      <c r="AK243" s="50">
        <v>2</v>
      </c>
      <c r="AL243" s="50">
        <v>0</v>
      </c>
      <c r="AM243" s="50">
        <v>4</v>
      </c>
      <c r="AN243" s="50">
        <v>4</v>
      </c>
      <c r="AO243" s="50">
        <v>3</v>
      </c>
      <c r="AP243" s="50">
        <v>0</v>
      </c>
      <c r="AQ243" s="50">
        <v>4</v>
      </c>
      <c r="AR243" s="50">
        <v>0</v>
      </c>
      <c r="AS243" s="50">
        <v>2</v>
      </c>
      <c r="AT243" s="50">
        <v>0</v>
      </c>
      <c r="AU243" s="30">
        <f>SUM(AK243:AT243)</f>
        <v>19</v>
      </c>
      <c r="AV243" s="30">
        <f>AVERAGE(AK243:AT243)</f>
        <v>1.9</v>
      </c>
    </row>
    <row r="244" spans="1:48" ht="15" thickBot="1" x14ac:dyDescent="0.35">
      <c r="A244" s="5" t="s">
        <v>22</v>
      </c>
      <c r="B244" s="79">
        <v>0</v>
      </c>
      <c r="C244" s="30">
        <f>SUM(B244)</f>
        <v>0</v>
      </c>
      <c r="D244" s="30">
        <f>AVERAGE(B244)</f>
        <v>0</v>
      </c>
      <c r="K244" s="5" t="s">
        <v>22</v>
      </c>
      <c r="L244" s="51">
        <v>0</v>
      </c>
      <c r="M244" s="51">
        <v>4</v>
      </c>
      <c r="N244" s="30">
        <f>SUM(L244:M244)</f>
        <v>4</v>
      </c>
      <c r="O244" s="30">
        <f>AVERAGE(L244:M244)</f>
        <v>2</v>
      </c>
      <c r="V244" s="5" t="s">
        <v>22</v>
      </c>
      <c r="W244" s="51">
        <v>0</v>
      </c>
      <c r="X244" s="51">
        <v>0</v>
      </c>
      <c r="Y244" s="51">
        <v>3</v>
      </c>
      <c r="Z244" s="51">
        <v>0</v>
      </c>
      <c r="AA244" s="51">
        <v>1</v>
      </c>
      <c r="AB244" s="30">
        <f>SUM(W244:AA244)</f>
        <v>4</v>
      </c>
      <c r="AC244" s="30">
        <f>AVERAGE(W244:AA244)</f>
        <v>0.8</v>
      </c>
      <c r="AJ244" s="5" t="s">
        <v>22</v>
      </c>
      <c r="AK244" s="51">
        <v>0</v>
      </c>
      <c r="AL244" s="51">
        <v>3</v>
      </c>
      <c r="AM244" s="51">
        <v>2</v>
      </c>
      <c r="AN244" s="51">
        <v>2</v>
      </c>
      <c r="AO244" s="51">
        <v>4</v>
      </c>
      <c r="AP244" s="51">
        <v>3</v>
      </c>
      <c r="AQ244" s="51">
        <v>0</v>
      </c>
      <c r="AR244" s="51">
        <v>0</v>
      </c>
      <c r="AS244" s="51">
        <v>0</v>
      </c>
      <c r="AT244" s="51">
        <v>0</v>
      </c>
      <c r="AU244" s="30">
        <f>SUM(AK244:AT244)</f>
        <v>14</v>
      </c>
      <c r="AV244" s="30">
        <f>AVERAGE(AK244:AT244)</f>
        <v>1.4</v>
      </c>
    </row>
    <row r="246" spans="1:48" x14ac:dyDescent="0.3">
      <c r="A246" s="7" t="s">
        <v>47</v>
      </c>
    </row>
    <row r="248" spans="1:48" x14ac:dyDescent="0.3">
      <c r="A248" s="4" t="s">
        <v>48</v>
      </c>
    </row>
    <row r="250" spans="1:48" x14ac:dyDescent="0.3">
      <c r="A250" s="6" t="s">
        <v>33</v>
      </c>
      <c r="B250" s="5" t="s">
        <v>34</v>
      </c>
    </row>
    <row r="251" spans="1:48" x14ac:dyDescent="0.3">
      <c r="A251" t="s">
        <v>11</v>
      </c>
      <c r="B251" s="86" t="s">
        <v>91</v>
      </c>
    </row>
    <row r="253" spans="1:48" x14ac:dyDescent="0.3">
      <c r="A253" s="9" t="s">
        <v>28</v>
      </c>
      <c r="D253" s="9" t="s">
        <v>29</v>
      </c>
      <c r="G253" s="9" t="s">
        <v>30</v>
      </c>
      <c r="J253" s="9" t="s">
        <v>35</v>
      </c>
    </row>
    <row r="254" spans="1:48" ht="15" thickBot="1" x14ac:dyDescent="0.35">
      <c r="B254" s="5" t="s">
        <v>36</v>
      </c>
      <c r="E254" t="s">
        <v>36</v>
      </c>
      <c r="H254" t="s">
        <v>36</v>
      </c>
      <c r="K254" t="s">
        <v>36</v>
      </c>
    </row>
    <row r="255" spans="1:48" x14ac:dyDescent="0.3">
      <c r="A255" t="s">
        <v>18</v>
      </c>
      <c r="B255" s="77" t="s">
        <v>86</v>
      </c>
      <c r="D255" t="s">
        <v>18</v>
      </c>
      <c r="E255" s="77" t="s">
        <v>86</v>
      </c>
      <c r="G255" t="s">
        <v>18</v>
      </c>
      <c r="H255" s="77" t="s">
        <v>86</v>
      </c>
      <c r="J255" t="s">
        <v>18</v>
      </c>
      <c r="K255" s="77" t="s">
        <v>86</v>
      </c>
    </row>
    <row r="256" spans="1:48" x14ac:dyDescent="0.3">
      <c r="A256" t="s">
        <v>19</v>
      </c>
      <c r="B256" s="78" t="s">
        <v>86</v>
      </c>
      <c r="D256" t="s">
        <v>19</v>
      </c>
      <c r="E256" s="78" t="s">
        <v>86</v>
      </c>
      <c r="G256" t="s">
        <v>19</v>
      </c>
      <c r="H256" s="78" t="s">
        <v>86</v>
      </c>
      <c r="J256" t="s">
        <v>19</v>
      </c>
      <c r="K256" s="78" t="s">
        <v>86</v>
      </c>
    </row>
    <row r="257" spans="1:12" x14ac:dyDescent="0.3">
      <c r="A257" t="s">
        <v>20</v>
      </c>
      <c r="B257" s="78" t="s">
        <v>86</v>
      </c>
      <c r="D257" t="s">
        <v>20</v>
      </c>
      <c r="E257" s="78" t="s">
        <v>86</v>
      </c>
      <c r="G257" t="s">
        <v>20</v>
      </c>
      <c r="H257" s="78" t="s">
        <v>86</v>
      </c>
      <c r="J257" t="s">
        <v>20</v>
      </c>
      <c r="K257" s="78" t="s">
        <v>86</v>
      </c>
      <c r="L257" s="65"/>
    </row>
    <row r="258" spans="1:12" x14ac:dyDescent="0.3">
      <c r="A258" t="s">
        <v>21</v>
      </c>
      <c r="B258" s="78" t="s">
        <v>86</v>
      </c>
      <c r="D258" t="s">
        <v>21</v>
      </c>
      <c r="E258" s="78" t="s">
        <v>86</v>
      </c>
      <c r="G258" t="s">
        <v>21</v>
      </c>
      <c r="H258" s="78" t="s">
        <v>86</v>
      </c>
      <c r="J258" t="s">
        <v>21</v>
      </c>
      <c r="K258" s="78" t="s">
        <v>86</v>
      </c>
    </row>
    <row r="259" spans="1:12" ht="15" thickBot="1" x14ac:dyDescent="0.35">
      <c r="A259" t="s">
        <v>22</v>
      </c>
      <c r="B259" s="79" t="s">
        <v>86</v>
      </c>
      <c r="D259" t="s">
        <v>22</v>
      </c>
      <c r="E259" s="79" t="s">
        <v>86</v>
      </c>
      <c r="G259" t="s">
        <v>22</v>
      </c>
      <c r="H259" s="79" t="s">
        <v>86</v>
      </c>
      <c r="J259" t="s">
        <v>22</v>
      </c>
      <c r="K259" s="79" t="s">
        <v>86</v>
      </c>
    </row>
    <row r="260" spans="1:12" x14ac:dyDescent="0.3">
      <c r="A260" s="8"/>
      <c r="B260" s="8"/>
      <c r="C260" s="8"/>
    </row>
    <row r="261" spans="1:12" x14ac:dyDescent="0.3">
      <c r="A261" s="6" t="s">
        <v>37</v>
      </c>
      <c r="B261" s="5" t="s">
        <v>34</v>
      </c>
    </row>
    <row r="262" spans="1:12" x14ac:dyDescent="0.3">
      <c r="A262" t="s">
        <v>11</v>
      </c>
      <c r="B262" s="86" t="s">
        <v>92</v>
      </c>
    </row>
    <row r="264" spans="1:12" x14ac:dyDescent="0.3">
      <c r="A264" s="9" t="s">
        <v>28</v>
      </c>
      <c r="D264" s="9" t="s">
        <v>29</v>
      </c>
      <c r="G264" s="9" t="s">
        <v>30</v>
      </c>
      <c r="J264" s="9" t="s">
        <v>35</v>
      </c>
    </row>
    <row r="265" spans="1:12" ht="15" thickBot="1" x14ac:dyDescent="0.35">
      <c r="B265" s="5" t="s">
        <v>36</v>
      </c>
      <c r="E265" t="s">
        <v>36</v>
      </c>
      <c r="H265" t="s">
        <v>36</v>
      </c>
      <c r="K265" t="s">
        <v>36</v>
      </c>
    </row>
    <row r="266" spans="1:12" x14ac:dyDescent="0.3">
      <c r="A266" t="s">
        <v>18</v>
      </c>
      <c r="B266" s="77" t="s">
        <v>86</v>
      </c>
      <c r="D266" t="s">
        <v>18</v>
      </c>
      <c r="E266" s="77" t="s">
        <v>86</v>
      </c>
      <c r="G266" t="s">
        <v>18</v>
      </c>
      <c r="H266" s="77" t="s">
        <v>86</v>
      </c>
      <c r="J266" t="s">
        <v>18</v>
      </c>
      <c r="K266" s="77" t="s">
        <v>87</v>
      </c>
    </row>
    <row r="267" spans="1:12" x14ac:dyDescent="0.3">
      <c r="A267" t="s">
        <v>19</v>
      </c>
      <c r="B267" s="78" t="s">
        <v>86</v>
      </c>
      <c r="D267" t="s">
        <v>19</v>
      </c>
      <c r="E267" s="78" t="s">
        <v>86</v>
      </c>
      <c r="G267" t="s">
        <v>19</v>
      </c>
      <c r="H267" s="78" t="s">
        <v>86</v>
      </c>
      <c r="J267" t="s">
        <v>19</v>
      </c>
      <c r="K267" s="78" t="s">
        <v>86</v>
      </c>
    </row>
    <row r="268" spans="1:12" x14ac:dyDescent="0.3">
      <c r="A268" t="s">
        <v>20</v>
      </c>
      <c r="B268" s="78" t="s">
        <v>86</v>
      </c>
      <c r="D268" t="s">
        <v>20</v>
      </c>
      <c r="E268" s="78" t="s">
        <v>86</v>
      </c>
      <c r="G268" t="s">
        <v>20</v>
      </c>
      <c r="H268" s="78" t="s">
        <v>86</v>
      </c>
      <c r="J268" t="s">
        <v>20</v>
      </c>
      <c r="K268" s="78" t="s">
        <v>86</v>
      </c>
    </row>
    <row r="269" spans="1:12" x14ac:dyDescent="0.3">
      <c r="A269" t="s">
        <v>21</v>
      </c>
      <c r="B269" s="78" t="s">
        <v>86</v>
      </c>
      <c r="D269" t="s">
        <v>21</v>
      </c>
      <c r="E269" s="78" t="s">
        <v>86</v>
      </c>
      <c r="G269" t="s">
        <v>21</v>
      </c>
      <c r="H269" s="78" t="s">
        <v>86</v>
      </c>
      <c r="J269" t="s">
        <v>21</v>
      </c>
      <c r="K269" s="78" t="s">
        <v>87</v>
      </c>
    </row>
    <row r="270" spans="1:12" ht="15" thickBot="1" x14ac:dyDescent="0.35">
      <c r="A270" t="s">
        <v>22</v>
      </c>
      <c r="B270" s="79" t="s">
        <v>86</v>
      </c>
      <c r="D270" t="s">
        <v>22</v>
      </c>
      <c r="E270" s="79" t="s">
        <v>86</v>
      </c>
      <c r="G270" t="s">
        <v>22</v>
      </c>
      <c r="H270" s="79" t="s">
        <v>86</v>
      </c>
      <c r="J270" t="s">
        <v>22</v>
      </c>
      <c r="K270" s="79" t="s">
        <v>86</v>
      </c>
    </row>
    <row r="273" spans="1:11" x14ac:dyDescent="0.3">
      <c r="A273" s="6" t="s">
        <v>38</v>
      </c>
      <c r="B273" s="5" t="s">
        <v>34</v>
      </c>
    </row>
    <row r="274" spans="1:11" x14ac:dyDescent="0.3">
      <c r="A274" t="s">
        <v>11</v>
      </c>
      <c r="B274" s="86" t="s">
        <v>93</v>
      </c>
    </row>
    <row r="276" spans="1:11" x14ac:dyDescent="0.3">
      <c r="A276" s="9" t="s">
        <v>28</v>
      </c>
      <c r="D276" s="9" t="s">
        <v>29</v>
      </c>
      <c r="G276" s="9" t="s">
        <v>30</v>
      </c>
      <c r="J276" s="9" t="s">
        <v>35</v>
      </c>
    </row>
    <row r="277" spans="1:11" ht="15" thickBot="1" x14ac:dyDescent="0.35">
      <c r="B277" s="5" t="s">
        <v>36</v>
      </c>
      <c r="E277" t="s">
        <v>36</v>
      </c>
      <c r="H277" t="s">
        <v>36</v>
      </c>
      <c r="K277" t="s">
        <v>36</v>
      </c>
    </row>
    <row r="278" spans="1:11" x14ac:dyDescent="0.3">
      <c r="A278" t="s">
        <v>18</v>
      </c>
      <c r="B278" s="77" t="s">
        <v>86</v>
      </c>
      <c r="D278" t="s">
        <v>18</v>
      </c>
      <c r="E278" s="77" t="s">
        <v>86</v>
      </c>
      <c r="G278" t="s">
        <v>18</v>
      </c>
      <c r="H278" s="77" t="s">
        <v>86</v>
      </c>
      <c r="J278" t="s">
        <v>18</v>
      </c>
      <c r="K278" s="77" t="s">
        <v>87</v>
      </c>
    </row>
    <row r="279" spans="1:11" x14ac:dyDescent="0.3">
      <c r="A279" t="s">
        <v>19</v>
      </c>
      <c r="B279" s="78" t="s">
        <v>86</v>
      </c>
      <c r="D279" t="s">
        <v>19</v>
      </c>
      <c r="E279" s="78" t="s">
        <v>86</v>
      </c>
      <c r="G279" t="s">
        <v>19</v>
      </c>
      <c r="H279" s="78" t="s">
        <v>86</v>
      </c>
      <c r="J279" t="s">
        <v>19</v>
      </c>
      <c r="K279" s="78" t="s">
        <v>86</v>
      </c>
    </row>
    <row r="280" spans="1:11" x14ac:dyDescent="0.3">
      <c r="A280" t="s">
        <v>20</v>
      </c>
      <c r="B280" s="78" t="s">
        <v>86</v>
      </c>
      <c r="D280" t="s">
        <v>20</v>
      </c>
      <c r="E280" s="78" t="s">
        <v>86</v>
      </c>
      <c r="G280" t="s">
        <v>20</v>
      </c>
      <c r="H280" s="78" t="s">
        <v>86</v>
      </c>
      <c r="J280" t="s">
        <v>20</v>
      </c>
      <c r="K280" s="78" t="s">
        <v>86</v>
      </c>
    </row>
    <row r="281" spans="1:11" x14ac:dyDescent="0.3">
      <c r="A281" t="s">
        <v>21</v>
      </c>
      <c r="B281" s="78" t="s">
        <v>86</v>
      </c>
      <c r="D281" t="s">
        <v>21</v>
      </c>
      <c r="E281" s="78" t="s">
        <v>86</v>
      </c>
      <c r="G281" t="s">
        <v>21</v>
      </c>
      <c r="H281" s="78" t="s">
        <v>86</v>
      </c>
      <c r="J281" t="s">
        <v>21</v>
      </c>
      <c r="K281" s="78" t="s">
        <v>87</v>
      </c>
    </row>
    <row r="282" spans="1:11" ht="15" thickBot="1" x14ac:dyDescent="0.35">
      <c r="A282" t="s">
        <v>22</v>
      </c>
      <c r="B282" s="79" t="s">
        <v>86</v>
      </c>
      <c r="D282" t="s">
        <v>22</v>
      </c>
      <c r="E282" s="79" t="s">
        <v>86</v>
      </c>
      <c r="G282" t="s">
        <v>22</v>
      </c>
      <c r="H282" s="79" t="s">
        <v>87</v>
      </c>
      <c r="J282" t="s">
        <v>22</v>
      </c>
      <c r="K282" s="79" t="s">
        <v>86</v>
      </c>
    </row>
    <row r="284" spans="1:11" x14ac:dyDescent="0.3">
      <c r="A284" s="6" t="s">
        <v>39</v>
      </c>
      <c r="B284" s="5" t="s">
        <v>34</v>
      </c>
    </row>
    <row r="285" spans="1:11" x14ac:dyDescent="0.3">
      <c r="A285" t="s">
        <v>11</v>
      </c>
      <c r="B285" s="86" t="s">
        <v>94</v>
      </c>
    </row>
    <row r="287" spans="1:11" x14ac:dyDescent="0.3">
      <c r="A287" s="9" t="s">
        <v>28</v>
      </c>
      <c r="D287" s="9" t="s">
        <v>29</v>
      </c>
      <c r="G287" s="9" t="s">
        <v>30</v>
      </c>
      <c r="J287" s="9" t="s">
        <v>35</v>
      </c>
    </row>
    <row r="288" spans="1:11" ht="15" thickBot="1" x14ac:dyDescent="0.35">
      <c r="B288" s="5" t="s">
        <v>36</v>
      </c>
      <c r="E288" t="s">
        <v>36</v>
      </c>
      <c r="H288" t="s">
        <v>36</v>
      </c>
      <c r="K288" t="s">
        <v>36</v>
      </c>
    </row>
    <row r="289" spans="1:11" x14ac:dyDescent="0.3">
      <c r="A289" t="s">
        <v>18</v>
      </c>
      <c r="B289" s="77" t="s">
        <v>86</v>
      </c>
      <c r="D289" t="s">
        <v>18</v>
      </c>
      <c r="E289" s="77" t="s">
        <v>86</v>
      </c>
      <c r="G289" t="s">
        <v>18</v>
      </c>
      <c r="H289" s="77" t="s">
        <v>86</v>
      </c>
      <c r="J289" t="s">
        <v>18</v>
      </c>
      <c r="K289" s="77" t="s">
        <v>87</v>
      </c>
    </row>
    <row r="290" spans="1:11" x14ac:dyDescent="0.3">
      <c r="A290" t="s">
        <v>19</v>
      </c>
      <c r="B290" s="78" t="s">
        <v>86</v>
      </c>
      <c r="D290" t="s">
        <v>19</v>
      </c>
      <c r="E290" s="78" t="s">
        <v>86</v>
      </c>
      <c r="G290" t="s">
        <v>19</v>
      </c>
      <c r="H290" s="78" t="s">
        <v>86</v>
      </c>
      <c r="J290" t="s">
        <v>19</v>
      </c>
      <c r="K290" s="78" t="s">
        <v>87</v>
      </c>
    </row>
    <row r="291" spans="1:11" x14ac:dyDescent="0.3">
      <c r="A291" t="s">
        <v>20</v>
      </c>
      <c r="B291" s="78" t="s">
        <v>86</v>
      </c>
      <c r="D291" t="s">
        <v>20</v>
      </c>
      <c r="E291" s="78" t="s">
        <v>87</v>
      </c>
      <c r="G291" t="s">
        <v>20</v>
      </c>
      <c r="H291" s="78" t="s">
        <v>87</v>
      </c>
      <c r="J291" t="s">
        <v>20</v>
      </c>
      <c r="K291" s="78" t="s">
        <v>86</v>
      </c>
    </row>
    <row r="292" spans="1:11" x14ac:dyDescent="0.3">
      <c r="A292" t="s">
        <v>21</v>
      </c>
      <c r="B292" s="78" t="s">
        <v>86</v>
      </c>
      <c r="D292" t="s">
        <v>21</v>
      </c>
      <c r="E292" s="78" t="s">
        <v>86</v>
      </c>
      <c r="G292" t="s">
        <v>21</v>
      </c>
      <c r="H292" s="78" t="s">
        <v>86</v>
      </c>
      <c r="J292" t="s">
        <v>21</v>
      </c>
      <c r="K292" s="78" t="s">
        <v>87</v>
      </c>
    </row>
    <row r="293" spans="1:11" ht="15" thickBot="1" x14ac:dyDescent="0.35">
      <c r="A293" t="s">
        <v>22</v>
      </c>
      <c r="B293" s="79" t="s">
        <v>86</v>
      </c>
      <c r="D293" t="s">
        <v>22</v>
      </c>
      <c r="E293" s="79" t="s">
        <v>86</v>
      </c>
      <c r="G293" t="s">
        <v>22</v>
      </c>
      <c r="H293" s="79" t="s">
        <v>87</v>
      </c>
      <c r="J293" t="s">
        <v>22</v>
      </c>
      <c r="K293" s="79" t="s">
        <v>86</v>
      </c>
    </row>
    <row r="295" spans="1:11" x14ac:dyDescent="0.3">
      <c r="A295" s="6" t="s">
        <v>40</v>
      </c>
      <c r="B295" s="5" t="s">
        <v>34</v>
      </c>
    </row>
    <row r="296" spans="1:11" x14ac:dyDescent="0.3">
      <c r="A296" t="s">
        <v>11</v>
      </c>
      <c r="B296" s="86" t="s">
        <v>95</v>
      </c>
    </row>
    <row r="298" spans="1:11" x14ac:dyDescent="0.3">
      <c r="A298" s="9" t="s">
        <v>28</v>
      </c>
      <c r="D298" s="9" t="s">
        <v>29</v>
      </c>
      <c r="G298" s="9" t="s">
        <v>30</v>
      </c>
      <c r="J298" s="9" t="s">
        <v>35</v>
      </c>
    </row>
    <row r="299" spans="1:11" ht="15" thickBot="1" x14ac:dyDescent="0.35">
      <c r="B299" s="5" t="s">
        <v>36</v>
      </c>
      <c r="E299" t="s">
        <v>36</v>
      </c>
      <c r="H299" t="s">
        <v>36</v>
      </c>
      <c r="K299" t="s">
        <v>36</v>
      </c>
    </row>
    <row r="300" spans="1:11" x14ac:dyDescent="0.3">
      <c r="A300" t="s">
        <v>18</v>
      </c>
      <c r="B300" s="77" t="s">
        <v>86</v>
      </c>
      <c r="D300" t="s">
        <v>18</v>
      </c>
      <c r="E300" s="77" t="s">
        <v>86</v>
      </c>
      <c r="G300" t="s">
        <v>18</v>
      </c>
      <c r="H300" s="77" t="s">
        <v>86</v>
      </c>
      <c r="J300" t="s">
        <v>18</v>
      </c>
      <c r="K300" s="77" t="s">
        <v>87</v>
      </c>
    </row>
    <row r="301" spans="1:11" x14ac:dyDescent="0.3">
      <c r="A301" t="s">
        <v>19</v>
      </c>
      <c r="B301" s="78" t="s">
        <v>86</v>
      </c>
      <c r="D301" t="s">
        <v>19</v>
      </c>
      <c r="E301" s="78" t="s">
        <v>86</v>
      </c>
      <c r="G301" t="s">
        <v>19</v>
      </c>
      <c r="H301" s="78" t="s">
        <v>86</v>
      </c>
      <c r="J301" t="s">
        <v>19</v>
      </c>
      <c r="K301" s="78" t="s">
        <v>87</v>
      </c>
    </row>
    <row r="302" spans="1:11" x14ac:dyDescent="0.3">
      <c r="A302" t="s">
        <v>20</v>
      </c>
      <c r="B302" s="78" t="s">
        <v>86</v>
      </c>
      <c r="D302" t="s">
        <v>20</v>
      </c>
      <c r="E302" s="78" t="s">
        <v>87</v>
      </c>
      <c r="G302" t="s">
        <v>20</v>
      </c>
      <c r="H302" s="78" t="s">
        <v>87</v>
      </c>
      <c r="J302" t="s">
        <v>20</v>
      </c>
      <c r="K302" s="78" t="s">
        <v>86</v>
      </c>
    </row>
    <row r="303" spans="1:11" x14ac:dyDescent="0.3">
      <c r="A303" t="s">
        <v>21</v>
      </c>
      <c r="B303" s="78" t="s">
        <v>86</v>
      </c>
      <c r="D303" t="s">
        <v>21</v>
      </c>
      <c r="E303" s="78" t="s">
        <v>86</v>
      </c>
      <c r="G303" t="s">
        <v>21</v>
      </c>
      <c r="H303" s="78" t="s">
        <v>86</v>
      </c>
      <c r="J303" t="s">
        <v>21</v>
      </c>
      <c r="K303" s="78" t="s">
        <v>87</v>
      </c>
    </row>
    <row r="304" spans="1:11" ht="15" thickBot="1" x14ac:dyDescent="0.35">
      <c r="A304" t="s">
        <v>22</v>
      </c>
      <c r="B304" s="79" t="s">
        <v>86</v>
      </c>
      <c r="D304" t="s">
        <v>22</v>
      </c>
      <c r="E304" s="79" t="s">
        <v>86</v>
      </c>
      <c r="G304" t="s">
        <v>22</v>
      </c>
      <c r="H304" s="79" t="s">
        <v>87</v>
      </c>
      <c r="J304" t="s">
        <v>22</v>
      </c>
      <c r="K304" s="79" t="s">
        <v>86</v>
      </c>
    </row>
    <row r="306" spans="1:23" x14ac:dyDescent="0.3">
      <c r="A306" s="6" t="s">
        <v>41</v>
      </c>
      <c r="B306" s="5" t="s">
        <v>34</v>
      </c>
    </row>
    <row r="307" spans="1:23" x14ac:dyDescent="0.3">
      <c r="A307" t="s">
        <v>11</v>
      </c>
      <c r="B307" s="86" t="s">
        <v>96</v>
      </c>
    </row>
    <row r="309" spans="1:23" x14ac:dyDescent="0.3">
      <c r="A309" s="9" t="s">
        <v>28</v>
      </c>
      <c r="D309" s="9" t="s">
        <v>29</v>
      </c>
      <c r="G309" s="9" t="s">
        <v>30</v>
      </c>
      <c r="J309" s="9" t="s">
        <v>35</v>
      </c>
    </row>
    <row r="310" spans="1:23" ht="15" thickBot="1" x14ac:dyDescent="0.35">
      <c r="B310" s="5" t="s">
        <v>36</v>
      </c>
      <c r="E310" t="s">
        <v>36</v>
      </c>
      <c r="H310" t="s">
        <v>36</v>
      </c>
      <c r="K310" t="s">
        <v>36</v>
      </c>
    </row>
    <row r="311" spans="1:23" x14ac:dyDescent="0.3">
      <c r="A311" t="s">
        <v>18</v>
      </c>
      <c r="B311" s="77" t="s">
        <v>86</v>
      </c>
      <c r="D311" t="s">
        <v>18</v>
      </c>
      <c r="E311" s="77" t="s">
        <v>86</v>
      </c>
      <c r="G311" t="s">
        <v>18</v>
      </c>
      <c r="H311" s="77" t="s">
        <v>86</v>
      </c>
      <c r="J311" t="s">
        <v>18</v>
      </c>
      <c r="K311" s="77" t="s">
        <v>87</v>
      </c>
    </row>
    <row r="312" spans="1:23" x14ac:dyDescent="0.3">
      <c r="A312" t="s">
        <v>19</v>
      </c>
      <c r="B312" s="78" t="s">
        <v>86</v>
      </c>
      <c r="D312" t="s">
        <v>19</v>
      </c>
      <c r="E312" s="78" t="s">
        <v>86</v>
      </c>
      <c r="G312" t="s">
        <v>19</v>
      </c>
      <c r="H312" s="78" t="s">
        <v>86</v>
      </c>
      <c r="J312" t="s">
        <v>19</v>
      </c>
      <c r="K312" s="78" t="s">
        <v>87</v>
      </c>
    </row>
    <row r="313" spans="1:23" x14ac:dyDescent="0.3">
      <c r="A313" t="s">
        <v>20</v>
      </c>
      <c r="B313" s="78" t="s">
        <v>86</v>
      </c>
      <c r="D313" t="s">
        <v>20</v>
      </c>
      <c r="E313" s="78" t="s">
        <v>87</v>
      </c>
      <c r="G313" t="s">
        <v>20</v>
      </c>
      <c r="H313" s="78" t="s">
        <v>87</v>
      </c>
      <c r="J313" t="s">
        <v>20</v>
      </c>
      <c r="K313" s="78" t="s">
        <v>86</v>
      </c>
    </row>
    <row r="314" spans="1:23" x14ac:dyDescent="0.3">
      <c r="A314" t="s">
        <v>21</v>
      </c>
      <c r="B314" s="78" t="s">
        <v>86</v>
      </c>
      <c r="D314" t="s">
        <v>21</v>
      </c>
      <c r="E314" s="78" t="s">
        <v>86</v>
      </c>
      <c r="G314" t="s">
        <v>21</v>
      </c>
      <c r="H314" s="78" t="s">
        <v>86</v>
      </c>
      <c r="J314" t="s">
        <v>21</v>
      </c>
      <c r="K314" s="78" t="s">
        <v>87</v>
      </c>
    </row>
    <row r="315" spans="1:23" ht="15" thickBot="1" x14ac:dyDescent="0.35">
      <c r="A315" t="s">
        <v>22</v>
      </c>
      <c r="B315" s="79" t="s">
        <v>86</v>
      </c>
      <c r="D315" t="s">
        <v>22</v>
      </c>
      <c r="E315" s="79" t="s">
        <v>86</v>
      </c>
      <c r="G315" t="s">
        <v>22</v>
      </c>
      <c r="H315" s="79" t="s">
        <v>87</v>
      </c>
      <c r="J315" t="s">
        <v>22</v>
      </c>
      <c r="K315" s="79" t="s">
        <v>86</v>
      </c>
    </row>
    <row r="317" spans="1:23" x14ac:dyDescent="0.3">
      <c r="A317" s="6" t="s">
        <v>44</v>
      </c>
      <c r="B317" s="5" t="s">
        <v>69</v>
      </c>
      <c r="N317" t="s">
        <v>59</v>
      </c>
    </row>
    <row r="318" spans="1:23" x14ac:dyDescent="0.3">
      <c r="A318" t="s">
        <v>11</v>
      </c>
      <c r="B318" s="86" t="s">
        <v>97</v>
      </c>
    </row>
    <row r="320" spans="1:23" x14ac:dyDescent="0.3">
      <c r="A320" s="9" t="s">
        <v>28</v>
      </c>
      <c r="D320" s="9" t="s">
        <v>29</v>
      </c>
      <c r="G320" s="9" t="s">
        <v>30</v>
      </c>
      <c r="J320" s="9" t="s">
        <v>35</v>
      </c>
      <c r="N320" s="9" t="s">
        <v>28</v>
      </c>
      <c r="Q320" s="9" t="s">
        <v>29</v>
      </c>
      <c r="T320" s="9" t="s">
        <v>30</v>
      </c>
      <c r="W320" s="9" t="s">
        <v>35</v>
      </c>
    </row>
    <row r="321" spans="1:24" ht="15" thickBot="1" x14ac:dyDescent="0.35">
      <c r="B321" s="5" t="s">
        <v>27</v>
      </c>
      <c r="C321" t="s">
        <v>43</v>
      </c>
      <c r="E321" t="s">
        <v>27</v>
      </c>
      <c r="F321" t="s">
        <v>43</v>
      </c>
      <c r="H321" t="s">
        <v>27</v>
      </c>
      <c r="I321" t="s">
        <v>43</v>
      </c>
      <c r="K321" t="s">
        <v>27</v>
      </c>
      <c r="L321" t="s">
        <v>43</v>
      </c>
      <c r="O321" t="s">
        <v>36</v>
      </c>
      <c r="R321" t="s">
        <v>36</v>
      </c>
      <c r="U321" t="s">
        <v>36</v>
      </c>
      <c r="X321" t="s">
        <v>36</v>
      </c>
    </row>
    <row r="322" spans="1:24" x14ac:dyDescent="0.3">
      <c r="A322" t="s">
        <v>18</v>
      </c>
      <c r="B322" s="66">
        <v>0</v>
      </c>
      <c r="C322" s="66">
        <v>0</v>
      </c>
      <c r="D322" t="s">
        <v>18</v>
      </c>
      <c r="E322" s="66">
        <v>0</v>
      </c>
      <c r="F322" s="66">
        <v>0</v>
      </c>
      <c r="G322" t="s">
        <v>18</v>
      </c>
      <c r="H322" s="66">
        <v>0</v>
      </c>
      <c r="I322" s="66">
        <v>0</v>
      </c>
      <c r="J322" t="s">
        <v>18</v>
      </c>
      <c r="K322" s="66">
        <v>6.9500000000000006E-2</v>
      </c>
      <c r="L322" s="66">
        <v>0</v>
      </c>
      <c r="N322" t="s">
        <v>18</v>
      </c>
      <c r="O322" s="49" t="s">
        <v>77</v>
      </c>
      <c r="Q322" t="s">
        <v>18</v>
      </c>
      <c r="R322" s="49" t="s">
        <v>77</v>
      </c>
      <c r="T322" t="s">
        <v>18</v>
      </c>
      <c r="U322" s="49" t="s">
        <v>77</v>
      </c>
      <c r="W322" t="s">
        <v>18</v>
      </c>
      <c r="X322" s="49">
        <v>5</v>
      </c>
    </row>
    <row r="323" spans="1:24" x14ac:dyDescent="0.3">
      <c r="A323" t="s">
        <v>19</v>
      </c>
      <c r="B323" s="67">
        <v>0</v>
      </c>
      <c r="C323" s="67">
        <v>0</v>
      </c>
      <c r="D323" t="s">
        <v>19</v>
      </c>
      <c r="E323" s="67">
        <v>0</v>
      </c>
      <c r="F323" s="67">
        <v>0</v>
      </c>
      <c r="G323" t="s">
        <v>19</v>
      </c>
      <c r="H323" s="67">
        <v>0</v>
      </c>
      <c r="I323" s="67">
        <v>0</v>
      </c>
      <c r="J323" t="s">
        <v>19</v>
      </c>
      <c r="K323" s="67">
        <v>3.7900000000000003E-2</v>
      </c>
      <c r="L323" s="67">
        <v>0</v>
      </c>
      <c r="N323" t="s">
        <v>19</v>
      </c>
      <c r="O323" s="50" t="s">
        <v>77</v>
      </c>
      <c r="Q323" t="s">
        <v>19</v>
      </c>
      <c r="R323" s="50" t="s">
        <v>77</v>
      </c>
      <c r="T323" t="s">
        <v>19</v>
      </c>
      <c r="U323" s="50" t="s">
        <v>77</v>
      </c>
      <c r="W323" t="s">
        <v>19</v>
      </c>
      <c r="X323" s="50">
        <v>7</v>
      </c>
    </row>
    <row r="324" spans="1:24" x14ac:dyDescent="0.3">
      <c r="A324" t="s">
        <v>20</v>
      </c>
      <c r="B324" s="67">
        <v>0</v>
      </c>
      <c r="C324" s="67">
        <v>0</v>
      </c>
      <c r="D324" t="s">
        <v>20</v>
      </c>
      <c r="E324" s="67">
        <v>4.3099999999999999E-2</v>
      </c>
      <c r="F324" s="67">
        <v>0</v>
      </c>
      <c r="G324" t="s">
        <v>20</v>
      </c>
      <c r="H324" s="67">
        <v>3.1699999999999999E-2</v>
      </c>
      <c r="I324" s="67">
        <v>0</v>
      </c>
      <c r="J324" t="s">
        <v>20</v>
      </c>
      <c r="K324" s="67">
        <v>0</v>
      </c>
      <c r="L324" s="67">
        <v>0</v>
      </c>
      <c r="N324" t="s">
        <v>20</v>
      </c>
      <c r="O324" s="50" t="s">
        <v>77</v>
      </c>
      <c r="Q324" t="s">
        <v>20</v>
      </c>
      <c r="R324" s="50">
        <v>7</v>
      </c>
      <c r="T324" t="s">
        <v>20</v>
      </c>
      <c r="U324" s="50">
        <v>7</v>
      </c>
      <c r="W324" t="s">
        <v>20</v>
      </c>
      <c r="X324" s="50" t="s">
        <v>77</v>
      </c>
    </row>
    <row r="325" spans="1:24" x14ac:dyDescent="0.3">
      <c r="A325" t="s">
        <v>21</v>
      </c>
      <c r="B325" s="67">
        <v>0</v>
      </c>
      <c r="C325" s="67">
        <v>0</v>
      </c>
      <c r="D325" t="s">
        <v>21</v>
      </c>
      <c r="E325" s="67">
        <v>0</v>
      </c>
      <c r="F325" s="67">
        <v>0</v>
      </c>
      <c r="G325" t="s">
        <v>21</v>
      </c>
      <c r="H325" s="67">
        <v>0</v>
      </c>
      <c r="I325" s="67">
        <v>0</v>
      </c>
      <c r="J325" t="s">
        <v>21</v>
      </c>
      <c r="K325" s="67">
        <v>6.5500000000000003E-2</v>
      </c>
      <c r="L325" s="67">
        <v>2.0999999999999999E-3</v>
      </c>
      <c r="N325" t="s">
        <v>21</v>
      </c>
      <c r="O325" s="50" t="s">
        <v>77</v>
      </c>
      <c r="Q325" t="s">
        <v>21</v>
      </c>
      <c r="R325" s="50" t="s">
        <v>77</v>
      </c>
      <c r="T325" t="s">
        <v>21</v>
      </c>
      <c r="U325" s="50" t="s">
        <v>77</v>
      </c>
      <c r="W325" t="s">
        <v>21</v>
      </c>
      <c r="X325" s="50">
        <v>5</v>
      </c>
    </row>
    <row r="326" spans="1:24" ht="15" thickBot="1" x14ac:dyDescent="0.35">
      <c r="A326" t="s">
        <v>22</v>
      </c>
      <c r="B326" s="68">
        <v>0</v>
      </c>
      <c r="C326" s="68">
        <v>0</v>
      </c>
      <c r="D326" t="s">
        <v>22</v>
      </c>
      <c r="E326" s="68">
        <v>0</v>
      </c>
      <c r="F326" s="68">
        <v>0</v>
      </c>
      <c r="G326" t="s">
        <v>22</v>
      </c>
      <c r="H326" s="68">
        <v>0.10829999999999999</v>
      </c>
      <c r="I326" s="68">
        <v>1.5E-3</v>
      </c>
      <c r="J326" t="s">
        <v>22</v>
      </c>
      <c r="K326" s="68">
        <v>0</v>
      </c>
      <c r="L326" s="68">
        <v>0</v>
      </c>
      <c r="N326" t="s">
        <v>22</v>
      </c>
      <c r="O326" s="51" t="s">
        <v>77</v>
      </c>
      <c r="Q326" t="s">
        <v>22</v>
      </c>
      <c r="R326" s="51" t="s">
        <v>77</v>
      </c>
      <c r="T326" t="s">
        <v>22</v>
      </c>
      <c r="U326" s="51">
        <v>6</v>
      </c>
      <c r="W326" t="s">
        <v>22</v>
      </c>
      <c r="X326" s="51" t="s">
        <v>77</v>
      </c>
    </row>
    <row r="327" spans="1:24" ht="28.8" x14ac:dyDescent="0.3">
      <c r="A327" t="s">
        <v>13</v>
      </c>
      <c r="B327" s="96">
        <f>AVERAGE(B322:B326)</f>
        <v>0</v>
      </c>
      <c r="C327" s="69">
        <f>AVERAGE(C322:C326)</f>
        <v>0</v>
      </c>
      <c r="D327" t="s">
        <v>13</v>
      </c>
      <c r="E327" s="69">
        <f>AVERAGE(E324)</f>
        <v>4.3099999999999999E-2</v>
      </c>
      <c r="F327" s="69">
        <f>AVERAGE(F324)</f>
        <v>0</v>
      </c>
      <c r="G327" t="s">
        <v>13</v>
      </c>
      <c r="H327" s="69">
        <f>AVERAGE(H324,H326)</f>
        <v>6.9999999999999993E-2</v>
      </c>
      <c r="I327" s="69">
        <f>AVERAGE(I324,I326)</f>
        <v>7.5000000000000002E-4</v>
      </c>
      <c r="J327" t="s">
        <v>13</v>
      </c>
      <c r="K327" s="69">
        <f>AVERAGE(K322:K323,K325)</f>
        <v>5.7633333333333335E-2</v>
      </c>
      <c r="L327" s="69">
        <f>AVERAGE(L322:L323,L325)</f>
        <v>6.9999999999999999E-4</v>
      </c>
      <c r="N327" s="70" t="s">
        <v>60</v>
      </c>
      <c r="O327" s="71" t="s">
        <v>77</v>
      </c>
      <c r="Q327" s="70" t="s">
        <v>60</v>
      </c>
      <c r="R327" s="72">
        <f>AVERAGE(R322:R326)</f>
        <v>7</v>
      </c>
      <c r="T327" s="70" t="s">
        <v>60</v>
      </c>
      <c r="U327" s="72">
        <f>AVERAGE(U322:U326)</f>
        <v>6.5</v>
      </c>
      <c r="W327" s="70" t="s">
        <v>60</v>
      </c>
      <c r="X327" s="117">
        <f>AVERAGE(X322:X326)</f>
        <v>5.666666666666667</v>
      </c>
    </row>
    <row r="329" spans="1:24" x14ac:dyDescent="0.3">
      <c r="A329" s="4" t="s">
        <v>49</v>
      </c>
    </row>
    <row r="331" spans="1:24" x14ac:dyDescent="0.3">
      <c r="A331" s="6" t="s">
        <v>50</v>
      </c>
      <c r="I331" s="8"/>
      <c r="J331" s="8"/>
      <c r="K331" s="8"/>
    </row>
    <row r="332" spans="1:24" x14ac:dyDescent="0.3">
      <c r="A332" s="4" t="s">
        <v>11</v>
      </c>
      <c r="B332" s="86">
        <v>42143</v>
      </c>
    </row>
    <row r="333" spans="1:24" ht="15" thickBot="1" x14ac:dyDescent="0.35">
      <c r="A333" s="4"/>
    </row>
    <row r="334" spans="1:24" ht="15" thickBot="1" x14ac:dyDescent="0.35">
      <c r="B334" s="93" t="s">
        <v>17</v>
      </c>
      <c r="C334" s="62" t="s">
        <v>23</v>
      </c>
      <c r="D334" s="62" t="s">
        <v>24</v>
      </c>
      <c r="E334" s="63" t="s">
        <v>25</v>
      </c>
    </row>
    <row r="335" spans="1:24" x14ac:dyDescent="0.3">
      <c r="B335" s="77">
        <v>0</v>
      </c>
      <c r="C335" s="58">
        <v>0</v>
      </c>
      <c r="D335" s="49">
        <v>0</v>
      </c>
      <c r="E335" s="73">
        <v>0</v>
      </c>
    </row>
    <row r="336" spans="1:24" x14ac:dyDescent="0.3">
      <c r="B336" s="78">
        <v>0</v>
      </c>
      <c r="C336" s="59">
        <v>0</v>
      </c>
      <c r="D336" s="50">
        <v>0</v>
      </c>
      <c r="E336" s="74">
        <v>0</v>
      </c>
    </row>
    <row r="337" spans="2:11" x14ac:dyDescent="0.3">
      <c r="B337" s="78">
        <v>0</v>
      </c>
      <c r="C337" s="59">
        <v>71</v>
      </c>
      <c r="D337" s="50">
        <v>0</v>
      </c>
      <c r="E337" s="74">
        <v>35</v>
      </c>
    </row>
    <row r="338" spans="2:11" x14ac:dyDescent="0.3">
      <c r="B338" s="78">
        <v>0</v>
      </c>
      <c r="C338" s="59">
        <v>0</v>
      </c>
      <c r="D338" s="50">
        <v>0</v>
      </c>
      <c r="E338" s="74">
        <v>63</v>
      </c>
    </row>
    <row r="339" spans="2:11" x14ac:dyDescent="0.3">
      <c r="B339" s="78">
        <v>0</v>
      </c>
      <c r="C339" s="59">
        <v>0</v>
      </c>
      <c r="D339" s="50">
        <v>0</v>
      </c>
      <c r="E339" s="74">
        <v>67</v>
      </c>
    </row>
    <row r="340" spans="2:11" x14ac:dyDescent="0.3">
      <c r="B340" s="78">
        <v>0</v>
      </c>
      <c r="C340" s="59">
        <v>0</v>
      </c>
      <c r="D340" s="50">
        <v>0</v>
      </c>
      <c r="E340" s="74">
        <v>0</v>
      </c>
    </row>
    <row r="341" spans="2:11" x14ac:dyDescent="0.3">
      <c r="B341" s="78">
        <v>0</v>
      </c>
      <c r="C341" s="59">
        <v>0</v>
      </c>
      <c r="D341" s="50">
        <v>0</v>
      </c>
      <c r="E341" s="74">
        <v>0</v>
      </c>
    </row>
    <row r="342" spans="2:11" x14ac:dyDescent="0.3">
      <c r="B342" s="78">
        <v>0</v>
      </c>
      <c r="C342" s="59">
        <v>0</v>
      </c>
      <c r="D342" s="50">
        <v>0</v>
      </c>
      <c r="E342" s="74">
        <v>0</v>
      </c>
      <c r="I342" s="8"/>
      <c r="J342" s="8"/>
      <c r="K342" s="8"/>
    </row>
    <row r="343" spans="2:11" x14ac:dyDescent="0.3">
      <c r="B343" s="78">
        <v>0</v>
      </c>
      <c r="C343" s="59">
        <v>0</v>
      </c>
      <c r="D343" s="50">
        <v>2</v>
      </c>
      <c r="E343" s="74">
        <v>0</v>
      </c>
    </row>
    <row r="344" spans="2:11" x14ac:dyDescent="0.3">
      <c r="B344" s="78">
        <v>0</v>
      </c>
      <c r="C344" s="59">
        <v>0</v>
      </c>
      <c r="D344" s="50">
        <v>56</v>
      </c>
      <c r="E344" s="74">
        <v>0</v>
      </c>
    </row>
    <row r="345" spans="2:11" x14ac:dyDescent="0.3">
      <c r="B345" s="78">
        <v>0</v>
      </c>
      <c r="C345" s="59">
        <v>0</v>
      </c>
      <c r="D345" s="50">
        <v>0</v>
      </c>
      <c r="E345" s="74">
        <v>4</v>
      </c>
    </row>
    <row r="346" spans="2:11" x14ac:dyDescent="0.3">
      <c r="B346" s="78">
        <v>0</v>
      </c>
      <c r="C346" s="59">
        <v>0</v>
      </c>
      <c r="D346" s="50">
        <v>0</v>
      </c>
      <c r="E346" s="74">
        <v>0</v>
      </c>
    </row>
    <row r="347" spans="2:11" x14ac:dyDescent="0.3">
      <c r="B347" s="78">
        <v>0</v>
      </c>
      <c r="C347" s="59">
        <v>0</v>
      </c>
      <c r="D347" s="50">
        <v>67</v>
      </c>
      <c r="E347" s="74">
        <v>0</v>
      </c>
    </row>
    <row r="348" spans="2:11" x14ac:dyDescent="0.3">
      <c r="B348" s="78">
        <v>0</v>
      </c>
      <c r="C348" s="59">
        <v>0</v>
      </c>
      <c r="D348" s="50">
        <v>0</v>
      </c>
      <c r="E348" s="74">
        <v>0</v>
      </c>
    </row>
    <row r="349" spans="2:11" x14ac:dyDescent="0.3">
      <c r="B349" s="78">
        <v>0</v>
      </c>
      <c r="C349" s="59">
        <v>0</v>
      </c>
      <c r="D349" s="50">
        <v>0</v>
      </c>
      <c r="E349" s="74">
        <v>0</v>
      </c>
    </row>
    <row r="350" spans="2:11" x14ac:dyDescent="0.3">
      <c r="B350" s="78">
        <v>0</v>
      </c>
      <c r="C350" s="59">
        <v>0</v>
      </c>
      <c r="D350" s="50">
        <v>0</v>
      </c>
      <c r="E350" s="74">
        <v>0</v>
      </c>
    </row>
    <row r="351" spans="2:11" x14ac:dyDescent="0.3">
      <c r="B351" s="78">
        <v>0</v>
      </c>
      <c r="C351" s="59">
        <v>0</v>
      </c>
      <c r="D351" s="50">
        <v>0</v>
      </c>
      <c r="E351" s="74">
        <v>31</v>
      </c>
    </row>
    <row r="352" spans="2:11" x14ac:dyDescent="0.3">
      <c r="B352" s="78">
        <v>0</v>
      </c>
      <c r="C352" s="59">
        <v>56</v>
      </c>
      <c r="D352" s="50">
        <v>0</v>
      </c>
      <c r="E352" s="74">
        <v>0</v>
      </c>
    </row>
    <row r="353" spans="2:5" x14ac:dyDescent="0.3">
      <c r="B353" s="78">
        <v>0</v>
      </c>
      <c r="C353" s="59">
        <v>0</v>
      </c>
      <c r="D353" s="50">
        <v>0</v>
      </c>
      <c r="E353" s="74">
        <v>5</v>
      </c>
    </row>
    <row r="354" spans="2:5" x14ac:dyDescent="0.3">
      <c r="B354" s="78">
        <v>0</v>
      </c>
      <c r="C354" s="59">
        <v>0</v>
      </c>
      <c r="D354" s="75">
        <v>0</v>
      </c>
      <c r="E354" s="74">
        <v>0</v>
      </c>
    </row>
    <row r="355" spans="2:5" x14ac:dyDescent="0.3">
      <c r="B355" s="78">
        <v>0</v>
      </c>
      <c r="C355" s="59">
        <v>0</v>
      </c>
      <c r="D355" s="50">
        <v>5</v>
      </c>
      <c r="E355" s="74">
        <v>0</v>
      </c>
    </row>
    <row r="356" spans="2:5" x14ac:dyDescent="0.3">
      <c r="B356" s="78">
        <v>0</v>
      </c>
      <c r="C356" s="59">
        <v>0</v>
      </c>
      <c r="D356" s="50">
        <v>0</v>
      </c>
      <c r="E356" s="74">
        <v>0</v>
      </c>
    </row>
    <row r="357" spans="2:5" x14ac:dyDescent="0.3">
      <c r="B357" s="78">
        <v>0</v>
      </c>
      <c r="C357" s="59">
        <v>0</v>
      </c>
      <c r="D357" s="50">
        <v>0</v>
      </c>
      <c r="E357" s="74">
        <v>0</v>
      </c>
    </row>
    <row r="358" spans="2:5" x14ac:dyDescent="0.3">
      <c r="B358" s="78">
        <v>0</v>
      </c>
      <c r="C358" s="59">
        <v>0</v>
      </c>
      <c r="D358" s="50">
        <v>0</v>
      </c>
      <c r="E358" s="74">
        <v>15</v>
      </c>
    </row>
    <row r="359" spans="2:5" x14ac:dyDescent="0.3">
      <c r="B359" s="78">
        <v>0</v>
      </c>
      <c r="C359" s="59">
        <v>0</v>
      </c>
      <c r="D359" s="50">
        <v>0</v>
      </c>
      <c r="E359" s="74">
        <v>0</v>
      </c>
    </row>
    <row r="360" spans="2:5" x14ac:dyDescent="0.3">
      <c r="B360" s="78">
        <v>0</v>
      </c>
      <c r="C360" s="59">
        <v>0</v>
      </c>
      <c r="D360" s="50">
        <v>0</v>
      </c>
      <c r="E360" s="74">
        <v>0</v>
      </c>
    </row>
    <row r="361" spans="2:5" x14ac:dyDescent="0.3">
      <c r="B361" s="78">
        <v>0</v>
      </c>
      <c r="C361" s="59">
        <v>0</v>
      </c>
      <c r="D361" s="50">
        <v>0</v>
      </c>
      <c r="E361" s="74">
        <v>0</v>
      </c>
    </row>
    <row r="362" spans="2:5" x14ac:dyDescent="0.3">
      <c r="B362" s="78">
        <v>0</v>
      </c>
      <c r="C362" s="59">
        <v>0</v>
      </c>
      <c r="D362" s="50">
        <v>0</v>
      </c>
      <c r="E362" s="74">
        <v>0</v>
      </c>
    </row>
    <row r="363" spans="2:5" x14ac:dyDescent="0.3">
      <c r="B363" s="78">
        <v>36</v>
      </c>
      <c r="C363" s="59">
        <v>60</v>
      </c>
      <c r="D363" s="50">
        <v>0</v>
      </c>
      <c r="E363" s="74">
        <v>0</v>
      </c>
    </row>
    <row r="364" spans="2:5" x14ac:dyDescent="0.3">
      <c r="B364" s="78">
        <v>0</v>
      </c>
      <c r="C364" s="59">
        <v>0</v>
      </c>
      <c r="D364" s="50">
        <v>0</v>
      </c>
      <c r="E364" s="74">
        <v>28</v>
      </c>
    </row>
    <row r="365" spans="2:5" x14ac:dyDescent="0.3">
      <c r="B365" s="78">
        <v>0</v>
      </c>
      <c r="C365" s="59">
        <v>0</v>
      </c>
      <c r="D365" s="50">
        <v>0</v>
      </c>
      <c r="E365" s="74">
        <v>85</v>
      </c>
    </row>
    <row r="366" spans="2:5" x14ac:dyDescent="0.3">
      <c r="B366" s="78">
        <v>0</v>
      </c>
      <c r="C366" s="59">
        <v>0</v>
      </c>
      <c r="D366" s="50">
        <v>0</v>
      </c>
      <c r="E366" s="74">
        <v>0</v>
      </c>
    </row>
    <row r="367" spans="2:5" x14ac:dyDescent="0.3">
      <c r="B367" s="78">
        <v>0</v>
      </c>
      <c r="C367" s="59">
        <v>0</v>
      </c>
      <c r="D367" s="50">
        <v>0</v>
      </c>
      <c r="E367" s="74">
        <v>0</v>
      </c>
    </row>
    <row r="368" spans="2:5" x14ac:dyDescent="0.3">
      <c r="B368" s="78">
        <v>0</v>
      </c>
      <c r="C368" s="59">
        <v>0</v>
      </c>
      <c r="D368" s="50">
        <v>0</v>
      </c>
      <c r="E368" s="74">
        <v>0</v>
      </c>
    </row>
    <row r="369" spans="2:5" x14ac:dyDescent="0.3">
      <c r="B369" s="78">
        <v>0</v>
      </c>
      <c r="C369" s="59">
        <v>0</v>
      </c>
      <c r="D369" s="50">
        <v>0</v>
      </c>
      <c r="E369" s="74">
        <v>0</v>
      </c>
    </row>
    <row r="370" spans="2:5" x14ac:dyDescent="0.3">
      <c r="B370" s="78">
        <v>0</v>
      </c>
      <c r="C370" s="59">
        <v>0</v>
      </c>
      <c r="D370" s="50">
        <v>0</v>
      </c>
      <c r="E370" s="74">
        <v>0</v>
      </c>
    </row>
    <row r="371" spans="2:5" x14ac:dyDescent="0.3">
      <c r="B371" s="78">
        <v>0</v>
      </c>
      <c r="C371" s="59">
        <v>0</v>
      </c>
      <c r="D371" s="50">
        <v>0</v>
      </c>
      <c r="E371" s="74">
        <v>0</v>
      </c>
    </row>
    <row r="372" spans="2:5" x14ac:dyDescent="0.3">
      <c r="B372" s="78">
        <v>0</v>
      </c>
      <c r="C372" s="59">
        <v>0</v>
      </c>
      <c r="D372" s="50">
        <v>0</v>
      </c>
      <c r="E372" s="74">
        <v>0</v>
      </c>
    </row>
    <row r="373" spans="2:5" x14ac:dyDescent="0.3">
      <c r="B373" s="78">
        <v>0</v>
      </c>
      <c r="C373" s="64">
        <v>23</v>
      </c>
      <c r="D373" s="50">
        <v>74</v>
      </c>
      <c r="E373" s="74">
        <v>0</v>
      </c>
    </row>
    <row r="374" spans="2:5" x14ac:dyDescent="0.3">
      <c r="B374" s="78">
        <v>0</v>
      </c>
      <c r="C374" s="59">
        <v>0</v>
      </c>
      <c r="D374" s="50">
        <v>4</v>
      </c>
      <c r="E374" s="74">
        <v>0</v>
      </c>
    </row>
    <row r="375" spans="2:5" x14ac:dyDescent="0.3">
      <c r="B375" s="78">
        <v>0</v>
      </c>
      <c r="C375" s="59">
        <v>0</v>
      </c>
      <c r="D375" s="50">
        <v>0</v>
      </c>
      <c r="E375" s="74">
        <v>0</v>
      </c>
    </row>
    <row r="376" spans="2:5" x14ac:dyDescent="0.3">
      <c r="B376" s="78">
        <v>0</v>
      </c>
      <c r="C376" s="59">
        <v>31</v>
      </c>
      <c r="D376" s="50">
        <v>0</v>
      </c>
      <c r="E376" s="74">
        <v>0</v>
      </c>
    </row>
    <row r="377" spans="2:5" x14ac:dyDescent="0.3">
      <c r="B377" s="78">
        <v>0</v>
      </c>
      <c r="C377" s="59">
        <v>65</v>
      </c>
      <c r="D377" s="50">
        <v>0</v>
      </c>
      <c r="E377" s="74">
        <v>0</v>
      </c>
    </row>
    <row r="378" spans="2:5" x14ac:dyDescent="0.3">
      <c r="B378" s="78">
        <v>0</v>
      </c>
      <c r="C378" s="59">
        <v>0</v>
      </c>
      <c r="D378" s="50">
        <v>0</v>
      </c>
      <c r="E378" s="74">
        <v>33</v>
      </c>
    </row>
    <row r="379" spans="2:5" x14ac:dyDescent="0.3">
      <c r="B379" s="78">
        <v>0</v>
      </c>
      <c r="C379" s="59">
        <v>4</v>
      </c>
      <c r="D379" s="50">
        <v>0</v>
      </c>
      <c r="E379" s="74">
        <v>0</v>
      </c>
    </row>
    <row r="380" spans="2:5" x14ac:dyDescent="0.3">
      <c r="B380" s="78">
        <v>0</v>
      </c>
      <c r="C380" s="59">
        <v>0</v>
      </c>
      <c r="D380" s="50">
        <v>0</v>
      </c>
      <c r="E380" s="74">
        <v>0</v>
      </c>
    </row>
    <row r="381" spans="2:5" x14ac:dyDescent="0.3">
      <c r="B381" s="78">
        <v>0</v>
      </c>
      <c r="C381" s="59">
        <v>0</v>
      </c>
      <c r="D381" s="50">
        <v>0</v>
      </c>
      <c r="E381" s="74">
        <v>0</v>
      </c>
    </row>
    <row r="382" spans="2:5" x14ac:dyDescent="0.3">
      <c r="B382" s="78">
        <v>22</v>
      </c>
      <c r="C382" s="59">
        <v>0</v>
      </c>
      <c r="D382" s="50">
        <v>0</v>
      </c>
      <c r="E382" s="74">
        <v>0</v>
      </c>
    </row>
    <row r="383" spans="2:5" x14ac:dyDescent="0.3">
      <c r="B383" s="78">
        <v>0</v>
      </c>
      <c r="C383" s="59">
        <v>0</v>
      </c>
      <c r="D383" s="50">
        <v>0</v>
      </c>
      <c r="E383" s="74">
        <v>0</v>
      </c>
    </row>
    <row r="384" spans="2:5" x14ac:dyDescent="0.3">
      <c r="B384" s="78">
        <v>0</v>
      </c>
      <c r="C384" s="59">
        <v>116</v>
      </c>
      <c r="D384" s="50">
        <v>0</v>
      </c>
      <c r="E384" s="74">
        <v>0</v>
      </c>
    </row>
    <row r="385" spans="1:5" x14ac:dyDescent="0.3">
      <c r="B385" s="78"/>
      <c r="C385" s="59"/>
      <c r="D385" s="50">
        <v>0</v>
      </c>
      <c r="E385" s="74"/>
    </row>
    <row r="386" spans="1:5" x14ac:dyDescent="0.3">
      <c r="B386" s="78"/>
      <c r="C386" s="59"/>
      <c r="D386" s="50">
        <v>107</v>
      </c>
      <c r="E386" s="74"/>
    </row>
    <row r="387" spans="1:5" x14ac:dyDescent="0.3">
      <c r="B387" s="78"/>
      <c r="C387" s="59"/>
      <c r="D387" s="50">
        <v>38</v>
      </c>
      <c r="E387" s="74"/>
    </row>
    <row r="388" spans="1:5" x14ac:dyDescent="0.3">
      <c r="B388" s="78"/>
      <c r="C388" s="59"/>
      <c r="D388" s="50">
        <v>0</v>
      </c>
      <c r="E388" s="74"/>
    </row>
    <row r="389" spans="1:5" x14ac:dyDescent="0.3">
      <c r="B389" s="78"/>
      <c r="C389" s="59"/>
      <c r="D389" s="50">
        <v>0</v>
      </c>
      <c r="E389" s="74"/>
    </row>
    <row r="390" spans="1:5" ht="15" thickBot="1" x14ac:dyDescent="0.35">
      <c r="B390" s="79"/>
      <c r="C390" s="60"/>
      <c r="D390" s="51"/>
      <c r="E390" s="61"/>
    </row>
    <row r="392" spans="1:5" x14ac:dyDescent="0.3">
      <c r="A392" t="s">
        <v>6</v>
      </c>
      <c r="B392" s="94">
        <v>50</v>
      </c>
      <c r="C392" s="64">
        <v>50</v>
      </c>
      <c r="D392" s="64">
        <v>55</v>
      </c>
      <c r="E392" s="64">
        <v>50</v>
      </c>
    </row>
    <row r="393" spans="1:5" x14ac:dyDescent="0.3">
      <c r="A393" t="s">
        <v>7</v>
      </c>
      <c r="B393" s="94">
        <v>2</v>
      </c>
      <c r="C393" s="64">
        <v>8</v>
      </c>
      <c r="D393" s="64">
        <v>8</v>
      </c>
      <c r="E393" s="64">
        <v>10</v>
      </c>
    </row>
    <row r="394" spans="1:5" x14ac:dyDescent="0.3">
      <c r="A394" t="s">
        <v>8</v>
      </c>
      <c r="B394" s="94">
        <v>48</v>
      </c>
      <c r="C394" s="64">
        <v>42</v>
      </c>
      <c r="D394" s="64">
        <v>47</v>
      </c>
      <c r="E394" s="64">
        <v>40</v>
      </c>
    </row>
    <row r="396" spans="1:5" x14ac:dyDescent="0.3">
      <c r="A396" t="s">
        <v>9</v>
      </c>
      <c r="B396" s="83">
        <f>AVERAGE(B335:B384)</f>
        <v>1.1599999999999999</v>
      </c>
      <c r="C396" s="30">
        <f>AVERAGE(C335:C384)</f>
        <v>8.52</v>
      </c>
      <c r="D396" s="57">
        <f>AVERAGE(D335:D389)</f>
        <v>6.418181818181818</v>
      </c>
      <c r="E396" s="30">
        <f>AVERAGE(E335:E384)</f>
        <v>7.32</v>
      </c>
    </row>
    <row r="397" spans="1:5" x14ac:dyDescent="0.3">
      <c r="A397" t="s">
        <v>10</v>
      </c>
      <c r="B397" s="84">
        <v>0.83609999999999995</v>
      </c>
      <c r="C397" s="57">
        <v>3.34</v>
      </c>
      <c r="D397" s="57">
        <v>2.8290000000000002</v>
      </c>
      <c r="E397" s="57">
        <v>2.66</v>
      </c>
    </row>
    <row r="399" spans="1:5" x14ac:dyDescent="0.3">
      <c r="A399" t="s">
        <v>61</v>
      </c>
      <c r="B399" s="53">
        <f>B393/B392</f>
        <v>0.04</v>
      </c>
      <c r="C399" s="53">
        <f>C393/C392</f>
        <v>0.16</v>
      </c>
      <c r="D399" s="53">
        <f>D393/D392</f>
        <v>0.14545454545454545</v>
      </c>
      <c r="E399" s="53">
        <f>E393/E392</f>
        <v>0.2</v>
      </c>
    </row>
    <row r="401" spans="1:52" x14ac:dyDescent="0.3">
      <c r="A401" s="6" t="s">
        <v>32</v>
      </c>
    </row>
    <row r="402" spans="1:52" x14ac:dyDescent="0.3">
      <c r="A402" s="4" t="s">
        <v>11</v>
      </c>
      <c r="B402" s="86">
        <v>42153</v>
      </c>
      <c r="E402" s="76"/>
    </row>
    <row r="404" spans="1:52" x14ac:dyDescent="0.3">
      <c r="A404" s="6" t="s">
        <v>17</v>
      </c>
      <c r="K404" s="6" t="s">
        <v>23</v>
      </c>
      <c r="V404" s="6" t="s">
        <v>24</v>
      </c>
      <c r="AJ404" s="6" t="s">
        <v>25</v>
      </c>
    </row>
    <row r="405" spans="1:52" s="18" customFormat="1" ht="58.2" thickBot="1" x14ac:dyDescent="0.35">
      <c r="B405" s="95"/>
      <c r="C405" s="18" t="s">
        <v>12</v>
      </c>
      <c r="D405" s="18" t="s">
        <v>13</v>
      </c>
      <c r="F405" s="18" t="s">
        <v>14</v>
      </c>
      <c r="G405" s="18" t="s">
        <v>15</v>
      </c>
      <c r="H405" s="18" t="s">
        <v>16</v>
      </c>
      <c r="N405" s="18" t="s">
        <v>12</v>
      </c>
      <c r="O405" s="18" t="s">
        <v>13</v>
      </c>
      <c r="Q405" s="18" t="s">
        <v>14</v>
      </c>
      <c r="R405" s="18" t="s">
        <v>15</v>
      </c>
      <c r="S405" s="18" t="s">
        <v>16</v>
      </c>
      <c r="AB405" s="18" t="s">
        <v>12</v>
      </c>
      <c r="AC405" s="18" t="s">
        <v>13</v>
      </c>
      <c r="AE405" s="18" t="s">
        <v>14</v>
      </c>
      <c r="AF405" s="18" t="s">
        <v>15</v>
      </c>
      <c r="AG405" s="18" t="s">
        <v>16</v>
      </c>
      <c r="AU405" s="18" t="s">
        <v>12</v>
      </c>
      <c r="AV405" s="18" t="s">
        <v>13</v>
      </c>
      <c r="AX405" s="18" t="s">
        <v>14</v>
      </c>
      <c r="AY405" s="18" t="s">
        <v>15</v>
      </c>
      <c r="AZ405" s="18" t="s">
        <v>16</v>
      </c>
    </row>
    <row r="406" spans="1:52" x14ac:dyDescent="0.3">
      <c r="A406" s="5" t="s">
        <v>18</v>
      </c>
      <c r="B406" s="77">
        <v>0</v>
      </c>
      <c r="C406" s="30">
        <f>SUM(B406)</f>
        <v>0</v>
      </c>
      <c r="D406" s="30">
        <f>AVERAGE(B406)</f>
        <v>0</v>
      </c>
      <c r="E406" s="30"/>
      <c r="F406" s="30">
        <f>AVERAGE(C406:C410)</f>
        <v>0</v>
      </c>
      <c r="G406" s="30">
        <f>AVERAGE(B406:B410)</f>
        <v>0</v>
      </c>
      <c r="H406" s="53">
        <v>0</v>
      </c>
      <c r="K406" s="5" t="s">
        <v>18</v>
      </c>
      <c r="L406" s="49">
        <v>0</v>
      </c>
      <c r="M406" s="49">
        <v>0</v>
      </c>
      <c r="N406" s="30">
        <f>SUM(L406:M406)</f>
        <v>0</v>
      </c>
      <c r="O406" s="30">
        <f>AVERAGE(L406:M406)</f>
        <v>0</v>
      </c>
      <c r="P406" s="30"/>
      <c r="Q406" s="30">
        <f>AVERAGE(N406:N410)</f>
        <v>1.4</v>
      </c>
      <c r="R406" s="30">
        <f>AVERAGE(L406:M410)</f>
        <v>0.7</v>
      </c>
      <c r="S406" s="53">
        <f>2/10</f>
        <v>0.2</v>
      </c>
      <c r="V406" s="5" t="s">
        <v>18</v>
      </c>
      <c r="W406" s="49">
        <v>0</v>
      </c>
      <c r="X406" s="49">
        <v>3</v>
      </c>
      <c r="Y406" s="49">
        <v>0</v>
      </c>
      <c r="Z406" s="49">
        <v>2</v>
      </c>
      <c r="AA406" s="49">
        <v>0</v>
      </c>
      <c r="AB406" s="30">
        <f>SUM(W406:AA406)</f>
        <v>5</v>
      </c>
      <c r="AC406" s="30">
        <f>AVERAGE(W406:AA406)</f>
        <v>1</v>
      </c>
      <c r="AE406" s="30">
        <f>AVERAGE(AB406:AB410)</f>
        <v>2.4</v>
      </c>
      <c r="AF406" s="30">
        <f>AVERAGE(W406:AA410)</f>
        <v>0.5</v>
      </c>
      <c r="AG406" s="53">
        <f>5/24</f>
        <v>0.20833333333333334</v>
      </c>
      <c r="AJ406" s="5" t="s">
        <v>18</v>
      </c>
      <c r="AK406" s="49">
        <v>0</v>
      </c>
      <c r="AL406" s="49">
        <v>0</v>
      </c>
      <c r="AM406" s="49">
        <v>0</v>
      </c>
      <c r="AN406" s="49">
        <v>0</v>
      </c>
      <c r="AO406" s="49">
        <v>0</v>
      </c>
      <c r="AP406" s="49">
        <v>0</v>
      </c>
      <c r="AQ406" s="49">
        <v>0</v>
      </c>
      <c r="AR406" s="49">
        <v>0</v>
      </c>
      <c r="AS406" s="49">
        <v>0</v>
      </c>
      <c r="AT406" s="49">
        <v>0</v>
      </c>
      <c r="AU406" s="30">
        <f>SUM(AK406:AT406)</f>
        <v>0</v>
      </c>
      <c r="AV406" s="54">
        <f>AVERAGE(AK406:AT406)</f>
        <v>0</v>
      </c>
      <c r="AX406" s="30">
        <f>AVERAGE(AU406:AU410)</f>
        <v>1</v>
      </c>
      <c r="AY406" s="54">
        <f>AVERAGE(AK406:AT406,AK407:AS407,AK408:AT408,AK409:AT409,AK410:AT410)</f>
        <v>0.10416666666666667</v>
      </c>
      <c r="AZ406" s="53">
        <f>4/49</f>
        <v>8.1632653061224483E-2</v>
      </c>
    </row>
    <row r="407" spans="1:52" x14ac:dyDescent="0.3">
      <c r="A407" s="5" t="s">
        <v>19</v>
      </c>
      <c r="B407" s="78">
        <v>0</v>
      </c>
      <c r="C407" s="30">
        <f>SUM(B407)</f>
        <v>0</v>
      </c>
      <c r="D407" s="30">
        <f>AVERAGE(B407)</f>
        <v>0</v>
      </c>
      <c r="K407" s="5" t="s">
        <v>19</v>
      </c>
      <c r="L407" s="50">
        <v>0</v>
      </c>
      <c r="M407" s="50">
        <v>0</v>
      </c>
      <c r="N407" s="30">
        <f>SUM(L407:M407)</f>
        <v>0</v>
      </c>
      <c r="O407" s="30">
        <f>AVERAGE(L407:M407)</f>
        <v>0</v>
      </c>
      <c r="P407" s="30"/>
      <c r="Q407" s="30"/>
      <c r="R407" s="30"/>
      <c r="S407" s="30"/>
      <c r="V407" s="5" t="s">
        <v>19</v>
      </c>
      <c r="W407" s="50">
        <v>0</v>
      </c>
      <c r="X407" s="50">
        <v>2</v>
      </c>
      <c r="Y407" s="50">
        <v>0</v>
      </c>
      <c r="Z407" s="50">
        <v>0</v>
      </c>
      <c r="AA407" s="50">
        <v>0</v>
      </c>
      <c r="AB407" s="30">
        <f>SUM(W407:AA407)</f>
        <v>2</v>
      </c>
      <c r="AC407" s="30">
        <f>AVERAGE(W407:AA407)</f>
        <v>0.4</v>
      </c>
      <c r="AJ407" s="5" t="s">
        <v>19</v>
      </c>
      <c r="AK407" s="50">
        <v>0</v>
      </c>
      <c r="AL407" s="50">
        <v>0</v>
      </c>
      <c r="AM407" s="50">
        <v>0</v>
      </c>
      <c r="AN407" s="50">
        <v>1</v>
      </c>
      <c r="AO407" s="50">
        <v>0</v>
      </c>
      <c r="AP407" s="50">
        <v>0</v>
      </c>
      <c r="AQ407" s="50">
        <v>0</v>
      </c>
      <c r="AR407" s="50">
        <v>2</v>
      </c>
      <c r="AS407" s="50">
        <v>1</v>
      </c>
      <c r="AT407" s="50">
        <v>0</v>
      </c>
      <c r="AU407" s="30">
        <f>SUM(AK407:AT407)</f>
        <v>4</v>
      </c>
      <c r="AV407" s="54">
        <f>AVERAGE(AK407:AT407)</f>
        <v>0.4</v>
      </c>
    </row>
    <row r="408" spans="1:52" x14ac:dyDescent="0.3">
      <c r="A408" s="5" t="s">
        <v>20</v>
      </c>
      <c r="B408" s="78">
        <v>0</v>
      </c>
      <c r="C408" s="30">
        <f>SUM(B408)</f>
        <v>0</v>
      </c>
      <c r="D408" s="30">
        <f>AVERAGE(B408)</f>
        <v>0</v>
      </c>
      <c r="K408" s="5" t="s">
        <v>20</v>
      </c>
      <c r="L408" s="50">
        <v>0</v>
      </c>
      <c r="M408" s="50">
        <v>0</v>
      </c>
      <c r="N408" s="30">
        <f>SUM(L408:M408)</f>
        <v>0</v>
      </c>
      <c r="O408" s="30">
        <f>AVERAGE(L408:M408)</f>
        <v>0</v>
      </c>
      <c r="P408" s="30"/>
      <c r="Q408" s="30"/>
      <c r="R408" s="30"/>
      <c r="S408" s="30"/>
      <c r="V408" s="5" t="s">
        <v>20</v>
      </c>
      <c r="W408" s="50">
        <v>2</v>
      </c>
      <c r="X408" s="50">
        <v>0</v>
      </c>
      <c r="Y408" s="50">
        <v>0</v>
      </c>
      <c r="Z408" s="50">
        <v>0</v>
      </c>
      <c r="AA408" s="50"/>
      <c r="AB408" s="30">
        <f>SUM(W408:AA408)</f>
        <v>2</v>
      </c>
      <c r="AC408" s="30">
        <f>AVERAGE(W408:AA408)</f>
        <v>0.5</v>
      </c>
      <c r="AJ408" s="5" t="s">
        <v>20</v>
      </c>
      <c r="AK408" s="50">
        <v>0</v>
      </c>
      <c r="AL408" s="50">
        <v>0</v>
      </c>
      <c r="AM408" s="50">
        <v>0</v>
      </c>
      <c r="AN408" s="50">
        <v>0</v>
      </c>
      <c r="AO408" s="50">
        <v>0</v>
      </c>
      <c r="AP408" s="50">
        <v>0</v>
      </c>
      <c r="AQ408" s="50">
        <v>0</v>
      </c>
      <c r="AR408" s="50">
        <v>0</v>
      </c>
      <c r="AS408" s="50">
        <v>0</v>
      </c>
      <c r="AT408" s="50">
        <v>0</v>
      </c>
      <c r="AU408" s="30">
        <f>SUM(AK408:AT408)</f>
        <v>0</v>
      </c>
      <c r="AV408" s="54">
        <f>AVERAGE(AK408:AT408)</f>
        <v>0</v>
      </c>
    </row>
    <row r="409" spans="1:52" x14ac:dyDescent="0.3">
      <c r="A409" s="5" t="s">
        <v>21</v>
      </c>
      <c r="B409" s="78">
        <v>0</v>
      </c>
      <c r="C409" s="30">
        <f>SUM(B409)</f>
        <v>0</v>
      </c>
      <c r="D409" s="30">
        <f>AVERAGE(B409)</f>
        <v>0</v>
      </c>
      <c r="K409" s="5" t="s">
        <v>21</v>
      </c>
      <c r="L409" s="50">
        <v>4</v>
      </c>
      <c r="M409" s="50">
        <v>0</v>
      </c>
      <c r="N409" s="30">
        <f>SUM(L409:M409)</f>
        <v>4</v>
      </c>
      <c r="O409" s="30">
        <f>AVERAGE(L409:M409)</f>
        <v>2</v>
      </c>
      <c r="P409" s="30"/>
      <c r="Q409" s="30"/>
      <c r="R409" s="30"/>
      <c r="S409" s="30"/>
      <c r="V409" s="5" t="s">
        <v>21</v>
      </c>
      <c r="W409" s="50">
        <v>0</v>
      </c>
      <c r="X409" s="50">
        <v>3</v>
      </c>
      <c r="Y409" s="50">
        <v>0</v>
      </c>
      <c r="Z409" s="50">
        <v>0</v>
      </c>
      <c r="AA409" s="50">
        <v>0</v>
      </c>
      <c r="AB409" s="30">
        <f>SUM(W409:AA409)</f>
        <v>3</v>
      </c>
      <c r="AC409" s="30">
        <f>AVERAGE(W409:AA409)</f>
        <v>0.6</v>
      </c>
      <c r="AJ409" s="5" t="s">
        <v>21</v>
      </c>
      <c r="AK409" s="50">
        <v>0</v>
      </c>
      <c r="AL409" s="50">
        <v>0</v>
      </c>
      <c r="AM409" s="50">
        <v>0</v>
      </c>
      <c r="AN409" s="50">
        <v>0</v>
      </c>
      <c r="AO409" s="50">
        <v>0</v>
      </c>
      <c r="AP409" s="50">
        <v>0</v>
      </c>
      <c r="AQ409" s="50">
        <v>0</v>
      </c>
      <c r="AR409" s="50">
        <v>0</v>
      </c>
      <c r="AS409" s="50">
        <v>0</v>
      </c>
      <c r="AT409" s="50">
        <v>1</v>
      </c>
      <c r="AU409" s="30">
        <f>SUM(AK409:AT409)</f>
        <v>1</v>
      </c>
      <c r="AV409" s="54">
        <f>AVERAGE(AK409:AT409)</f>
        <v>0.1</v>
      </c>
    </row>
    <row r="410" spans="1:52" ht="15" thickBot="1" x14ac:dyDescent="0.35">
      <c r="A410" s="5" t="s">
        <v>22</v>
      </c>
      <c r="B410" s="79">
        <v>0</v>
      </c>
      <c r="C410" s="30">
        <f>SUM(B410)</f>
        <v>0</v>
      </c>
      <c r="D410" s="30">
        <f>AVERAGE(B410)</f>
        <v>0</v>
      </c>
      <c r="K410" s="5" t="s">
        <v>22</v>
      </c>
      <c r="L410" s="51">
        <v>3</v>
      </c>
      <c r="M410" s="51">
        <v>0</v>
      </c>
      <c r="N410" s="30">
        <f>SUM(L410:M410)</f>
        <v>3</v>
      </c>
      <c r="O410" s="30">
        <f>AVERAGE(L410:M410)</f>
        <v>1.5</v>
      </c>
      <c r="P410" s="30"/>
      <c r="Q410" s="30"/>
      <c r="R410" s="30"/>
      <c r="S410" s="30"/>
      <c r="V410" s="5" t="s">
        <v>22</v>
      </c>
      <c r="W410" s="51">
        <v>0</v>
      </c>
      <c r="X410" s="51">
        <v>0</v>
      </c>
      <c r="Y410" s="51">
        <v>0</v>
      </c>
      <c r="Z410" s="51">
        <v>0</v>
      </c>
      <c r="AA410" s="51">
        <v>0</v>
      </c>
      <c r="AB410" s="30">
        <f>SUM(W410:AA410)</f>
        <v>0</v>
      </c>
      <c r="AC410" s="30">
        <f>AVERAGE(W410:AA410)</f>
        <v>0</v>
      </c>
      <c r="AJ410" s="5" t="s">
        <v>22</v>
      </c>
      <c r="AK410" s="51">
        <v>0</v>
      </c>
      <c r="AL410" s="51">
        <v>0</v>
      </c>
      <c r="AM410" s="51">
        <v>0</v>
      </c>
      <c r="AN410" s="51">
        <v>0</v>
      </c>
      <c r="AO410" s="51">
        <v>0</v>
      </c>
      <c r="AP410" s="51">
        <v>0</v>
      </c>
      <c r="AQ410" s="51">
        <v>0</v>
      </c>
      <c r="AR410" s="51">
        <v>0</v>
      </c>
      <c r="AS410" s="51">
        <v>0</v>
      </c>
      <c r="AT410" s="51"/>
      <c r="AU410" s="30">
        <f>SUM(AK410:AT410)</f>
        <v>0</v>
      </c>
      <c r="AV410" s="54">
        <f>AVERAGE(AK410:AT410)</f>
        <v>0</v>
      </c>
    </row>
    <row r="411" spans="1:52" x14ac:dyDescent="0.3">
      <c r="W411" s="5" t="s">
        <v>100</v>
      </c>
      <c r="AK411" s="5" t="s">
        <v>103</v>
      </c>
    </row>
    <row r="412" spans="1:52" x14ac:dyDescent="0.3">
      <c r="A412" s="7" t="s">
        <v>51</v>
      </c>
    </row>
    <row r="414" spans="1:52" x14ac:dyDescent="0.3">
      <c r="A414" s="4" t="s">
        <v>52</v>
      </c>
    </row>
    <row r="416" spans="1:52" x14ac:dyDescent="0.3">
      <c r="A416" s="6" t="s">
        <v>33</v>
      </c>
      <c r="B416" s="5" t="s">
        <v>34</v>
      </c>
    </row>
    <row r="417" spans="1:11" x14ac:dyDescent="0.3">
      <c r="A417" t="s">
        <v>11</v>
      </c>
      <c r="B417" s="86">
        <v>42156</v>
      </c>
    </row>
    <row r="419" spans="1:11" x14ac:dyDescent="0.3">
      <c r="A419" s="9" t="s">
        <v>28</v>
      </c>
      <c r="D419" s="9" t="s">
        <v>29</v>
      </c>
      <c r="G419" s="9" t="s">
        <v>30</v>
      </c>
      <c r="J419" s="9" t="s">
        <v>35</v>
      </c>
    </row>
    <row r="420" spans="1:11" ht="15" thickBot="1" x14ac:dyDescent="0.35">
      <c r="B420" s="5" t="s">
        <v>36</v>
      </c>
      <c r="E420" t="s">
        <v>36</v>
      </c>
      <c r="H420" t="s">
        <v>36</v>
      </c>
      <c r="K420" t="s">
        <v>36</v>
      </c>
    </row>
    <row r="421" spans="1:11" x14ac:dyDescent="0.3">
      <c r="A421" t="s">
        <v>18</v>
      </c>
      <c r="B421" s="77" t="s">
        <v>86</v>
      </c>
      <c r="D421" t="s">
        <v>18</v>
      </c>
      <c r="E421" s="77" t="s">
        <v>86</v>
      </c>
      <c r="G421" t="s">
        <v>18</v>
      </c>
      <c r="H421" s="77" t="s">
        <v>86</v>
      </c>
      <c r="J421" t="s">
        <v>18</v>
      </c>
      <c r="K421" s="77" t="s">
        <v>86</v>
      </c>
    </row>
    <row r="422" spans="1:11" x14ac:dyDescent="0.3">
      <c r="A422" t="s">
        <v>19</v>
      </c>
      <c r="B422" s="78" t="s">
        <v>86</v>
      </c>
      <c r="D422" t="s">
        <v>19</v>
      </c>
      <c r="E422" s="78" t="s">
        <v>86</v>
      </c>
      <c r="G422" t="s">
        <v>19</v>
      </c>
      <c r="H422" s="78" t="s">
        <v>86</v>
      </c>
      <c r="J422" t="s">
        <v>19</v>
      </c>
      <c r="K422" s="78" t="s">
        <v>86</v>
      </c>
    </row>
    <row r="423" spans="1:11" x14ac:dyDescent="0.3">
      <c r="A423" t="s">
        <v>20</v>
      </c>
      <c r="B423" s="78" t="s">
        <v>86</v>
      </c>
      <c r="D423" t="s">
        <v>20</v>
      </c>
      <c r="E423" s="78" t="s">
        <v>86</v>
      </c>
      <c r="G423" t="s">
        <v>20</v>
      </c>
      <c r="H423" s="78" t="s">
        <v>86</v>
      </c>
      <c r="J423" t="s">
        <v>20</v>
      </c>
      <c r="K423" s="78" t="s">
        <v>86</v>
      </c>
    </row>
    <row r="424" spans="1:11" x14ac:dyDescent="0.3">
      <c r="A424" t="s">
        <v>21</v>
      </c>
      <c r="B424" s="78" t="s">
        <v>86</v>
      </c>
      <c r="D424" t="s">
        <v>21</v>
      </c>
      <c r="E424" s="78" t="s">
        <v>86</v>
      </c>
      <c r="G424" t="s">
        <v>21</v>
      </c>
      <c r="H424" s="78" t="s">
        <v>86</v>
      </c>
      <c r="J424" t="s">
        <v>21</v>
      </c>
      <c r="K424" s="78" t="s">
        <v>86</v>
      </c>
    </row>
    <row r="425" spans="1:11" ht="15" thickBot="1" x14ac:dyDescent="0.35">
      <c r="A425" t="s">
        <v>22</v>
      </c>
      <c r="B425" s="79" t="s">
        <v>86</v>
      </c>
      <c r="D425" t="s">
        <v>22</v>
      </c>
      <c r="E425" s="79" t="s">
        <v>86</v>
      </c>
      <c r="G425" t="s">
        <v>22</v>
      </c>
      <c r="H425" s="79" t="s">
        <v>86</v>
      </c>
      <c r="J425" t="s">
        <v>22</v>
      </c>
      <c r="K425" s="79" t="s">
        <v>86</v>
      </c>
    </row>
    <row r="426" spans="1:11" x14ac:dyDescent="0.3">
      <c r="A426" s="8"/>
      <c r="B426" s="8"/>
      <c r="C426" s="8"/>
    </row>
    <row r="427" spans="1:11" x14ac:dyDescent="0.3">
      <c r="A427" s="6" t="s">
        <v>37</v>
      </c>
      <c r="B427" s="5" t="s">
        <v>34</v>
      </c>
    </row>
    <row r="428" spans="1:11" x14ac:dyDescent="0.3">
      <c r="A428" t="s">
        <v>11</v>
      </c>
      <c r="B428" s="86">
        <v>42157</v>
      </c>
    </row>
    <row r="430" spans="1:11" x14ac:dyDescent="0.3">
      <c r="A430" s="9" t="s">
        <v>28</v>
      </c>
      <c r="D430" s="9" t="s">
        <v>29</v>
      </c>
      <c r="G430" s="9" t="s">
        <v>30</v>
      </c>
      <c r="J430" s="9" t="s">
        <v>35</v>
      </c>
    </row>
    <row r="431" spans="1:11" ht="15" thickBot="1" x14ac:dyDescent="0.35">
      <c r="B431" s="5" t="s">
        <v>36</v>
      </c>
      <c r="E431" t="s">
        <v>36</v>
      </c>
      <c r="H431" t="s">
        <v>36</v>
      </c>
      <c r="K431" t="s">
        <v>36</v>
      </c>
    </row>
    <row r="432" spans="1:11" x14ac:dyDescent="0.3">
      <c r="A432" t="s">
        <v>18</v>
      </c>
      <c r="B432" s="77" t="s">
        <v>86</v>
      </c>
      <c r="D432" t="s">
        <v>18</v>
      </c>
      <c r="E432" s="77" t="s">
        <v>86</v>
      </c>
      <c r="G432" t="s">
        <v>18</v>
      </c>
      <c r="H432" s="77" t="s">
        <v>86</v>
      </c>
      <c r="J432" t="s">
        <v>18</v>
      </c>
      <c r="K432" s="77" t="s">
        <v>86</v>
      </c>
    </row>
    <row r="433" spans="1:11" x14ac:dyDescent="0.3">
      <c r="A433" t="s">
        <v>19</v>
      </c>
      <c r="B433" s="78" t="s">
        <v>86</v>
      </c>
      <c r="D433" t="s">
        <v>19</v>
      </c>
      <c r="E433" s="78" t="s">
        <v>86</v>
      </c>
      <c r="G433" t="s">
        <v>19</v>
      </c>
      <c r="H433" s="78" t="s">
        <v>86</v>
      </c>
      <c r="J433" t="s">
        <v>19</v>
      </c>
      <c r="K433" s="78" t="s">
        <v>86</v>
      </c>
    </row>
    <row r="434" spans="1:11" x14ac:dyDescent="0.3">
      <c r="A434" t="s">
        <v>20</v>
      </c>
      <c r="B434" s="78" t="s">
        <v>86</v>
      </c>
      <c r="D434" t="s">
        <v>20</v>
      </c>
      <c r="E434" s="78" t="s">
        <v>86</v>
      </c>
      <c r="G434" t="s">
        <v>20</v>
      </c>
      <c r="H434" s="78" t="s">
        <v>86</v>
      </c>
      <c r="J434" t="s">
        <v>20</v>
      </c>
      <c r="K434" s="78" t="s">
        <v>86</v>
      </c>
    </row>
    <row r="435" spans="1:11" x14ac:dyDescent="0.3">
      <c r="A435" t="s">
        <v>21</v>
      </c>
      <c r="B435" s="78" t="s">
        <v>86</v>
      </c>
      <c r="D435" t="s">
        <v>21</v>
      </c>
      <c r="E435" s="78" t="s">
        <v>86</v>
      </c>
      <c r="G435" t="s">
        <v>21</v>
      </c>
      <c r="H435" s="78" t="s">
        <v>86</v>
      </c>
      <c r="J435" t="s">
        <v>21</v>
      </c>
      <c r="K435" s="78" t="s">
        <v>86</v>
      </c>
    </row>
    <row r="436" spans="1:11" ht="15" thickBot="1" x14ac:dyDescent="0.35">
      <c r="A436" t="s">
        <v>22</v>
      </c>
      <c r="B436" s="79" t="s">
        <v>86</v>
      </c>
      <c r="D436" t="s">
        <v>22</v>
      </c>
      <c r="E436" s="79" t="s">
        <v>86</v>
      </c>
      <c r="G436" t="s">
        <v>22</v>
      </c>
      <c r="H436" s="79" t="s">
        <v>86</v>
      </c>
      <c r="J436" t="s">
        <v>22</v>
      </c>
      <c r="K436" s="79" t="s">
        <v>86</v>
      </c>
    </row>
    <row r="439" spans="1:11" x14ac:dyDescent="0.3">
      <c r="A439" s="6" t="s">
        <v>38</v>
      </c>
      <c r="B439" s="5" t="s">
        <v>34</v>
      </c>
    </row>
    <row r="440" spans="1:11" x14ac:dyDescent="0.3">
      <c r="A440" t="s">
        <v>11</v>
      </c>
      <c r="B440" s="86">
        <v>42158</v>
      </c>
    </row>
    <row r="442" spans="1:11" x14ac:dyDescent="0.3">
      <c r="A442" s="9" t="s">
        <v>28</v>
      </c>
      <c r="D442" s="9" t="s">
        <v>29</v>
      </c>
      <c r="G442" s="9" t="s">
        <v>30</v>
      </c>
      <c r="J442" s="9" t="s">
        <v>35</v>
      </c>
    </row>
    <row r="443" spans="1:11" ht="15" thickBot="1" x14ac:dyDescent="0.35">
      <c r="B443" s="5" t="s">
        <v>36</v>
      </c>
      <c r="E443" t="s">
        <v>36</v>
      </c>
      <c r="H443" t="s">
        <v>36</v>
      </c>
      <c r="K443" t="s">
        <v>36</v>
      </c>
    </row>
    <row r="444" spans="1:11" x14ac:dyDescent="0.3">
      <c r="A444" t="s">
        <v>18</v>
      </c>
      <c r="B444" s="77" t="s">
        <v>86</v>
      </c>
      <c r="D444" t="s">
        <v>18</v>
      </c>
      <c r="E444" s="77" t="s">
        <v>86</v>
      </c>
      <c r="G444" t="s">
        <v>18</v>
      </c>
      <c r="H444" s="77" t="s">
        <v>86</v>
      </c>
      <c r="J444" t="s">
        <v>18</v>
      </c>
      <c r="K444" s="77" t="s">
        <v>86</v>
      </c>
    </row>
    <row r="445" spans="1:11" x14ac:dyDescent="0.3">
      <c r="A445" t="s">
        <v>19</v>
      </c>
      <c r="B445" s="78" t="s">
        <v>86</v>
      </c>
      <c r="D445" t="s">
        <v>19</v>
      </c>
      <c r="E445" s="78" t="s">
        <v>86</v>
      </c>
      <c r="G445" t="s">
        <v>19</v>
      </c>
      <c r="H445" s="78" t="s">
        <v>86</v>
      </c>
      <c r="J445" t="s">
        <v>19</v>
      </c>
      <c r="K445" s="78" t="s">
        <v>87</v>
      </c>
    </row>
    <row r="446" spans="1:11" x14ac:dyDescent="0.3">
      <c r="A446" t="s">
        <v>20</v>
      </c>
      <c r="B446" s="78" t="s">
        <v>86</v>
      </c>
      <c r="D446" t="s">
        <v>20</v>
      </c>
      <c r="E446" s="78" t="s">
        <v>86</v>
      </c>
      <c r="G446" t="s">
        <v>20</v>
      </c>
      <c r="H446" s="78" t="s">
        <v>86</v>
      </c>
      <c r="J446" t="s">
        <v>20</v>
      </c>
      <c r="K446" s="78" t="s">
        <v>86</v>
      </c>
    </row>
    <row r="447" spans="1:11" x14ac:dyDescent="0.3">
      <c r="A447" t="s">
        <v>21</v>
      </c>
      <c r="B447" s="78" t="s">
        <v>86</v>
      </c>
      <c r="D447" t="s">
        <v>21</v>
      </c>
      <c r="E447" s="78" t="s">
        <v>86</v>
      </c>
      <c r="G447" t="s">
        <v>21</v>
      </c>
      <c r="H447" s="78" t="s">
        <v>86</v>
      </c>
      <c r="J447" t="s">
        <v>21</v>
      </c>
      <c r="K447" s="78" t="s">
        <v>86</v>
      </c>
    </row>
    <row r="448" spans="1:11" ht="15" thickBot="1" x14ac:dyDescent="0.35">
      <c r="A448" t="s">
        <v>22</v>
      </c>
      <c r="B448" s="79" t="s">
        <v>86</v>
      </c>
      <c r="D448" t="s">
        <v>22</v>
      </c>
      <c r="E448" s="79" t="s">
        <v>86</v>
      </c>
      <c r="G448" t="s">
        <v>22</v>
      </c>
      <c r="H448" s="79" t="s">
        <v>86</v>
      </c>
      <c r="J448" t="s">
        <v>22</v>
      </c>
      <c r="K448" s="79" t="s">
        <v>86</v>
      </c>
    </row>
    <row r="450" spans="1:11" x14ac:dyDescent="0.3">
      <c r="A450" s="6" t="s">
        <v>39</v>
      </c>
      <c r="B450" s="5" t="s">
        <v>34</v>
      </c>
    </row>
    <row r="451" spans="1:11" x14ac:dyDescent="0.3">
      <c r="A451" t="s">
        <v>11</v>
      </c>
      <c r="B451" s="86">
        <v>42159</v>
      </c>
    </row>
    <row r="453" spans="1:11" x14ac:dyDescent="0.3">
      <c r="A453" s="9" t="s">
        <v>28</v>
      </c>
      <c r="D453" s="9" t="s">
        <v>29</v>
      </c>
      <c r="G453" s="9" t="s">
        <v>30</v>
      </c>
      <c r="J453" s="9" t="s">
        <v>35</v>
      </c>
    </row>
    <row r="454" spans="1:11" ht="15" thickBot="1" x14ac:dyDescent="0.35">
      <c r="B454" s="5" t="s">
        <v>36</v>
      </c>
      <c r="E454" t="s">
        <v>36</v>
      </c>
      <c r="H454" t="s">
        <v>36</v>
      </c>
      <c r="K454" t="s">
        <v>36</v>
      </c>
    </row>
    <row r="455" spans="1:11" x14ac:dyDescent="0.3">
      <c r="A455" t="s">
        <v>18</v>
      </c>
      <c r="B455" s="77" t="s">
        <v>86</v>
      </c>
      <c r="D455" t="s">
        <v>18</v>
      </c>
      <c r="E455" s="49" t="s">
        <v>86</v>
      </c>
      <c r="G455" t="s">
        <v>18</v>
      </c>
      <c r="H455" s="49" t="s">
        <v>86</v>
      </c>
      <c r="J455" t="s">
        <v>18</v>
      </c>
      <c r="K455" s="49" t="s">
        <v>86</v>
      </c>
    </row>
    <row r="456" spans="1:11" x14ac:dyDescent="0.3">
      <c r="A456" t="s">
        <v>19</v>
      </c>
      <c r="B456" s="78" t="s">
        <v>86</v>
      </c>
      <c r="D456" t="s">
        <v>19</v>
      </c>
      <c r="E456" s="50" t="s">
        <v>86</v>
      </c>
      <c r="G456" t="s">
        <v>19</v>
      </c>
      <c r="H456" s="50" t="s">
        <v>86</v>
      </c>
      <c r="J456" t="s">
        <v>19</v>
      </c>
      <c r="K456" s="50" t="s">
        <v>87</v>
      </c>
    </row>
    <row r="457" spans="1:11" x14ac:dyDescent="0.3">
      <c r="A457" t="s">
        <v>20</v>
      </c>
      <c r="B457" s="78" t="s">
        <v>86</v>
      </c>
      <c r="D457" t="s">
        <v>20</v>
      </c>
      <c r="E457" s="50" t="s">
        <v>86</v>
      </c>
      <c r="G457" t="s">
        <v>20</v>
      </c>
      <c r="H457" s="50" t="s">
        <v>86</v>
      </c>
      <c r="J457" t="s">
        <v>20</v>
      </c>
      <c r="K457" s="50" t="s">
        <v>86</v>
      </c>
    </row>
    <row r="458" spans="1:11" x14ac:dyDescent="0.3">
      <c r="A458" t="s">
        <v>21</v>
      </c>
      <c r="B458" s="78" t="s">
        <v>86</v>
      </c>
      <c r="D458" t="s">
        <v>21</v>
      </c>
      <c r="E458" s="50" t="s">
        <v>87</v>
      </c>
      <c r="G458" t="s">
        <v>21</v>
      </c>
      <c r="H458" s="50" t="s">
        <v>87</v>
      </c>
      <c r="J458" t="s">
        <v>21</v>
      </c>
      <c r="K458" s="50" t="s">
        <v>86</v>
      </c>
    </row>
    <row r="459" spans="1:11" ht="15" thickBot="1" x14ac:dyDescent="0.35">
      <c r="A459" t="s">
        <v>22</v>
      </c>
      <c r="B459" s="79" t="s">
        <v>86</v>
      </c>
      <c r="D459" t="s">
        <v>22</v>
      </c>
      <c r="E459" s="51" t="s">
        <v>86</v>
      </c>
      <c r="G459" t="s">
        <v>22</v>
      </c>
      <c r="H459" s="51" t="s">
        <v>86</v>
      </c>
      <c r="J459" t="s">
        <v>22</v>
      </c>
      <c r="K459" s="51" t="s">
        <v>86</v>
      </c>
    </row>
    <row r="461" spans="1:11" x14ac:dyDescent="0.3">
      <c r="A461" s="6" t="s">
        <v>40</v>
      </c>
      <c r="B461" s="5" t="s">
        <v>34</v>
      </c>
    </row>
    <row r="462" spans="1:11" x14ac:dyDescent="0.3">
      <c r="A462" t="s">
        <v>11</v>
      </c>
      <c r="B462" s="86">
        <v>42160</v>
      </c>
    </row>
    <row r="464" spans="1:11" x14ac:dyDescent="0.3">
      <c r="A464" s="9" t="s">
        <v>28</v>
      </c>
      <c r="D464" s="9" t="s">
        <v>29</v>
      </c>
      <c r="G464" s="9" t="s">
        <v>30</v>
      </c>
      <c r="J464" s="9" t="s">
        <v>35</v>
      </c>
    </row>
    <row r="465" spans="1:11" ht="15" thickBot="1" x14ac:dyDescent="0.35">
      <c r="B465" s="5" t="s">
        <v>36</v>
      </c>
      <c r="E465" t="s">
        <v>36</v>
      </c>
      <c r="H465" t="s">
        <v>36</v>
      </c>
      <c r="K465" t="s">
        <v>36</v>
      </c>
    </row>
    <row r="466" spans="1:11" x14ac:dyDescent="0.3">
      <c r="A466" t="s">
        <v>18</v>
      </c>
      <c r="B466" s="77" t="s">
        <v>86</v>
      </c>
      <c r="D466" t="s">
        <v>18</v>
      </c>
      <c r="E466" s="49" t="s">
        <v>86</v>
      </c>
      <c r="G466" t="s">
        <v>18</v>
      </c>
      <c r="H466" s="49" t="s">
        <v>86</v>
      </c>
      <c r="J466" t="s">
        <v>18</v>
      </c>
      <c r="K466" s="49" t="s">
        <v>86</v>
      </c>
    </row>
    <row r="467" spans="1:11" x14ac:dyDescent="0.3">
      <c r="A467" t="s">
        <v>19</v>
      </c>
      <c r="B467" s="78" t="s">
        <v>86</v>
      </c>
      <c r="D467" t="s">
        <v>19</v>
      </c>
      <c r="E467" s="50" t="s">
        <v>86</v>
      </c>
      <c r="G467" t="s">
        <v>19</v>
      </c>
      <c r="H467" s="50" t="s">
        <v>86</v>
      </c>
      <c r="J467" t="s">
        <v>19</v>
      </c>
      <c r="K467" s="50" t="s">
        <v>87</v>
      </c>
    </row>
    <row r="468" spans="1:11" x14ac:dyDescent="0.3">
      <c r="A468" t="s">
        <v>20</v>
      </c>
      <c r="B468" s="78" t="s">
        <v>87</v>
      </c>
      <c r="D468" t="s">
        <v>20</v>
      </c>
      <c r="E468" s="50" t="s">
        <v>86</v>
      </c>
      <c r="G468" t="s">
        <v>20</v>
      </c>
      <c r="H468" s="50" t="s">
        <v>86</v>
      </c>
      <c r="J468" t="s">
        <v>20</v>
      </c>
      <c r="K468" s="50" t="s">
        <v>86</v>
      </c>
    </row>
    <row r="469" spans="1:11" x14ac:dyDescent="0.3">
      <c r="A469" t="s">
        <v>21</v>
      </c>
      <c r="B469" s="78" t="s">
        <v>86</v>
      </c>
      <c r="D469" t="s">
        <v>21</v>
      </c>
      <c r="E469" s="50" t="s">
        <v>87</v>
      </c>
      <c r="G469" t="s">
        <v>21</v>
      </c>
      <c r="H469" s="50" t="s">
        <v>87</v>
      </c>
      <c r="J469" t="s">
        <v>21</v>
      </c>
      <c r="K469" s="50" t="s">
        <v>86</v>
      </c>
    </row>
    <row r="470" spans="1:11" ht="15" thickBot="1" x14ac:dyDescent="0.35">
      <c r="A470" t="s">
        <v>22</v>
      </c>
      <c r="B470" s="79" t="s">
        <v>86</v>
      </c>
      <c r="D470" t="s">
        <v>22</v>
      </c>
      <c r="E470" s="51" t="s">
        <v>86</v>
      </c>
      <c r="G470" t="s">
        <v>22</v>
      </c>
      <c r="H470" s="51" t="s">
        <v>86</v>
      </c>
      <c r="J470" t="s">
        <v>22</v>
      </c>
      <c r="K470" s="51" t="s">
        <v>86</v>
      </c>
    </row>
    <row r="472" spans="1:11" x14ac:dyDescent="0.3">
      <c r="A472" s="6" t="s">
        <v>41</v>
      </c>
      <c r="B472" s="5" t="s">
        <v>34</v>
      </c>
    </row>
    <row r="473" spans="1:11" x14ac:dyDescent="0.3">
      <c r="A473" t="s">
        <v>11</v>
      </c>
      <c r="B473" s="86">
        <v>42161</v>
      </c>
    </row>
    <row r="475" spans="1:11" x14ac:dyDescent="0.3">
      <c r="A475" s="9" t="s">
        <v>28</v>
      </c>
      <c r="D475" s="9" t="s">
        <v>29</v>
      </c>
      <c r="G475" s="9" t="s">
        <v>30</v>
      </c>
      <c r="J475" s="9" t="s">
        <v>35</v>
      </c>
    </row>
    <row r="476" spans="1:11" ht="15" thickBot="1" x14ac:dyDescent="0.35">
      <c r="B476" s="5" t="s">
        <v>36</v>
      </c>
      <c r="E476" t="s">
        <v>36</v>
      </c>
      <c r="H476" t="s">
        <v>36</v>
      </c>
      <c r="K476" t="s">
        <v>36</v>
      </c>
    </row>
    <row r="477" spans="1:11" x14ac:dyDescent="0.3">
      <c r="A477" t="s">
        <v>18</v>
      </c>
      <c r="B477" s="77" t="s">
        <v>86</v>
      </c>
      <c r="D477" t="s">
        <v>18</v>
      </c>
      <c r="E477" s="49" t="s">
        <v>86</v>
      </c>
      <c r="G477" t="s">
        <v>18</v>
      </c>
      <c r="H477" s="49" t="s">
        <v>86</v>
      </c>
      <c r="J477" t="s">
        <v>18</v>
      </c>
      <c r="K477" s="49" t="s">
        <v>86</v>
      </c>
    </row>
    <row r="478" spans="1:11" x14ac:dyDescent="0.3">
      <c r="A478" t="s">
        <v>19</v>
      </c>
      <c r="B478" s="78" t="s">
        <v>86</v>
      </c>
      <c r="D478" t="s">
        <v>19</v>
      </c>
      <c r="E478" s="50" t="s">
        <v>86</v>
      </c>
      <c r="G478" t="s">
        <v>19</v>
      </c>
      <c r="H478" s="50" t="s">
        <v>86</v>
      </c>
      <c r="J478" t="s">
        <v>19</v>
      </c>
      <c r="K478" s="50" t="s">
        <v>87</v>
      </c>
    </row>
    <row r="479" spans="1:11" x14ac:dyDescent="0.3">
      <c r="A479" t="s">
        <v>20</v>
      </c>
      <c r="B479" s="78" t="s">
        <v>87</v>
      </c>
      <c r="D479" t="s">
        <v>20</v>
      </c>
      <c r="E479" s="50" t="s">
        <v>87</v>
      </c>
      <c r="G479" t="s">
        <v>20</v>
      </c>
      <c r="H479" s="50" t="s">
        <v>86</v>
      </c>
      <c r="J479" t="s">
        <v>20</v>
      </c>
      <c r="K479" s="50" t="s">
        <v>86</v>
      </c>
    </row>
    <row r="480" spans="1:11" x14ac:dyDescent="0.3">
      <c r="A480" t="s">
        <v>21</v>
      </c>
      <c r="B480" s="78" t="s">
        <v>86</v>
      </c>
      <c r="D480" t="s">
        <v>21</v>
      </c>
      <c r="E480" s="50" t="s">
        <v>87</v>
      </c>
      <c r="G480" t="s">
        <v>21</v>
      </c>
      <c r="H480" s="50" t="s">
        <v>87</v>
      </c>
      <c r="J480" t="s">
        <v>21</v>
      </c>
      <c r="K480" s="50" t="s">
        <v>86</v>
      </c>
    </row>
    <row r="481" spans="1:24" ht="15" thickBot="1" x14ac:dyDescent="0.35">
      <c r="A481" t="s">
        <v>22</v>
      </c>
      <c r="B481" s="79" t="s">
        <v>86</v>
      </c>
      <c r="D481" t="s">
        <v>22</v>
      </c>
      <c r="E481" s="51" t="s">
        <v>86</v>
      </c>
      <c r="G481" t="s">
        <v>22</v>
      </c>
      <c r="H481" s="51" t="s">
        <v>86</v>
      </c>
      <c r="J481" t="s">
        <v>22</v>
      </c>
      <c r="K481" s="51" t="s">
        <v>86</v>
      </c>
    </row>
    <row r="483" spans="1:24" x14ac:dyDescent="0.3">
      <c r="A483" s="6" t="s">
        <v>44</v>
      </c>
      <c r="B483" s="5" t="s">
        <v>69</v>
      </c>
      <c r="N483" t="s">
        <v>59</v>
      </c>
    </row>
    <row r="484" spans="1:24" x14ac:dyDescent="0.3">
      <c r="A484" t="s">
        <v>11</v>
      </c>
      <c r="B484" s="86">
        <v>42162</v>
      </c>
      <c r="D484" s="8" t="s">
        <v>78</v>
      </c>
    </row>
    <row r="486" spans="1:24" x14ac:dyDescent="0.3">
      <c r="A486" s="9" t="s">
        <v>28</v>
      </c>
      <c r="D486" s="9" t="s">
        <v>29</v>
      </c>
      <c r="G486" s="9" t="s">
        <v>30</v>
      </c>
      <c r="J486" s="9" t="s">
        <v>35</v>
      </c>
      <c r="N486" s="9" t="s">
        <v>28</v>
      </c>
      <c r="Q486" s="9" t="s">
        <v>29</v>
      </c>
      <c r="T486" s="9" t="s">
        <v>30</v>
      </c>
      <c r="W486" s="9" t="s">
        <v>35</v>
      </c>
    </row>
    <row r="487" spans="1:24" ht="15" thickBot="1" x14ac:dyDescent="0.35">
      <c r="B487" s="5" t="s">
        <v>27</v>
      </c>
      <c r="C487" t="s">
        <v>43</v>
      </c>
      <c r="E487" t="s">
        <v>27</v>
      </c>
      <c r="F487" t="s">
        <v>43</v>
      </c>
      <c r="H487" t="s">
        <v>27</v>
      </c>
      <c r="I487" t="s">
        <v>43</v>
      </c>
      <c r="K487" t="s">
        <v>27</v>
      </c>
      <c r="L487" t="s">
        <v>43</v>
      </c>
      <c r="O487" t="s">
        <v>36</v>
      </c>
      <c r="R487" t="s">
        <v>36</v>
      </c>
      <c r="U487" t="s">
        <v>36</v>
      </c>
      <c r="X487" t="s">
        <v>36</v>
      </c>
    </row>
    <row r="488" spans="1:24" x14ac:dyDescent="0.3">
      <c r="A488" t="s">
        <v>18</v>
      </c>
      <c r="B488" s="66">
        <v>0</v>
      </c>
      <c r="C488" s="66">
        <v>0</v>
      </c>
      <c r="D488" t="s">
        <v>18</v>
      </c>
      <c r="E488" s="66">
        <v>0</v>
      </c>
      <c r="F488" s="66">
        <v>0</v>
      </c>
      <c r="G488" t="s">
        <v>18</v>
      </c>
      <c r="H488" s="66">
        <v>0</v>
      </c>
      <c r="I488" s="66">
        <v>0</v>
      </c>
      <c r="J488" t="s">
        <v>18</v>
      </c>
      <c r="K488" s="66">
        <v>0</v>
      </c>
      <c r="L488" s="66">
        <v>0</v>
      </c>
      <c r="N488" t="s">
        <v>18</v>
      </c>
      <c r="O488" s="49" t="s">
        <v>77</v>
      </c>
      <c r="Q488" t="s">
        <v>18</v>
      </c>
      <c r="R488" s="49" t="s">
        <v>77</v>
      </c>
      <c r="T488" t="s">
        <v>18</v>
      </c>
      <c r="U488" s="49" t="s">
        <v>77</v>
      </c>
      <c r="W488" t="s">
        <v>18</v>
      </c>
      <c r="X488" s="49" t="s">
        <v>77</v>
      </c>
    </row>
    <row r="489" spans="1:24" x14ac:dyDescent="0.3">
      <c r="A489" t="s">
        <v>19</v>
      </c>
      <c r="B489" s="67">
        <v>0</v>
      </c>
      <c r="C489" s="67">
        <v>0</v>
      </c>
      <c r="D489" t="s">
        <v>19</v>
      </c>
      <c r="E489" s="67">
        <v>0</v>
      </c>
      <c r="F489" s="67">
        <v>0</v>
      </c>
      <c r="G489" t="s">
        <v>19</v>
      </c>
      <c r="H489" s="67">
        <v>0</v>
      </c>
      <c r="I489" s="67">
        <v>0</v>
      </c>
      <c r="J489" t="s">
        <v>19</v>
      </c>
      <c r="K489" s="67">
        <v>0.1074660633484163</v>
      </c>
      <c r="L489" s="67">
        <v>2.9411764705882353E-3</v>
      </c>
      <c r="N489" t="s">
        <v>19</v>
      </c>
      <c r="O489" s="50" t="s">
        <v>77</v>
      </c>
      <c r="Q489" t="s">
        <v>19</v>
      </c>
      <c r="R489" s="50" t="s">
        <v>77</v>
      </c>
      <c r="T489" t="s">
        <v>19</v>
      </c>
      <c r="U489" s="50" t="s">
        <v>77</v>
      </c>
      <c r="W489" t="s">
        <v>19</v>
      </c>
      <c r="X489" s="50">
        <v>6</v>
      </c>
    </row>
    <row r="490" spans="1:24" x14ac:dyDescent="0.3">
      <c r="A490" t="s">
        <v>20</v>
      </c>
      <c r="B490" s="67">
        <v>5.5267857142857146E-2</v>
      </c>
      <c r="C490" s="67">
        <v>0</v>
      </c>
      <c r="D490" t="s">
        <v>20</v>
      </c>
      <c r="E490" s="67">
        <v>4.9227799227799223E-3</v>
      </c>
      <c r="F490" s="67">
        <v>0</v>
      </c>
      <c r="G490" t="s">
        <v>20</v>
      </c>
      <c r="H490" s="67">
        <v>0</v>
      </c>
      <c r="I490" s="67">
        <v>0</v>
      </c>
      <c r="J490" t="s">
        <v>20</v>
      </c>
      <c r="K490" s="67">
        <v>0</v>
      </c>
      <c r="L490" s="67">
        <v>0</v>
      </c>
      <c r="N490" t="s">
        <v>20</v>
      </c>
      <c r="O490" s="50">
        <v>8</v>
      </c>
      <c r="Q490" t="s">
        <v>20</v>
      </c>
      <c r="R490" s="50">
        <v>9</v>
      </c>
      <c r="T490" t="s">
        <v>20</v>
      </c>
      <c r="U490" s="50" t="s">
        <v>77</v>
      </c>
      <c r="W490" t="s">
        <v>20</v>
      </c>
      <c r="X490" s="50" t="s">
        <v>77</v>
      </c>
    </row>
    <row r="491" spans="1:24" x14ac:dyDescent="0.3">
      <c r="A491" t="s">
        <v>21</v>
      </c>
      <c r="B491" s="67">
        <v>0</v>
      </c>
      <c r="C491" s="67">
        <v>0</v>
      </c>
      <c r="D491" t="s">
        <v>21</v>
      </c>
      <c r="E491" s="67">
        <v>0.12544642857142857</v>
      </c>
      <c r="F491" s="67">
        <v>3.348214285714286E-3</v>
      </c>
      <c r="G491" t="s">
        <v>21</v>
      </c>
      <c r="H491" s="67">
        <v>9.160401002506266E-2</v>
      </c>
      <c r="I491" s="67">
        <v>3.6967418546365914E-3</v>
      </c>
      <c r="J491" t="s">
        <v>21</v>
      </c>
      <c r="K491" s="67">
        <v>0</v>
      </c>
      <c r="L491" s="67">
        <v>0</v>
      </c>
      <c r="N491" t="s">
        <v>21</v>
      </c>
      <c r="O491" s="50" t="s">
        <v>77</v>
      </c>
      <c r="Q491" t="s">
        <v>21</v>
      </c>
      <c r="R491" s="50">
        <v>7</v>
      </c>
      <c r="T491" t="s">
        <v>21</v>
      </c>
      <c r="U491" s="50">
        <v>7</v>
      </c>
      <c r="W491" t="s">
        <v>21</v>
      </c>
      <c r="X491" s="50" t="s">
        <v>77</v>
      </c>
    </row>
    <row r="492" spans="1:24" ht="15" thickBot="1" x14ac:dyDescent="0.35">
      <c r="A492" t="s">
        <v>22</v>
      </c>
      <c r="B492" s="68">
        <v>0</v>
      </c>
      <c r="C492" s="68">
        <v>0</v>
      </c>
      <c r="D492" t="s">
        <v>22</v>
      </c>
      <c r="E492" s="68">
        <v>0</v>
      </c>
      <c r="F492" s="68">
        <v>0</v>
      </c>
      <c r="G492" t="s">
        <v>22</v>
      </c>
      <c r="H492" s="68">
        <v>0</v>
      </c>
      <c r="I492" s="68">
        <v>0</v>
      </c>
      <c r="J492" t="s">
        <v>22</v>
      </c>
      <c r="K492" s="68">
        <v>0</v>
      </c>
      <c r="L492" s="68">
        <v>0</v>
      </c>
      <c r="N492" t="s">
        <v>22</v>
      </c>
      <c r="O492" s="51" t="s">
        <v>77</v>
      </c>
      <c r="Q492" t="s">
        <v>22</v>
      </c>
      <c r="R492" s="51" t="s">
        <v>77</v>
      </c>
      <c r="T492" t="s">
        <v>22</v>
      </c>
      <c r="U492" s="51" t="s">
        <v>77</v>
      </c>
      <c r="W492" t="s">
        <v>22</v>
      </c>
      <c r="X492" s="51" t="s">
        <v>77</v>
      </c>
    </row>
    <row r="493" spans="1:24" s="19" customFormat="1" ht="28.8" x14ac:dyDescent="0.3">
      <c r="A493" s="19" t="s">
        <v>13</v>
      </c>
      <c r="B493" s="92">
        <f>AVERAGE(B490)</f>
        <v>5.5267857142857146E-2</v>
      </c>
      <c r="C493" s="44">
        <f>AVERAGE(C490)</f>
        <v>0</v>
      </c>
      <c r="D493" s="19" t="s">
        <v>13</v>
      </c>
      <c r="E493" s="44">
        <f>AVERAGE(E490:E491)</f>
        <v>6.5184604247104247E-2</v>
      </c>
      <c r="F493" s="44">
        <f>AVERAGE(F490:F491)</f>
        <v>1.674107142857143E-3</v>
      </c>
      <c r="G493" s="19" t="s">
        <v>13</v>
      </c>
      <c r="H493" s="44">
        <f>AVERAGE(H491)</f>
        <v>9.160401002506266E-2</v>
      </c>
      <c r="I493" s="44">
        <f>AVERAGE(I491)</f>
        <v>3.6967418546365914E-3</v>
      </c>
      <c r="J493" s="19" t="s">
        <v>13</v>
      </c>
      <c r="K493" s="44">
        <f>AVERAGE(K489)</f>
        <v>0.1074660633484163</v>
      </c>
      <c r="L493" s="44">
        <f>AVERAGE(L489)</f>
        <v>2.9411764705882353E-3</v>
      </c>
      <c r="N493" s="19" t="s">
        <v>60</v>
      </c>
      <c r="O493" s="48">
        <f>AVERAGE(O488:O492)</f>
        <v>8</v>
      </c>
      <c r="Q493" s="19" t="s">
        <v>60</v>
      </c>
      <c r="R493" s="48">
        <f>AVERAGE(R488:R492)</f>
        <v>8</v>
      </c>
      <c r="T493" s="19" t="s">
        <v>60</v>
      </c>
      <c r="U493" s="48">
        <f>AVERAGE(U488:U492)</f>
        <v>7</v>
      </c>
      <c r="W493" s="19" t="s">
        <v>60</v>
      </c>
      <c r="X493" s="48">
        <f>AVERAGE(X488:X492)</f>
        <v>6</v>
      </c>
    </row>
    <row r="495" spans="1:24" x14ac:dyDescent="0.3">
      <c r="A495" s="4" t="s">
        <v>53</v>
      </c>
    </row>
    <row r="497" spans="1:11" x14ac:dyDescent="0.3">
      <c r="A497" s="6" t="s">
        <v>54</v>
      </c>
      <c r="I497" s="8"/>
      <c r="J497" s="8"/>
      <c r="K497" s="8"/>
    </row>
    <row r="498" spans="1:11" x14ac:dyDescent="0.3">
      <c r="A498" s="4" t="s">
        <v>11</v>
      </c>
      <c r="B498" s="86">
        <v>42174</v>
      </c>
    </row>
    <row r="499" spans="1:11" ht="15" thickBot="1" x14ac:dyDescent="0.35">
      <c r="A499" s="4"/>
    </row>
    <row r="500" spans="1:11" ht="15" thickBot="1" x14ac:dyDescent="0.35">
      <c r="B500" s="93" t="s">
        <v>17</v>
      </c>
      <c r="C500" s="62" t="s">
        <v>23</v>
      </c>
      <c r="D500" s="62" t="s">
        <v>24</v>
      </c>
      <c r="E500" s="63" t="s">
        <v>25</v>
      </c>
    </row>
    <row r="501" spans="1:11" x14ac:dyDescent="0.3">
      <c r="B501" s="77">
        <v>0</v>
      </c>
      <c r="C501" s="58">
        <v>65</v>
      </c>
      <c r="D501" s="49">
        <v>0</v>
      </c>
      <c r="E501" s="73">
        <v>0</v>
      </c>
    </row>
    <row r="502" spans="1:11" x14ac:dyDescent="0.3">
      <c r="B502" s="78">
        <v>0</v>
      </c>
      <c r="C502" s="59">
        <v>0</v>
      </c>
      <c r="D502" s="50">
        <v>0</v>
      </c>
      <c r="E502" s="74">
        <v>0</v>
      </c>
    </row>
    <row r="503" spans="1:11" x14ac:dyDescent="0.3">
      <c r="B503" s="78">
        <v>0</v>
      </c>
      <c r="C503" s="59">
        <v>0</v>
      </c>
      <c r="D503" s="50">
        <v>0</v>
      </c>
      <c r="E503" s="74">
        <v>0</v>
      </c>
    </row>
    <row r="504" spans="1:11" x14ac:dyDescent="0.3">
      <c r="B504" s="78">
        <v>53</v>
      </c>
      <c r="C504" s="64">
        <v>0</v>
      </c>
      <c r="D504" s="50">
        <v>0</v>
      </c>
      <c r="E504" s="74">
        <v>0</v>
      </c>
    </row>
    <row r="505" spans="1:11" x14ac:dyDescent="0.3">
      <c r="B505" s="78">
        <v>0</v>
      </c>
      <c r="C505" s="64">
        <v>0</v>
      </c>
      <c r="D505" s="50">
        <v>0</v>
      </c>
      <c r="E505" s="74">
        <v>0</v>
      </c>
      <c r="G505" s="8"/>
    </row>
    <row r="506" spans="1:11" x14ac:dyDescent="0.3">
      <c r="B506" s="78">
        <v>0</v>
      </c>
      <c r="C506" s="64">
        <v>0</v>
      </c>
      <c r="D506" s="50">
        <v>0</v>
      </c>
      <c r="E506" s="74">
        <v>0</v>
      </c>
    </row>
    <row r="507" spans="1:11" x14ac:dyDescent="0.3">
      <c r="B507" s="78">
        <v>0</v>
      </c>
      <c r="C507" s="64">
        <v>0</v>
      </c>
      <c r="D507" s="50">
        <v>0</v>
      </c>
      <c r="E507" s="80">
        <v>0</v>
      </c>
    </row>
    <row r="508" spans="1:11" x14ac:dyDescent="0.3">
      <c r="B508" s="78">
        <v>0</v>
      </c>
      <c r="C508" s="64">
        <v>0</v>
      </c>
      <c r="D508" s="50">
        <v>0</v>
      </c>
      <c r="E508" s="74">
        <v>0</v>
      </c>
      <c r="I508" s="8"/>
      <c r="J508" s="8"/>
      <c r="K508" s="8"/>
    </row>
    <row r="509" spans="1:11" x14ac:dyDescent="0.3">
      <c r="B509" s="78">
        <v>0</v>
      </c>
      <c r="C509" s="64">
        <v>0</v>
      </c>
      <c r="D509" s="50">
        <v>0</v>
      </c>
      <c r="E509" s="74">
        <v>0</v>
      </c>
    </row>
    <row r="510" spans="1:11" x14ac:dyDescent="0.3">
      <c r="B510" s="78">
        <v>0</v>
      </c>
      <c r="C510" s="64">
        <v>0</v>
      </c>
      <c r="D510" s="50">
        <v>0</v>
      </c>
      <c r="E510" s="74">
        <v>0</v>
      </c>
    </row>
    <row r="511" spans="1:11" x14ac:dyDescent="0.3">
      <c r="B511" s="78">
        <v>0</v>
      </c>
      <c r="C511" s="64">
        <v>0</v>
      </c>
      <c r="D511" s="50">
        <v>0</v>
      </c>
      <c r="E511" s="74">
        <v>0</v>
      </c>
    </row>
    <row r="512" spans="1:11" x14ac:dyDescent="0.3">
      <c r="B512" s="78">
        <v>0</v>
      </c>
      <c r="C512" s="64">
        <v>0</v>
      </c>
      <c r="D512" s="50">
        <v>0</v>
      </c>
      <c r="E512" s="74">
        <v>0</v>
      </c>
    </row>
    <row r="513" spans="2:5" x14ac:dyDescent="0.3">
      <c r="B513" s="78">
        <v>0</v>
      </c>
      <c r="C513" s="64">
        <v>0</v>
      </c>
      <c r="D513" s="50">
        <v>0</v>
      </c>
      <c r="E513" s="74">
        <v>0</v>
      </c>
    </row>
    <row r="514" spans="2:5" x14ac:dyDescent="0.3">
      <c r="B514" s="78">
        <v>0</v>
      </c>
      <c r="C514" s="64">
        <v>0</v>
      </c>
      <c r="D514" s="50">
        <v>0</v>
      </c>
      <c r="E514" s="74">
        <v>0</v>
      </c>
    </row>
    <row r="515" spans="2:5" x14ac:dyDescent="0.3">
      <c r="B515" s="78">
        <v>0</v>
      </c>
      <c r="C515" s="64">
        <v>4</v>
      </c>
      <c r="D515" s="50">
        <v>0</v>
      </c>
      <c r="E515" s="74">
        <v>0</v>
      </c>
    </row>
    <row r="516" spans="2:5" x14ac:dyDescent="0.3">
      <c r="B516" s="78">
        <v>0</v>
      </c>
      <c r="C516" s="64">
        <v>0</v>
      </c>
      <c r="D516" s="50">
        <v>0</v>
      </c>
      <c r="E516" s="74">
        <v>0</v>
      </c>
    </row>
    <row r="517" spans="2:5" x14ac:dyDescent="0.3">
      <c r="B517" s="78">
        <v>0</v>
      </c>
      <c r="C517" s="64">
        <v>64</v>
      </c>
      <c r="D517" s="50">
        <v>0</v>
      </c>
      <c r="E517" s="74">
        <v>0</v>
      </c>
    </row>
    <row r="518" spans="2:5" x14ac:dyDescent="0.3">
      <c r="B518" s="78">
        <v>0</v>
      </c>
      <c r="C518" s="64">
        <v>0</v>
      </c>
      <c r="D518" s="50">
        <v>0</v>
      </c>
      <c r="E518" s="74">
        <v>0</v>
      </c>
    </row>
    <row r="519" spans="2:5" x14ac:dyDescent="0.3">
      <c r="B519" s="78">
        <v>0</v>
      </c>
      <c r="C519" s="64">
        <v>0</v>
      </c>
      <c r="D519" s="50">
        <v>0</v>
      </c>
      <c r="E519" s="74">
        <v>0</v>
      </c>
    </row>
    <row r="520" spans="2:5" x14ac:dyDescent="0.3">
      <c r="B520" s="78">
        <v>0</v>
      </c>
      <c r="C520" s="64">
        <v>25</v>
      </c>
      <c r="D520" s="50">
        <v>0</v>
      </c>
      <c r="E520" s="74">
        <v>0</v>
      </c>
    </row>
    <row r="521" spans="2:5" x14ac:dyDescent="0.3">
      <c r="B521" s="119">
        <v>0</v>
      </c>
      <c r="C521" s="64">
        <v>0</v>
      </c>
      <c r="D521" s="50">
        <v>0</v>
      </c>
      <c r="E521" s="74">
        <v>0</v>
      </c>
    </row>
    <row r="522" spans="2:5" x14ac:dyDescent="0.3">
      <c r="B522" s="78">
        <v>82</v>
      </c>
      <c r="C522" s="64">
        <v>0</v>
      </c>
      <c r="D522" s="50">
        <v>0</v>
      </c>
      <c r="E522" s="74">
        <v>0</v>
      </c>
    </row>
    <row r="523" spans="2:5" x14ac:dyDescent="0.3">
      <c r="B523" s="78">
        <v>0</v>
      </c>
      <c r="C523" s="64">
        <v>0</v>
      </c>
      <c r="D523" s="50">
        <v>0</v>
      </c>
      <c r="E523" s="74">
        <v>0</v>
      </c>
    </row>
    <row r="524" spans="2:5" x14ac:dyDescent="0.3">
      <c r="B524" s="78">
        <v>0</v>
      </c>
      <c r="C524" s="64">
        <v>0</v>
      </c>
      <c r="D524" s="50">
        <v>0</v>
      </c>
      <c r="E524" s="74">
        <v>0</v>
      </c>
    </row>
    <row r="525" spans="2:5" x14ac:dyDescent="0.3">
      <c r="B525" s="78">
        <v>0</v>
      </c>
      <c r="C525" s="64">
        <v>78</v>
      </c>
      <c r="D525" s="50">
        <v>0</v>
      </c>
      <c r="E525" s="74">
        <v>0</v>
      </c>
    </row>
    <row r="526" spans="2:5" x14ac:dyDescent="0.3">
      <c r="B526" s="78">
        <v>0</v>
      </c>
      <c r="C526" s="64">
        <v>86</v>
      </c>
      <c r="D526" s="50">
        <v>0</v>
      </c>
      <c r="E526" s="74">
        <v>0</v>
      </c>
    </row>
    <row r="527" spans="2:5" x14ac:dyDescent="0.3">
      <c r="B527" s="78">
        <v>0</v>
      </c>
      <c r="C527" s="64">
        <v>0</v>
      </c>
      <c r="D527" s="50">
        <v>0</v>
      </c>
      <c r="E527" s="74">
        <v>0</v>
      </c>
    </row>
    <row r="528" spans="2:5" x14ac:dyDescent="0.3">
      <c r="B528" s="78">
        <v>0</v>
      </c>
      <c r="C528" s="64">
        <v>48</v>
      </c>
      <c r="D528" s="50">
        <v>0</v>
      </c>
      <c r="E528" s="74">
        <v>0</v>
      </c>
    </row>
    <row r="529" spans="2:5" x14ac:dyDescent="0.3">
      <c r="B529" s="78">
        <v>0</v>
      </c>
      <c r="C529" s="64">
        <v>0</v>
      </c>
      <c r="D529" s="50">
        <v>0</v>
      </c>
      <c r="E529" s="74">
        <v>0</v>
      </c>
    </row>
    <row r="530" spans="2:5" x14ac:dyDescent="0.3">
      <c r="B530" s="78">
        <v>0</v>
      </c>
      <c r="C530" s="64">
        <v>0</v>
      </c>
      <c r="D530" s="50">
        <v>0</v>
      </c>
      <c r="E530" s="74">
        <v>0</v>
      </c>
    </row>
    <row r="531" spans="2:5" x14ac:dyDescent="0.3">
      <c r="B531" s="78">
        <v>0</v>
      </c>
      <c r="C531" s="64">
        <v>0</v>
      </c>
      <c r="D531" s="50">
        <v>0</v>
      </c>
      <c r="E531" s="74">
        <v>0</v>
      </c>
    </row>
    <row r="532" spans="2:5" x14ac:dyDescent="0.3">
      <c r="B532" s="78">
        <v>0</v>
      </c>
      <c r="C532" s="64">
        <v>0</v>
      </c>
      <c r="D532" s="50">
        <v>0</v>
      </c>
      <c r="E532" s="74">
        <v>0</v>
      </c>
    </row>
    <row r="533" spans="2:5" x14ac:dyDescent="0.3">
      <c r="B533" s="78">
        <v>0</v>
      </c>
      <c r="C533" s="64">
        <v>0</v>
      </c>
      <c r="D533" s="50">
        <v>0</v>
      </c>
      <c r="E533" s="74">
        <v>0</v>
      </c>
    </row>
    <row r="534" spans="2:5" x14ac:dyDescent="0.3">
      <c r="B534" s="78">
        <v>0</v>
      </c>
      <c r="C534" s="64">
        <v>0</v>
      </c>
      <c r="D534" s="50">
        <v>0</v>
      </c>
      <c r="E534" s="74">
        <v>0</v>
      </c>
    </row>
    <row r="535" spans="2:5" x14ac:dyDescent="0.3">
      <c r="B535" s="78">
        <v>0</v>
      </c>
      <c r="C535" s="64">
        <v>193</v>
      </c>
      <c r="D535" s="50">
        <v>0</v>
      </c>
      <c r="E535" s="74">
        <v>0</v>
      </c>
    </row>
    <row r="536" spans="2:5" x14ac:dyDescent="0.3">
      <c r="B536" s="78">
        <v>0</v>
      </c>
      <c r="C536" s="64">
        <v>0</v>
      </c>
      <c r="D536" s="50">
        <v>0</v>
      </c>
      <c r="E536" s="74">
        <v>0</v>
      </c>
    </row>
    <row r="537" spans="2:5" x14ac:dyDescent="0.3">
      <c r="B537" s="78">
        <v>0</v>
      </c>
      <c r="C537" s="64">
        <v>16</v>
      </c>
      <c r="D537" s="50">
        <v>0</v>
      </c>
      <c r="E537" s="74">
        <v>0</v>
      </c>
    </row>
    <row r="538" spans="2:5" x14ac:dyDescent="0.3">
      <c r="B538" s="78">
        <v>3</v>
      </c>
      <c r="C538" s="64">
        <v>0</v>
      </c>
      <c r="D538" s="50">
        <v>0</v>
      </c>
      <c r="E538" s="74">
        <v>0</v>
      </c>
    </row>
    <row r="539" spans="2:5" x14ac:dyDescent="0.3">
      <c r="B539" s="78">
        <v>0</v>
      </c>
      <c r="C539" s="64">
        <v>0</v>
      </c>
      <c r="D539" s="50">
        <v>0</v>
      </c>
      <c r="E539" s="74">
        <v>0</v>
      </c>
    </row>
    <row r="540" spans="2:5" x14ac:dyDescent="0.3">
      <c r="B540" s="78">
        <v>0</v>
      </c>
      <c r="C540" s="64">
        <v>0</v>
      </c>
      <c r="D540" s="50">
        <v>0</v>
      </c>
      <c r="E540" s="74">
        <v>0</v>
      </c>
    </row>
    <row r="541" spans="2:5" x14ac:dyDescent="0.3">
      <c r="B541" s="78">
        <v>29</v>
      </c>
      <c r="C541" s="64">
        <v>0</v>
      </c>
      <c r="D541" s="50">
        <v>0</v>
      </c>
      <c r="E541" s="74">
        <v>0</v>
      </c>
    </row>
    <row r="542" spans="2:5" x14ac:dyDescent="0.3">
      <c r="B542" s="78">
        <v>0</v>
      </c>
      <c r="C542" s="64">
        <v>89</v>
      </c>
      <c r="D542" s="50">
        <v>0</v>
      </c>
      <c r="E542" s="74">
        <v>0</v>
      </c>
    </row>
    <row r="543" spans="2:5" x14ac:dyDescent="0.3">
      <c r="B543" s="78">
        <v>0</v>
      </c>
      <c r="C543" s="64">
        <v>0</v>
      </c>
      <c r="D543" s="50">
        <v>0</v>
      </c>
      <c r="E543" s="74">
        <v>0</v>
      </c>
    </row>
    <row r="544" spans="2:5" x14ac:dyDescent="0.3">
      <c r="B544" s="78">
        <v>0</v>
      </c>
      <c r="C544" s="64">
        <v>0</v>
      </c>
      <c r="D544" s="50">
        <v>0</v>
      </c>
      <c r="E544" s="74">
        <v>0</v>
      </c>
    </row>
    <row r="545" spans="1:5" x14ac:dyDescent="0.3">
      <c r="B545" s="78">
        <v>0</v>
      </c>
      <c r="C545" s="64">
        <v>0</v>
      </c>
      <c r="D545" s="50">
        <v>0</v>
      </c>
      <c r="E545" s="74">
        <v>0</v>
      </c>
    </row>
    <row r="546" spans="1:5" x14ac:dyDescent="0.3">
      <c r="B546" s="78">
        <v>0</v>
      </c>
      <c r="C546" s="64">
        <v>0</v>
      </c>
      <c r="D546" s="50">
        <v>0</v>
      </c>
      <c r="E546" s="74">
        <v>0</v>
      </c>
    </row>
    <row r="547" spans="1:5" x14ac:dyDescent="0.3">
      <c r="B547" s="78">
        <v>0</v>
      </c>
      <c r="C547" s="64">
        <v>31</v>
      </c>
      <c r="D547" s="50">
        <v>0</v>
      </c>
      <c r="E547" s="74">
        <v>0</v>
      </c>
    </row>
    <row r="548" spans="1:5" x14ac:dyDescent="0.3">
      <c r="B548" s="78">
        <v>0</v>
      </c>
      <c r="C548" s="64">
        <v>0</v>
      </c>
      <c r="D548" s="50">
        <v>0</v>
      </c>
      <c r="E548" s="74">
        <v>0</v>
      </c>
    </row>
    <row r="549" spans="1:5" x14ac:dyDescent="0.3">
      <c r="B549" s="78">
        <v>0</v>
      </c>
      <c r="C549" s="64">
        <v>63</v>
      </c>
      <c r="D549" s="50">
        <v>0</v>
      </c>
      <c r="E549" s="74">
        <v>0</v>
      </c>
    </row>
    <row r="550" spans="1:5" x14ac:dyDescent="0.3">
      <c r="B550" s="78">
        <v>0</v>
      </c>
      <c r="C550" s="64">
        <v>0</v>
      </c>
      <c r="D550" s="50">
        <v>0</v>
      </c>
      <c r="E550" s="74">
        <v>0</v>
      </c>
    </row>
    <row r="551" spans="1:5" ht="15" thickBot="1" x14ac:dyDescent="0.35">
      <c r="B551" s="97"/>
      <c r="C551" s="14"/>
      <c r="D551" s="3"/>
      <c r="E551" s="15"/>
    </row>
    <row r="553" spans="1:5" x14ac:dyDescent="0.3">
      <c r="A553" t="s">
        <v>6</v>
      </c>
      <c r="B553" s="94">
        <v>50</v>
      </c>
      <c r="C553" s="64">
        <v>50</v>
      </c>
      <c r="D553" s="64">
        <v>50</v>
      </c>
      <c r="E553" s="64">
        <v>50</v>
      </c>
    </row>
    <row r="554" spans="1:5" x14ac:dyDescent="0.3">
      <c r="A554" t="s">
        <v>7</v>
      </c>
      <c r="B554" s="94">
        <v>4</v>
      </c>
      <c r="C554" s="64">
        <v>12</v>
      </c>
      <c r="D554" s="64">
        <v>0</v>
      </c>
      <c r="E554" s="64">
        <v>0</v>
      </c>
    </row>
    <row r="555" spans="1:5" x14ac:dyDescent="0.3">
      <c r="A555" t="s">
        <v>8</v>
      </c>
      <c r="B555" s="94">
        <v>46</v>
      </c>
      <c r="C555" s="64">
        <v>38</v>
      </c>
      <c r="D555" s="64">
        <v>50</v>
      </c>
      <c r="E555" s="64">
        <v>50</v>
      </c>
    </row>
    <row r="557" spans="1:5" x14ac:dyDescent="0.3">
      <c r="A557" t="s">
        <v>9</v>
      </c>
      <c r="B557" s="84">
        <f>AVERAGE(B501:B550)</f>
        <v>3.34</v>
      </c>
      <c r="C557" s="57">
        <f>AVERAGE(C501:C550)</f>
        <v>15.24</v>
      </c>
      <c r="D557" s="57">
        <f>AVERAGE(D501:D550)</f>
        <v>0</v>
      </c>
      <c r="E557" s="57">
        <f>AVERAGE(E501:E550)</f>
        <v>0</v>
      </c>
    </row>
    <row r="558" spans="1:5" x14ac:dyDescent="0.3">
      <c r="A558" t="s">
        <v>10</v>
      </c>
      <c r="B558" s="84">
        <v>2.0030000000000001</v>
      </c>
      <c r="C558" s="57">
        <v>5.0910000000000002</v>
      </c>
      <c r="D558" s="57">
        <v>0</v>
      </c>
      <c r="E558" s="57">
        <v>0</v>
      </c>
    </row>
    <row r="559" spans="1:5" x14ac:dyDescent="0.3">
      <c r="B559" s="83"/>
      <c r="C559" s="30"/>
      <c r="D559" s="30"/>
      <c r="E559" s="30"/>
    </row>
    <row r="560" spans="1:5" x14ac:dyDescent="0.3">
      <c r="A560" t="s">
        <v>61</v>
      </c>
      <c r="B560" s="53">
        <f>B554/B553</f>
        <v>0.08</v>
      </c>
      <c r="C560" s="53">
        <f>C554/C553</f>
        <v>0.24</v>
      </c>
      <c r="D560" s="53">
        <f>D554/D553</f>
        <v>0</v>
      </c>
      <c r="E560" s="53">
        <f>E554/E553</f>
        <v>0</v>
      </c>
    </row>
    <row r="562" spans="1:52" x14ac:dyDescent="0.3">
      <c r="A562" s="6" t="s">
        <v>32</v>
      </c>
    </row>
    <row r="563" spans="1:52" x14ac:dyDescent="0.3">
      <c r="A563" s="4" t="s">
        <v>11</v>
      </c>
      <c r="B563" s="86"/>
    </row>
    <row r="565" spans="1:52" x14ac:dyDescent="0.3">
      <c r="A565" s="6" t="s">
        <v>17</v>
      </c>
      <c r="K565" s="6" t="s">
        <v>23</v>
      </c>
      <c r="V565" s="6" t="s">
        <v>24</v>
      </c>
      <c r="AJ565" s="6" t="s">
        <v>25</v>
      </c>
    </row>
    <row r="566" spans="1:52" s="81" customFormat="1" ht="55.8" thickBot="1" x14ac:dyDescent="0.35">
      <c r="B566" s="85"/>
      <c r="C566" s="81" t="s">
        <v>12</v>
      </c>
      <c r="D566" s="81" t="s">
        <v>13</v>
      </c>
      <c r="F566" s="81" t="s">
        <v>14</v>
      </c>
      <c r="G566" s="81" t="s">
        <v>15</v>
      </c>
      <c r="H566" s="81" t="s">
        <v>16</v>
      </c>
      <c r="N566" s="81" t="s">
        <v>12</v>
      </c>
      <c r="O566" s="81" t="s">
        <v>13</v>
      </c>
      <c r="Q566" s="81" t="s">
        <v>14</v>
      </c>
      <c r="R566" s="81" t="s">
        <v>15</v>
      </c>
      <c r="S566" s="81" t="s">
        <v>16</v>
      </c>
      <c r="AB566" s="81" t="s">
        <v>12</v>
      </c>
      <c r="AC566" s="81" t="s">
        <v>13</v>
      </c>
      <c r="AE566" s="81" t="s">
        <v>14</v>
      </c>
      <c r="AF566" s="81" t="s">
        <v>15</v>
      </c>
      <c r="AG566" s="81" t="s">
        <v>16</v>
      </c>
      <c r="AU566" s="81" t="s">
        <v>12</v>
      </c>
      <c r="AV566" s="81" t="s">
        <v>13</v>
      </c>
      <c r="AX566" s="81" t="s">
        <v>14</v>
      </c>
      <c r="AY566" s="81" t="s">
        <v>15</v>
      </c>
      <c r="AZ566" s="81" t="s">
        <v>16</v>
      </c>
    </row>
    <row r="567" spans="1:52" x14ac:dyDescent="0.3">
      <c r="A567" s="5" t="s">
        <v>18</v>
      </c>
      <c r="B567" s="77"/>
      <c r="C567" s="30">
        <f>SUM(B567)</f>
        <v>0</v>
      </c>
      <c r="D567" s="30" t="e">
        <f>AVERAGE(B567)</f>
        <v>#DIV/0!</v>
      </c>
      <c r="E567" s="30"/>
      <c r="F567" s="30">
        <f>AVERAGE(C567:C571)</f>
        <v>0</v>
      </c>
      <c r="G567" s="30" t="e">
        <f>AVERAGE(B567:B571)</f>
        <v>#DIV/0!</v>
      </c>
      <c r="H567" s="53"/>
      <c r="K567" s="5" t="s">
        <v>18</v>
      </c>
      <c r="L567" s="49"/>
      <c r="M567" s="49"/>
      <c r="N567" s="30">
        <f>SUM(L567:M567)</f>
        <v>0</v>
      </c>
      <c r="O567" s="30" t="e">
        <f>AVERAGE(L567:M567)</f>
        <v>#DIV/0!</v>
      </c>
      <c r="P567" s="30"/>
      <c r="Q567" s="30">
        <f>AVERAGE(N567:N571)</f>
        <v>0</v>
      </c>
      <c r="R567" s="30" t="e">
        <f>AVERAGE(L567:M571)</f>
        <v>#DIV/0!</v>
      </c>
      <c r="S567" s="53"/>
      <c r="V567" s="5" t="s">
        <v>18</v>
      </c>
      <c r="W567" s="49">
        <v>3</v>
      </c>
      <c r="X567" s="49">
        <v>3</v>
      </c>
      <c r="Y567" s="49">
        <v>1</v>
      </c>
      <c r="Z567" s="49">
        <v>2</v>
      </c>
      <c r="AA567" s="49">
        <v>1</v>
      </c>
      <c r="AB567" s="30">
        <f>SUM(W567:AA567)</f>
        <v>10</v>
      </c>
      <c r="AC567" s="30">
        <f>AVERAGE(W567:AA567)</f>
        <v>2</v>
      </c>
      <c r="AE567" s="30">
        <f>AVERAGE(AB567:AB571)</f>
        <v>9.6</v>
      </c>
      <c r="AF567" s="30">
        <f>AVERAGE(W567:AA571)</f>
        <v>1.92</v>
      </c>
      <c r="AG567" s="53">
        <f>18/25</f>
        <v>0.72</v>
      </c>
      <c r="AJ567" s="5" t="s">
        <v>18</v>
      </c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30">
        <f>SUM(AK567:AT567)</f>
        <v>0</v>
      </c>
      <c r="AV567" s="30" t="e">
        <f>AVERAGE(AK567:AT567)</f>
        <v>#DIV/0!</v>
      </c>
      <c r="AW567" s="30"/>
      <c r="AX567" s="30">
        <f>AVERAGE(AU567:AU571)</f>
        <v>0</v>
      </c>
      <c r="AY567" s="30" t="e">
        <f>AVERAGE(AK567:AT571)</f>
        <v>#DIV/0!</v>
      </c>
      <c r="AZ567" s="53"/>
    </row>
    <row r="568" spans="1:52" x14ac:dyDescent="0.3">
      <c r="A568" s="5" t="s">
        <v>19</v>
      </c>
      <c r="B568" s="78"/>
      <c r="C568" s="30">
        <f>SUM(B568)</f>
        <v>0</v>
      </c>
      <c r="D568" s="30" t="e">
        <f>AVERAGE(B568)</f>
        <v>#DIV/0!</v>
      </c>
      <c r="E568" s="30"/>
      <c r="F568" s="30"/>
      <c r="G568" s="30"/>
      <c r="H568" s="30"/>
      <c r="K568" s="5" t="s">
        <v>19</v>
      </c>
      <c r="L568" s="50"/>
      <c r="M568" s="50"/>
      <c r="N568" s="30">
        <f>SUM(L568:M568)</f>
        <v>0</v>
      </c>
      <c r="O568" s="30" t="e">
        <f>AVERAGE(L568:M568)</f>
        <v>#DIV/0!</v>
      </c>
      <c r="P568" s="30"/>
      <c r="Q568" s="30"/>
      <c r="R568" s="30"/>
      <c r="S568" s="30"/>
      <c r="V568" s="5" t="s">
        <v>19</v>
      </c>
      <c r="W568" s="50">
        <v>0</v>
      </c>
      <c r="X568" s="50">
        <v>3</v>
      </c>
      <c r="Y568" s="50">
        <v>4</v>
      </c>
      <c r="Z568" s="50">
        <v>3</v>
      </c>
      <c r="AA568" s="50">
        <v>2</v>
      </c>
      <c r="AB568" s="30">
        <f>SUM(W568:AA568)</f>
        <v>12</v>
      </c>
      <c r="AC568" s="30">
        <f>AVERAGE(W568:AA568)</f>
        <v>2.4</v>
      </c>
      <c r="AJ568" s="5" t="s">
        <v>19</v>
      </c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30">
        <f>SUM(AK568:AT568)</f>
        <v>0</v>
      </c>
      <c r="AV568" s="30" t="e">
        <f>AVERAGE(AK568:AT568)</f>
        <v>#DIV/0!</v>
      </c>
      <c r="AW568" s="30"/>
      <c r="AX568" s="30"/>
      <c r="AY568" s="30"/>
      <c r="AZ568" s="30"/>
    </row>
    <row r="569" spans="1:52" x14ac:dyDescent="0.3">
      <c r="A569" s="5" t="s">
        <v>20</v>
      </c>
      <c r="B569" s="78"/>
      <c r="C569" s="30">
        <f>SUM(B569)</f>
        <v>0</v>
      </c>
      <c r="D569" s="30" t="e">
        <f>AVERAGE(B569)</f>
        <v>#DIV/0!</v>
      </c>
      <c r="E569" s="30"/>
      <c r="F569" s="30"/>
      <c r="G569" s="30"/>
      <c r="H569" s="30"/>
      <c r="K569" s="5" t="s">
        <v>20</v>
      </c>
      <c r="L569" s="50"/>
      <c r="M569" s="50"/>
      <c r="N569" s="30">
        <f>SUM(L569:M569)</f>
        <v>0</v>
      </c>
      <c r="O569" s="30" t="e">
        <f>AVERAGE(L569:M569)</f>
        <v>#DIV/0!</v>
      </c>
      <c r="P569" s="30"/>
      <c r="Q569" s="30"/>
      <c r="R569" s="30"/>
      <c r="S569" s="30"/>
      <c r="V569" s="5" t="s">
        <v>20</v>
      </c>
      <c r="W569" s="50">
        <v>4</v>
      </c>
      <c r="X569" s="50">
        <v>3</v>
      </c>
      <c r="Y569" s="50">
        <v>0</v>
      </c>
      <c r="Z569" s="50">
        <v>0</v>
      </c>
      <c r="AA569" s="50">
        <v>0</v>
      </c>
      <c r="AB569" s="30">
        <f>SUM(W569:AA569)</f>
        <v>7</v>
      </c>
      <c r="AC569" s="30">
        <f>AVERAGE(W569:AA569)</f>
        <v>1.4</v>
      </c>
      <c r="AJ569" s="5" t="s">
        <v>20</v>
      </c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30">
        <f>SUM(AK569:AT569)</f>
        <v>0</v>
      </c>
      <c r="AV569" s="30" t="e">
        <f>AVERAGE(AK569:AT569)</f>
        <v>#DIV/0!</v>
      </c>
      <c r="AW569" s="30"/>
      <c r="AX569" s="30"/>
      <c r="AY569" s="30"/>
      <c r="AZ569" s="30"/>
    </row>
    <row r="570" spans="1:52" x14ac:dyDescent="0.3">
      <c r="A570" s="5" t="s">
        <v>21</v>
      </c>
      <c r="B570" s="78"/>
      <c r="C570" s="30">
        <f>SUM(B570)</f>
        <v>0</v>
      </c>
      <c r="D570" s="30" t="e">
        <f>AVERAGE(B570)</f>
        <v>#DIV/0!</v>
      </c>
      <c r="E570" s="30"/>
      <c r="F570" s="30"/>
      <c r="G570" s="30"/>
      <c r="H570" s="30"/>
      <c r="K570" s="5" t="s">
        <v>21</v>
      </c>
      <c r="L570" s="50"/>
      <c r="M570" s="50"/>
      <c r="N570" s="30">
        <f>SUM(L570:M570)</f>
        <v>0</v>
      </c>
      <c r="O570" s="30" t="e">
        <f>AVERAGE(L570:M570)</f>
        <v>#DIV/0!</v>
      </c>
      <c r="P570" s="30"/>
      <c r="Q570" s="30"/>
      <c r="R570" s="30"/>
      <c r="S570" s="30"/>
      <c r="V570" s="5" t="s">
        <v>21</v>
      </c>
      <c r="W570" s="50">
        <v>1</v>
      </c>
      <c r="X570" s="50">
        <v>4</v>
      </c>
      <c r="Y570" s="50">
        <v>3</v>
      </c>
      <c r="Z570" s="50">
        <v>0</v>
      </c>
      <c r="AA570" s="50">
        <v>3</v>
      </c>
      <c r="AB570" s="30">
        <f>SUM(W570:AA570)</f>
        <v>11</v>
      </c>
      <c r="AC570" s="30">
        <f>AVERAGE(W570:AA570)</f>
        <v>2.2000000000000002</v>
      </c>
      <c r="AJ570" s="5" t="s">
        <v>21</v>
      </c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30">
        <f>SUM(AK570:AT570)</f>
        <v>0</v>
      </c>
      <c r="AV570" s="30" t="e">
        <f>AVERAGE(AK570:AT570)</f>
        <v>#DIV/0!</v>
      </c>
      <c r="AW570" s="30"/>
      <c r="AX570" s="30"/>
      <c r="AY570" s="30"/>
      <c r="AZ570" s="30"/>
    </row>
    <row r="571" spans="1:52" ht="15" thickBot="1" x14ac:dyDescent="0.35">
      <c r="A571" s="5" t="s">
        <v>22</v>
      </c>
      <c r="B571" s="79"/>
      <c r="C571" s="30">
        <f>SUM(B571)</f>
        <v>0</v>
      </c>
      <c r="D571" s="30" t="e">
        <f>AVERAGE(B571)</f>
        <v>#DIV/0!</v>
      </c>
      <c r="E571" s="30"/>
      <c r="F571" s="30"/>
      <c r="G571" s="30"/>
      <c r="H571" s="30"/>
      <c r="K571" s="5" t="s">
        <v>22</v>
      </c>
      <c r="L571" s="51"/>
      <c r="M571" s="51"/>
      <c r="N571" s="30">
        <f>SUM(L571:M571)</f>
        <v>0</v>
      </c>
      <c r="O571" s="30" t="e">
        <f>AVERAGE(L571:M571)</f>
        <v>#DIV/0!</v>
      </c>
      <c r="P571" s="30"/>
      <c r="Q571" s="30"/>
      <c r="R571" s="30"/>
      <c r="S571" s="30"/>
      <c r="V571" s="5" t="s">
        <v>22</v>
      </c>
      <c r="W571" s="51">
        <v>0</v>
      </c>
      <c r="X571" s="51">
        <v>3</v>
      </c>
      <c r="Y571" s="51">
        <v>3</v>
      </c>
      <c r="Z571" s="51">
        <v>0</v>
      </c>
      <c r="AA571" s="51">
        <v>2</v>
      </c>
      <c r="AB571" s="30">
        <f>SUM(W571:AA571)</f>
        <v>8</v>
      </c>
      <c r="AC571" s="30">
        <f>AVERAGE(W571:AA571)</f>
        <v>1.6</v>
      </c>
      <c r="AJ571" s="5" t="s">
        <v>22</v>
      </c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30">
        <f>SUM(AK571:AT571)</f>
        <v>0</v>
      </c>
      <c r="AV571" s="30" t="e">
        <f>AVERAGE(AK571:AT571)</f>
        <v>#DIV/0!</v>
      </c>
      <c r="AW571" s="30"/>
      <c r="AX571" s="30"/>
      <c r="AY571" s="30"/>
      <c r="AZ571" s="30"/>
    </row>
    <row r="573" spans="1:52" x14ac:dyDescent="0.3">
      <c r="A573" s="7" t="s">
        <v>55</v>
      </c>
    </row>
    <row r="575" spans="1:52" x14ac:dyDescent="0.3">
      <c r="A575" s="4" t="s">
        <v>56</v>
      </c>
    </row>
    <row r="577" spans="1:11" x14ac:dyDescent="0.3">
      <c r="A577" s="6" t="s">
        <v>33</v>
      </c>
      <c r="B577" s="5" t="s">
        <v>34</v>
      </c>
    </row>
    <row r="578" spans="1:11" x14ac:dyDescent="0.3">
      <c r="A578" t="s">
        <v>11</v>
      </c>
      <c r="B578" s="86"/>
    </row>
    <row r="580" spans="1:11" x14ac:dyDescent="0.3">
      <c r="A580" s="9" t="s">
        <v>28</v>
      </c>
      <c r="D580" s="9" t="s">
        <v>29</v>
      </c>
      <c r="G580" s="9" t="s">
        <v>30</v>
      </c>
      <c r="J580" s="9" t="s">
        <v>35</v>
      </c>
    </row>
    <row r="581" spans="1:11" ht="15" thickBot="1" x14ac:dyDescent="0.35">
      <c r="B581" s="5" t="s">
        <v>36</v>
      </c>
      <c r="E581" t="s">
        <v>36</v>
      </c>
      <c r="H581" t="s">
        <v>36</v>
      </c>
      <c r="K581" t="s">
        <v>36</v>
      </c>
    </row>
    <row r="582" spans="1:11" x14ac:dyDescent="0.3">
      <c r="A582" t="s">
        <v>18</v>
      </c>
      <c r="B582" s="77"/>
      <c r="D582" t="s">
        <v>18</v>
      </c>
      <c r="E582" s="49"/>
      <c r="G582" t="s">
        <v>18</v>
      </c>
      <c r="H582" s="49"/>
      <c r="J582" t="s">
        <v>18</v>
      </c>
      <c r="K582" s="49"/>
    </row>
    <row r="583" spans="1:11" x14ac:dyDescent="0.3">
      <c r="A583" t="s">
        <v>19</v>
      </c>
      <c r="B583" s="78"/>
      <c r="D583" t="s">
        <v>19</v>
      </c>
      <c r="E583" s="50"/>
      <c r="G583" t="s">
        <v>19</v>
      </c>
      <c r="H583" s="50"/>
      <c r="J583" t="s">
        <v>19</v>
      </c>
      <c r="K583" s="50"/>
    </row>
    <row r="584" spans="1:11" x14ac:dyDescent="0.3">
      <c r="A584" t="s">
        <v>20</v>
      </c>
      <c r="B584" s="78"/>
      <c r="D584" t="s">
        <v>20</v>
      </c>
      <c r="E584" s="50"/>
      <c r="G584" t="s">
        <v>20</v>
      </c>
      <c r="H584" s="50"/>
      <c r="J584" t="s">
        <v>20</v>
      </c>
      <c r="K584" s="50"/>
    </row>
    <row r="585" spans="1:11" x14ac:dyDescent="0.3">
      <c r="A585" t="s">
        <v>21</v>
      </c>
      <c r="B585" s="78"/>
      <c r="D585" t="s">
        <v>21</v>
      </c>
      <c r="E585" s="50"/>
      <c r="G585" t="s">
        <v>21</v>
      </c>
      <c r="H585" s="50"/>
      <c r="J585" t="s">
        <v>21</v>
      </c>
      <c r="K585" s="50"/>
    </row>
    <row r="586" spans="1:11" ht="15" thickBot="1" x14ac:dyDescent="0.35">
      <c r="A586" t="s">
        <v>22</v>
      </c>
      <c r="B586" s="79"/>
      <c r="D586" t="s">
        <v>22</v>
      </c>
      <c r="E586" s="51"/>
      <c r="G586" t="s">
        <v>22</v>
      </c>
      <c r="H586" s="51"/>
      <c r="J586" t="s">
        <v>22</v>
      </c>
      <c r="K586" s="51"/>
    </row>
    <row r="587" spans="1:11" x14ac:dyDescent="0.3">
      <c r="A587" s="8"/>
      <c r="B587" s="8"/>
      <c r="C587" s="8"/>
    </row>
    <row r="588" spans="1:11" x14ac:dyDescent="0.3">
      <c r="A588" s="6" t="s">
        <v>37</v>
      </c>
      <c r="B588" s="5" t="s">
        <v>34</v>
      </c>
    </row>
    <row r="589" spans="1:11" x14ac:dyDescent="0.3">
      <c r="A589" t="s">
        <v>11</v>
      </c>
      <c r="B589" s="86"/>
    </row>
    <row r="591" spans="1:11" x14ac:dyDescent="0.3">
      <c r="A591" s="9" t="s">
        <v>28</v>
      </c>
      <c r="D591" s="9" t="s">
        <v>29</v>
      </c>
      <c r="G591" s="9" t="s">
        <v>30</v>
      </c>
      <c r="J591" s="9" t="s">
        <v>35</v>
      </c>
    </row>
    <row r="592" spans="1:11" ht="15" thickBot="1" x14ac:dyDescent="0.35">
      <c r="B592" s="5" t="s">
        <v>36</v>
      </c>
      <c r="E592" t="s">
        <v>36</v>
      </c>
      <c r="H592" t="s">
        <v>36</v>
      </c>
      <c r="K592" t="s">
        <v>36</v>
      </c>
    </row>
    <row r="593" spans="1:13" x14ac:dyDescent="0.3">
      <c r="A593" t="s">
        <v>18</v>
      </c>
      <c r="B593" s="77"/>
      <c r="D593" t="s">
        <v>18</v>
      </c>
      <c r="E593" s="77"/>
      <c r="G593" t="s">
        <v>18</v>
      </c>
      <c r="H593" s="49"/>
      <c r="J593" t="s">
        <v>18</v>
      </c>
      <c r="K593" s="49"/>
    </row>
    <row r="594" spans="1:13" x14ac:dyDescent="0.3">
      <c r="A594" t="s">
        <v>19</v>
      </c>
      <c r="B594" s="78"/>
      <c r="D594" t="s">
        <v>19</v>
      </c>
      <c r="E594" s="78"/>
      <c r="G594" t="s">
        <v>19</v>
      </c>
      <c r="H594" s="50"/>
      <c r="J594" t="s">
        <v>19</v>
      </c>
      <c r="K594" s="50"/>
    </row>
    <row r="595" spans="1:13" x14ac:dyDescent="0.3">
      <c r="A595" t="s">
        <v>20</v>
      </c>
      <c r="B595" s="78"/>
      <c r="D595" t="s">
        <v>20</v>
      </c>
      <c r="E595" s="78"/>
      <c r="G595" t="s">
        <v>20</v>
      </c>
      <c r="H595" s="50"/>
      <c r="J595" t="s">
        <v>20</v>
      </c>
      <c r="K595" s="50"/>
    </row>
    <row r="596" spans="1:13" x14ac:dyDescent="0.3">
      <c r="A596" t="s">
        <v>21</v>
      </c>
      <c r="B596" s="78"/>
      <c r="D596" t="s">
        <v>21</v>
      </c>
      <c r="E596" s="78"/>
      <c r="G596" t="s">
        <v>21</v>
      </c>
      <c r="H596" s="50"/>
      <c r="J596" t="s">
        <v>21</v>
      </c>
      <c r="K596" s="50"/>
    </row>
    <row r="597" spans="1:13" ht="15" thickBot="1" x14ac:dyDescent="0.35">
      <c r="A597" t="s">
        <v>22</v>
      </c>
      <c r="B597" s="79"/>
      <c r="D597" t="s">
        <v>22</v>
      </c>
      <c r="E597" s="79"/>
      <c r="G597" t="s">
        <v>22</v>
      </c>
      <c r="H597" s="51"/>
      <c r="J597" t="s">
        <v>22</v>
      </c>
      <c r="K597" s="51"/>
    </row>
    <row r="600" spans="1:13" x14ac:dyDescent="0.3">
      <c r="A600" s="6" t="s">
        <v>38</v>
      </c>
      <c r="B600" s="5" t="s">
        <v>34</v>
      </c>
    </row>
    <row r="601" spans="1:13" x14ac:dyDescent="0.3">
      <c r="A601" t="s">
        <v>11</v>
      </c>
      <c r="B601" s="86"/>
    </row>
    <row r="603" spans="1:13" x14ac:dyDescent="0.3">
      <c r="A603" s="9" t="s">
        <v>28</v>
      </c>
      <c r="D603" s="9" t="s">
        <v>29</v>
      </c>
      <c r="G603" s="9" t="s">
        <v>30</v>
      </c>
      <c r="J603" s="9" t="s">
        <v>35</v>
      </c>
    </row>
    <row r="604" spans="1:13" ht="15" thickBot="1" x14ac:dyDescent="0.35">
      <c r="B604" s="5" t="s">
        <v>36</v>
      </c>
      <c r="E604" t="s">
        <v>36</v>
      </c>
      <c r="H604" t="s">
        <v>36</v>
      </c>
      <c r="K604" t="s">
        <v>36</v>
      </c>
    </row>
    <row r="605" spans="1:13" x14ac:dyDescent="0.3">
      <c r="A605" t="s">
        <v>18</v>
      </c>
      <c r="B605" s="77"/>
      <c r="D605" t="s">
        <v>18</v>
      </c>
      <c r="E605" s="101"/>
      <c r="G605" t="s">
        <v>18</v>
      </c>
      <c r="H605" s="49"/>
      <c r="J605" t="s">
        <v>18</v>
      </c>
      <c r="K605" s="49"/>
      <c r="M605" s="8"/>
    </row>
    <row r="606" spans="1:13" x14ac:dyDescent="0.3">
      <c r="A606" t="s">
        <v>19</v>
      </c>
      <c r="B606" s="78"/>
      <c r="D606" t="s">
        <v>19</v>
      </c>
      <c r="E606" s="78"/>
      <c r="G606" t="s">
        <v>19</v>
      </c>
      <c r="H606" s="50"/>
      <c r="J606" t="s">
        <v>19</v>
      </c>
      <c r="K606" s="50"/>
    </row>
    <row r="607" spans="1:13" x14ac:dyDescent="0.3">
      <c r="A607" t="s">
        <v>20</v>
      </c>
      <c r="B607" s="78"/>
      <c r="D607" t="s">
        <v>20</v>
      </c>
      <c r="E607" s="78"/>
      <c r="G607" t="s">
        <v>20</v>
      </c>
      <c r="H607" s="50"/>
      <c r="J607" t="s">
        <v>20</v>
      </c>
      <c r="K607" s="50"/>
    </row>
    <row r="608" spans="1:13" x14ac:dyDescent="0.3">
      <c r="A608" t="s">
        <v>21</v>
      </c>
      <c r="B608" s="78"/>
      <c r="D608" t="s">
        <v>21</v>
      </c>
      <c r="E608" s="78"/>
      <c r="G608" t="s">
        <v>21</v>
      </c>
      <c r="H608" s="50"/>
      <c r="J608" t="s">
        <v>21</v>
      </c>
      <c r="K608" s="50"/>
    </row>
    <row r="609" spans="1:11" ht="15" thickBot="1" x14ac:dyDescent="0.35">
      <c r="A609" t="s">
        <v>22</v>
      </c>
      <c r="B609" s="79"/>
      <c r="D609" t="s">
        <v>22</v>
      </c>
      <c r="E609" s="79"/>
      <c r="G609" t="s">
        <v>22</v>
      </c>
      <c r="H609" s="51"/>
      <c r="J609" t="s">
        <v>22</v>
      </c>
      <c r="K609" s="51"/>
    </row>
    <row r="611" spans="1:11" x14ac:dyDescent="0.3">
      <c r="A611" s="6" t="s">
        <v>39</v>
      </c>
      <c r="B611" s="5" t="s">
        <v>34</v>
      </c>
    </row>
    <row r="612" spans="1:11" x14ac:dyDescent="0.3">
      <c r="A612" t="s">
        <v>11</v>
      </c>
      <c r="B612" s="86"/>
    </row>
    <row r="614" spans="1:11" x14ac:dyDescent="0.3">
      <c r="A614" s="9" t="s">
        <v>28</v>
      </c>
      <c r="D614" s="9" t="s">
        <v>29</v>
      </c>
      <c r="G614" s="9" t="s">
        <v>30</v>
      </c>
      <c r="J614" s="9" t="s">
        <v>35</v>
      </c>
    </row>
    <row r="615" spans="1:11" ht="15" thickBot="1" x14ac:dyDescent="0.35">
      <c r="B615" s="5" t="s">
        <v>36</v>
      </c>
      <c r="E615" t="s">
        <v>36</v>
      </c>
      <c r="H615" t="s">
        <v>36</v>
      </c>
      <c r="K615" t="s">
        <v>36</v>
      </c>
    </row>
    <row r="616" spans="1:11" x14ac:dyDescent="0.3">
      <c r="A616" t="s">
        <v>18</v>
      </c>
      <c r="B616" s="77"/>
      <c r="D616" t="s">
        <v>18</v>
      </c>
      <c r="E616" s="77"/>
      <c r="G616" t="s">
        <v>18</v>
      </c>
      <c r="H616" s="49"/>
      <c r="J616" t="s">
        <v>18</v>
      </c>
      <c r="K616" s="49"/>
    </row>
    <row r="617" spans="1:11" x14ac:dyDescent="0.3">
      <c r="A617" t="s">
        <v>19</v>
      </c>
      <c r="B617" s="78"/>
      <c r="D617" t="s">
        <v>19</v>
      </c>
      <c r="E617" s="78"/>
      <c r="G617" t="s">
        <v>19</v>
      </c>
      <c r="H617" s="50"/>
      <c r="J617" t="s">
        <v>19</v>
      </c>
      <c r="K617" s="50"/>
    </row>
    <row r="618" spans="1:11" x14ac:dyDescent="0.3">
      <c r="A618" t="s">
        <v>20</v>
      </c>
      <c r="B618" s="78"/>
      <c r="D618" t="s">
        <v>20</v>
      </c>
      <c r="E618" s="78"/>
      <c r="G618" t="s">
        <v>20</v>
      </c>
      <c r="H618" s="50"/>
      <c r="J618" t="s">
        <v>20</v>
      </c>
      <c r="K618" s="50"/>
    </row>
    <row r="619" spans="1:11" x14ac:dyDescent="0.3">
      <c r="A619" t="s">
        <v>21</v>
      </c>
      <c r="B619" s="78"/>
      <c r="D619" t="s">
        <v>21</v>
      </c>
      <c r="E619" s="78"/>
      <c r="G619" t="s">
        <v>21</v>
      </c>
      <c r="H619" s="50"/>
      <c r="J619" t="s">
        <v>21</v>
      </c>
      <c r="K619" s="50"/>
    </row>
    <row r="620" spans="1:11" ht="15" thickBot="1" x14ac:dyDescent="0.35">
      <c r="A620" t="s">
        <v>22</v>
      </c>
      <c r="B620" s="79"/>
      <c r="D620" t="s">
        <v>22</v>
      </c>
      <c r="E620" s="79"/>
      <c r="G620" t="s">
        <v>22</v>
      </c>
      <c r="H620" s="51"/>
      <c r="J620" t="s">
        <v>22</v>
      </c>
      <c r="K620" s="51"/>
    </row>
    <row r="622" spans="1:11" x14ac:dyDescent="0.3">
      <c r="A622" s="6" t="s">
        <v>40</v>
      </c>
      <c r="B622" s="5" t="s">
        <v>34</v>
      </c>
    </row>
    <row r="623" spans="1:11" x14ac:dyDescent="0.3">
      <c r="A623" t="s">
        <v>11</v>
      </c>
      <c r="B623" s="94"/>
    </row>
    <row r="625" spans="1:11" x14ac:dyDescent="0.3">
      <c r="A625" s="9" t="s">
        <v>28</v>
      </c>
      <c r="D625" s="9" t="s">
        <v>29</v>
      </c>
      <c r="G625" s="9" t="s">
        <v>30</v>
      </c>
      <c r="J625" s="9" t="s">
        <v>35</v>
      </c>
    </row>
    <row r="626" spans="1:11" ht="15" thickBot="1" x14ac:dyDescent="0.35">
      <c r="B626" s="5" t="s">
        <v>36</v>
      </c>
      <c r="E626" t="s">
        <v>36</v>
      </c>
      <c r="H626" t="s">
        <v>36</v>
      </c>
      <c r="K626" t="s">
        <v>36</v>
      </c>
    </row>
    <row r="627" spans="1:11" x14ac:dyDescent="0.3">
      <c r="A627" t="s">
        <v>18</v>
      </c>
      <c r="B627" s="77"/>
      <c r="D627" t="s">
        <v>18</v>
      </c>
      <c r="E627" s="77"/>
      <c r="G627" t="s">
        <v>18</v>
      </c>
      <c r="H627" s="49"/>
      <c r="J627" t="s">
        <v>18</v>
      </c>
      <c r="K627" s="49"/>
    </row>
    <row r="628" spans="1:11" x14ac:dyDescent="0.3">
      <c r="A628" t="s">
        <v>19</v>
      </c>
      <c r="B628" s="78"/>
      <c r="D628" t="s">
        <v>19</v>
      </c>
      <c r="E628" s="78"/>
      <c r="G628" t="s">
        <v>19</v>
      </c>
      <c r="H628" s="50"/>
      <c r="J628" t="s">
        <v>19</v>
      </c>
      <c r="K628" s="50"/>
    </row>
    <row r="629" spans="1:11" x14ac:dyDescent="0.3">
      <c r="A629" t="s">
        <v>20</v>
      </c>
      <c r="B629" s="78"/>
      <c r="D629" t="s">
        <v>20</v>
      </c>
      <c r="E629" s="78"/>
      <c r="G629" t="s">
        <v>20</v>
      </c>
      <c r="H629" s="50"/>
      <c r="J629" t="s">
        <v>20</v>
      </c>
      <c r="K629" s="50"/>
    </row>
    <row r="630" spans="1:11" x14ac:dyDescent="0.3">
      <c r="A630" t="s">
        <v>21</v>
      </c>
      <c r="B630" s="78"/>
      <c r="D630" t="s">
        <v>21</v>
      </c>
      <c r="E630" s="78"/>
      <c r="G630" t="s">
        <v>21</v>
      </c>
      <c r="H630" s="50"/>
      <c r="J630" t="s">
        <v>21</v>
      </c>
      <c r="K630" s="50"/>
    </row>
    <row r="631" spans="1:11" ht="15" thickBot="1" x14ac:dyDescent="0.35">
      <c r="A631" t="s">
        <v>22</v>
      </c>
      <c r="B631" s="79"/>
      <c r="D631" t="s">
        <v>22</v>
      </c>
      <c r="E631" s="79"/>
      <c r="G631" t="s">
        <v>22</v>
      </c>
      <c r="H631" s="51"/>
      <c r="J631" t="s">
        <v>22</v>
      </c>
      <c r="K631" s="51"/>
    </row>
    <row r="633" spans="1:11" x14ac:dyDescent="0.3">
      <c r="A633" s="6" t="s">
        <v>41</v>
      </c>
      <c r="B633" s="5" t="s">
        <v>34</v>
      </c>
    </row>
    <row r="634" spans="1:11" x14ac:dyDescent="0.3">
      <c r="A634" t="s">
        <v>11</v>
      </c>
      <c r="B634" s="94"/>
    </row>
    <row r="636" spans="1:11" x14ac:dyDescent="0.3">
      <c r="A636" s="9" t="s">
        <v>28</v>
      </c>
      <c r="D636" s="9" t="s">
        <v>29</v>
      </c>
      <c r="G636" s="9" t="s">
        <v>30</v>
      </c>
      <c r="J636" s="9" t="s">
        <v>35</v>
      </c>
    </row>
    <row r="637" spans="1:11" ht="15" thickBot="1" x14ac:dyDescent="0.35">
      <c r="B637" s="5" t="s">
        <v>36</v>
      </c>
      <c r="E637" t="s">
        <v>36</v>
      </c>
      <c r="H637" t="s">
        <v>36</v>
      </c>
      <c r="K637" t="s">
        <v>36</v>
      </c>
    </row>
    <row r="638" spans="1:11" x14ac:dyDescent="0.3">
      <c r="A638" t="s">
        <v>18</v>
      </c>
      <c r="B638" s="77"/>
      <c r="D638" t="s">
        <v>18</v>
      </c>
      <c r="E638" s="77"/>
      <c r="G638" t="s">
        <v>18</v>
      </c>
      <c r="H638" s="49"/>
      <c r="J638" t="s">
        <v>18</v>
      </c>
      <c r="K638" s="49"/>
    </row>
    <row r="639" spans="1:11" x14ac:dyDescent="0.3">
      <c r="A639" t="s">
        <v>19</v>
      </c>
      <c r="B639" s="78"/>
      <c r="D639" t="s">
        <v>19</v>
      </c>
      <c r="E639" s="78"/>
      <c r="G639" t="s">
        <v>19</v>
      </c>
      <c r="H639" s="50"/>
      <c r="J639" t="s">
        <v>19</v>
      </c>
      <c r="K639" s="50"/>
    </row>
    <row r="640" spans="1:11" x14ac:dyDescent="0.3">
      <c r="A640" t="s">
        <v>20</v>
      </c>
      <c r="B640" s="78"/>
      <c r="D640" t="s">
        <v>20</v>
      </c>
      <c r="E640" s="78"/>
      <c r="G640" t="s">
        <v>20</v>
      </c>
      <c r="H640" s="50"/>
      <c r="J640" t="s">
        <v>20</v>
      </c>
      <c r="K640" s="50"/>
    </row>
    <row r="641" spans="1:24" x14ac:dyDescent="0.3">
      <c r="A641" t="s">
        <v>21</v>
      </c>
      <c r="B641" s="78"/>
      <c r="D641" t="s">
        <v>21</v>
      </c>
      <c r="E641" s="78"/>
      <c r="G641" t="s">
        <v>21</v>
      </c>
      <c r="H641" s="50"/>
      <c r="J641" t="s">
        <v>21</v>
      </c>
      <c r="K641" s="50"/>
    </row>
    <row r="642" spans="1:24" ht="15" thickBot="1" x14ac:dyDescent="0.35">
      <c r="A642" t="s">
        <v>22</v>
      </c>
      <c r="B642" s="79"/>
      <c r="D642" t="s">
        <v>22</v>
      </c>
      <c r="E642" s="79"/>
      <c r="G642" t="s">
        <v>22</v>
      </c>
      <c r="H642" s="51"/>
      <c r="J642" t="s">
        <v>22</v>
      </c>
      <c r="K642" s="51"/>
    </row>
    <row r="644" spans="1:24" x14ac:dyDescent="0.3">
      <c r="A644" s="6" t="s">
        <v>44</v>
      </c>
      <c r="B644" s="5" t="s">
        <v>42</v>
      </c>
      <c r="N644" t="s">
        <v>59</v>
      </c>
    </row>
    <row r="645" spans="1:24" x14ac:dyDescent="0.3">
      <c r="A645" t="s">
        <v>11</v>
      </c>
    </row>
    <row r="647" spans="1:24" x14ac:dyDescent="0.3">
      <c r="A647" s="9" t="s">
        <v>28</v>
      </c>
      <c r="D647" s="9" t="s">
        <v>29</v>
      </c>
      <c r="G647" s="9" t="s">
        <v>30</v>
      </c>
      <c r="J647" s="9" t="s">
        <v>35</v>
      </c>
      <c r="N647" s="9" t="s">
        <v>28</v>
      </c>
      <c r="Q647" s="9" t="s">
        <v>29</v>
      </c>
      <c r="T647" s="9" t="s">
        <v>30</v>
      </c>
      <c r="W647" s="9" t="s">
        <v>35</v>
      </c>
    </row>
    <row r="648" spans="1:24" ht="15" thickBot="1" x14ac:dyDescent="0.35">
      <c r="B648" s="5" t="s">
        <v>27</v>
      </c>
      <c r="C648" t="s">
        <v>43</v>
      </c>
      <c r="E648" t="s">
        <v>27</v>
      </c>
      <c r="F648" t="s">
        <v>43</v>
      </c>
      <c r="H648" t="s">
        <v>27</v>
      </c>
      <c r="I648" t="s">
        <v>43</v>
      </c>
      <c r="K648" t="s">
        <v>27</v>
      </c>
      <c r="L648" t="s">
        <v>43</v>
      </c>
      <c r="O648" t="s">
        <v>36</v>
      </c>
      <c r="R648" t="s">
        <v>36</v>
      </c>
      <c r="U648" t="s">
        <v>36</v>
      </c>
      <c r="X648" t="s">
        <v>36</v>
      </c>
    </row>
    <row r="649" spans="1:24" x14ac:dyDescent="0.3">
      <c r="A649" t="s">
        <v>18</v>
      </c>
      <c r="B649" s="108"/>
      <c r="C649" s="103"/>
      <c r="D649" t="s">
        <v>18</v>
      </c>
      <c r="E649" s="113"/>
      <c r="F649" s="113"/>
      <c r="G649" t="s">
        <v>18</v>
      </c>
      <c r="H649" s="102"/>
      <c r="I649" s="103"/>
      <c r="J649" t="s">
        <v>18</v>
      </c>
      <c r="K649" s="103"/>
      <c r="L649" s="103"/>
      <c r="N649" t="s">
        <v>18</v>
      </c>
      <c r="O649" s="77"/>
      <c r="Q649" t="s">
        <v>18</v>
      </c>
      <c r="R649" s="49"/>
      <c r="T649" t="s">
        <v>18</v>
      </c>
      <c r="U649" s="49"/>
      <c r="W649" t="s">
        <v>18</v>
      </c>
      <c r="X649" s="49"/>
    </row>
    <row r="650" spans="1:24" x14ac:dyDescent="0.3">
      <c r="A650" t="s">
        <v>19</v>
      </c>
      <c r="B650" s="109"/>
      <c r="C650" s="105"/>
      <c r="D650" t="s">
        <v>19</v>
      </c>
      <c r="E650" s="105"/>
      <c r="F650" s="105"/>
      <c r="G650" t="s">
        <v>19</v>
      </c>
      <c r="H650" s="104"/>
      <c r="I650" s="105"/>
      <c r="J650" t="s">
        <v>19</v>
      </c>
      <c r="K650" s="105"/>
      <c r="L650" s="105"/>
      <c r="N650" t="s">
        <v>19</v>
      </c>
      <c r="O650" s="78"/>
      <c r="Q650" t="s">
        <v>19</v>
      </c>
      <c r="R650" s="50"/>
      <c r="T650" t="s">
        <v>19</v>
      </c>
      <c r="U650" s="50"/>
      <c r="W650" t="s">
        <v>19</v>
      </c>
      <c r="X650" s="50"/>
    </row>
    <row r="651" spans="1:24" x14ac:dyDescent="0.3">
      <c r="A651" t="s">
        <v>20</v>
      </c>
      <c r="B651" s="109"/>
      <c r="C651" s="105"/>
      <c r="D651" t="s">
        <v>20</v>
      </c>
      <c r="E651" s="105"/>
      <c r="F651" s="105"/>
      <c r="G651" t="s">
        <v>20</v>
      </c>
      <c r="H651" s="104"/>
      <c r="I651" s="105"/>
      <c r="J651" t="s">
        <v>20</v>
      </c>
      <c r="K651" s="105"/>
      <c r="L651" s="105"/>
      <c r="N651" t="s">
        <v>20</v>
      </c>
      <c r="O651" s="78"/>
      <c r="Q651" t="s">
        <v>20</v>
      </c>
      <c r="R651" s="50"/>
      <c r="T651" t="s">
        <v>20</v>
      </c>
      <c r="U651" s="50"/>
      <c r="W651" t="s">
        <v>20</v>
      </c>
      <c r="X651" s="50"/>
    </row>
    <row r="652" spans="1:24" x14ac:dyDescent="0.3">
      <c r="A652" t="s">
        <v>21</v>
      </c>
      <c r="B652" s="109"/>
      <c r="C652" s="105"/>
      <c r="D652" t="s">
        <v>21</v>
      </c>
      <c r="E652" s="105"/>
      <c r="F652" s="105"/>
      <c r="G652" t="s">
        <v>21</v>
      </c>
      <c r="H652" s="104"/>
      <c r="I652" s="105"/>
      <c r="J652" t="s">
        <v>21</v>
      </c>
      <c r="K652" s="105"/>
      <c r="L652" s="105"/>
      <c r="N652" t="s">
        <v>21</v>
      </c>
      <c r="O652" s="78"/>
      <c r="Q652" t="s">
        <v>21</v>
      </c>
      <c r="R652" s="50"/>
      <c r="T652" t="s">
        <v>21</v>
      </c>
      <c r="U652" s="50"/>
      <c r="W652" t="s">
        <v>21</v>
      </c>
      <c r="X652" s="50"/>
    </row>
    <row r="653" spans="1:24" ht="15" thickBot="1" x14ac:dyDescent="0.35">
      <c r="A653" t="s">
        <v>22</v>
      </c>
      <c r="B653" s="110"/>
      <c r="C653" s="107"/>
      <c r="D653" t="s">
        <v>22</v>
      </c>
      <c r="E653" s="107"/>
      <c r="F653" s="107"/>
      <c r="G653" t="s">
        <v>22</v>
      </c>
      <c r="H653" s="106"/>
      <c r="I653" s="107"/>
      <c r="J653" t="s">
        <v>22</v>
      </c>
      <c r="K653" s="107"/>
      <c r="L653" s="107"/>
      <c r="N653" t="s">
        <v>22</v>
      </c>
      <c r="O653" s="79"/>
      <c r="Q653" t="s">
        <v>22</v>
      </c>
      <c r="R653" s="51"/>
      <c r="T653" t="s">
        <v>22</v>
      </c>
      <c r="U653" s="51"/>
      <c r="W653" t="s">
        <v>22</v>
      </c>
      <c r="X653" s="51"/>
    </row>
    <row r="654" spans="1:24" s="19" customFormat="1" ht="28.8" x14ac:dyDescent="0.3">
      <c r="A654" s="19" t="s">
        <v>13</v>
      </c>
      <c r="B654" s="111"/>
      <c r="C654" s="112"/>
      <c r="D654" s="19" t="s">
        <v>13</v>
      </c>
      <c r="E654" s="112"/>
      <c r="F654" s="112"/>
      <c r="G654" s="19" t="s">
        <v>13</v>
      </c>
      <c r="H654" s="112"/>
      <c r="I654" s="112"/>
      <c r="J654" s="19" t="s">
        <v>13</v>
      </c>
      <c r="K654" s="112"/>
      <c r="L654" s="112"/>
      <c r="N654" s="19" t="s">
        <v>60</v>
      </c>
      <c r="O654" s="48"/>
      <c r="Q654" s="19" t="s">
        <v>60</v>
      </c>
      <c r="R654" s="48"/>
      <c r="T654" s="19" t="s">
        <v>60</v>
      </c>
      <c r="U654" s="48"/>
      <c r="W654" s="19" t="s">
        <v>60</v>
      </c>
      <c r="X654" s="48"/>
    </row>
    <row r="656" spans="1:24" x14ac:dyDescent="0.3">
      <c r="A656" s="4" t="s">
        <v>57</v>
      </c>
    </row>
    <row r="658" spans="1:11" x14ac:dyDescent="0.3">
      <c r="A658" s="6" t="s">
        <v>58</v>
      </c>
      <c r="I658" s="8"/>
      <c r="J658" s="8"/>
      <c r="K658" s="8"/>
    </row>
    <row r="659" spans="1:11" x14ac:dyDescent="0.3">
      <c r="A659" s="4" t="s">
        <v>11</v>
      </c>
    </row>
    <row r="660" spans="1:11" ht="15" thickBot="1" x14ac:dyDescent="0.35">
      <c r="A660" s="4"/>
    </row>
    <row r="661" spans="1:11" ht="15" thickBot="1" x14ac:dyDescent="0.35">
      <c r="B661" s="100" t="s">
        <v>17</v>
      </c>
      <c r="C661" s="16" t="s">
        <v>23</v>
      </c>
      <c r="D661" s="16" t="s">
        <v>24</v>
      </c>
      <c r="E661" s="17" t="s">
        <v>25</v>
      </c>
      <c r="G661" s="76"/>
    </row>
    <row r="662" spans="1:11" x14ac:dyDescent="0.3">
      <c r="B662" s="98"/>
      <c r="C662" s="10"/>
      <c r="D662" s="1"/>
      <c r="E662" s="11"/>
    </row>
    <row r="663" spans="1:11" x14ac:dyDescent="0.3">
      <c r="B663" s="99"/>
      <c r="C663" s="12"/>
      <c r="D663" s="2"/>
      <c r="E663" s="13"/>
    </row>
    <row r="664" spans="1:11" x14ac:dyDescent="0.3">
      <c r="B664" s="99"/>
      <c r="C664" s="12"/>
      <c r="D664" s="2"/>
      <c r="E664" s="13"/>
    </row>
    <row r="665" spans="1:11" x14ac:dyDescent="0.3">
      <c r="B665" s="99"/>
      <c r="C665" s="12"/>
      <c r="D665" s="2"/>
      <c r="E665" s="13"/>
    </row>
    <row r="666" spans="1:11" x14ac:dyDescent="0.3">
      <c r="B666" s="99"/>
      <c r="C666" s="12"/>
      <c r="D666" s="2"/>
      <c r="E666" s="13"/>
    </row>
    <row r="667" spans="1:11" x14ac:dyDescent="0.3">
      <c r="B667" s="99"/>
      <c r="C667" s="12"/>
      <c r="D667" s="2"/>
      <c r="E667" s="13"/>
    </row>
    <row r="668" spans="1:11" x14ac:dyDescent="0.3">
      <c r="B668" s="99"/>
      <c r="C668" s="12"/>
      <c r="D668" s="2"/>
      <c r="E668" s="13"/>
    </row>
    <row r="669" spans="1:11" x14ac:dyDescent="0.3">
      <c r="B669" s="99"/>
      <c r="C669" s="12"/>
      <c r="D669" s="2"/>
      <c r="E669" s="13"/>
      <c r="I669" s="8"/>
      <c r="J669" s="8"/>
      <c r="K669" s="8"/>
    </row>
    <row r="670" spans="1:11" x14ac:dyDescent="0.3">
      <c r="B670" s="99"/>
      <c r="C670" s="12"/>
      <c r="D670" s="2"/>
      <c r="E670" s="13"/>
    </row>
    <row r="671" spans="1:11" x14ac:dyDescent="0.3">
      <c r="B671" s="99"/>
      <c r="C671" s="12"/>
      <c r="D671" s="2"/>
      <c r="E671" s="13"/>
    </row>
    <row r="672" spans="1:11" x14ac:dyDescent="0.3">
      <c r="B672" s="99"/>
      <c r="C672" s="12"/>
      <c r="D672" s="2"/>
      <c r="E672" s="13"/>
    </row>
    <row r="673" spans="2:5" x14ac:dyDescent="0.3">
      <c r="B673" s="99"/>
      <c r="C673" s="12"/>
      <c r="D673" s="2"/>
      <c r="E673" s="13"/>
    </row>
    <row r="674" spans="2:5" x14ac:dyDescent="0.3">
      <c r="B674" s="99"/>
      <c r="C674" s="12"/>
      <c r="D674" s="2"/>
      <c r="E674" s="13"/>
    </row>
    <row r="675" spans="2:5" x14ac:dyDescent="0.3">
      <c r="B675" s="99"/>
      <c r="C675" s="12"/>
      <c r="D675" s="2"/>
      <c r="E675" s="13"/>
    </row>
    <row r="676" spans="2:5" x14ac:dyDescent="0.3">
      <c r="B676" s="99"/>
      <c r="C676" s="12"/>
      <c r="D676" s="2"/>
      <c r="E676" s="13"/>
    </row>
    <row r="677" spans="2:5" x14ac:dyDescent="0.3">
      <c r="B677" s="99"/>
      <c r="C677" s="12"/>
      <c r="D677" s="2"/>
      <c r="E677" s="13"/>
    </row>
    <row r="678" spans="2:5" x14ac:dyDescent="0.3">
      <c r="B678" s="99"/>
      <c r="C678" s="12"/>
      <c r="D678" s="2"/>
      <c r="E678" s="13"/>
    </row>
    <row r="679" spans="2:5" x14ac:dyDescent="0.3">
      <c r="B679" s="99"/>
      <c r="C679" s="12"/>
      <c r="D679" s="2"/>
      <c r="E679" s="13"/>
    </row>
    <row r="680" spans="2:5" x14ac:dyDescent="0.3">
      <c r="B680" s="99"/>
      <c r="C680" s="12"/>
      <c r="D680" s="2"/>
      <c r="E680" s="13"/>
    </row>
    <row r="681" spans="2:5" x14ac:dyDescent="0.3">
      <c r="B681" s="99"/>
      <c r="C681" s="12"/>
      <c r="D681" s="2"/>
      <c r="E681" s="13"/>
    </row>
    <row r="682" spans="2:5" x14ac:dyDescent="0.3">
      <c r="B682" s="99"/>
      <c r="C682" s="12"/>
      <c r="D682" s="2"/>
      <c r="E682" s="13"/>
    </row>
    <row r="683" spans="2:5" x14ac:dyDescent="0.3">
      <c r="B683" s="99"/>
      <c r="C683" s="12"/>
      <c r="D683" s="2"/>
      <c r="E683" s="13"/>
    </row>
    <row r="684" spans="2:5" x14ac:dyDescent="0.3">
      <c r="B684" s="99"/>
      <c r="C684" s="12"/>
      <c r="D684" s="2"/>
      <c r="E684" s="13"/>
    </row>
    <row r="685" spans="2:5" x14ac:dyDescent="0.3">
      <c r="B685" s="99"/>
      <c r="C685" s="12"/>
      <c r="D685" s="2"/>
      <c r="E685" s="13"/>
    </row>
    <row r="686" spans="2:5" x14ac:dyDescent="0.3">
      <c r="B686" s="99"/>
      <c r="C686" s="12"/>
      <c r="D686" s="2"/>
      <c r="E686" s="13"/>
    </row>
    <row r="687" spans="2:5" x14ac:dyDescent="0.3">
      <c r="B687" s="99"/>
      <c r="C687" s="12"/>
      <c r="D687" s="2"/>
      <c r="E687" s="13"/>
    </row>
    <row r="688" spans="2:5" x14ac:dyDescent="0.3">
      <c r="B688" s="99"/>
      <c r="C688" s="12"/>
      <c r="D688" s="2"/>
      <c r="E688" s="13"/>
    </row>
    <row r="689" spans="2:5" x14ac:dyDescent="0.3">
      <c r="B689" s="99"/>
      <c r="C689" s="12"/>
      <c r="D689" s="2"/>
      <c r="E689" s="13"/>
    </row>
    <row r="690" spans="2:5" x14ac:dyDescent="0.3">
      <c r="B690" s="99"/>
      <c r="C690" s="12"/>
      <c r="D690" s="2"/>
      <c r="E690" s="13"/>
    </row>
    <row r="691" spans="2:5" x14ac:dyDescent="0.3">
      <c r="B691" s="99"/>
      <c r="C691" s="12"/>
      <c r="D691" s="2"/>
      <c r="E691" s="13"/>
    </row>
    <row r="692" spans="2:5" x14ac:dyDescent="0.3">
      <c r="B692" s="99"/>
      <c r="C692" s="12"/>
      <c r="D692" s="2"/>
      <c r="E692" s="13"/>
    </row>
    <row r="693" spans="2:5" x14ac:dyDescent="0.3">
      <c r="B693" s="99"/>
      <c r="C693" s="12"/>
      <c r="D693" s="2"/>
      <c r="E693" s="13"/>
    </row>
    <row r="694" spans="2:5" x14ac:dyDescent="0.3">
      <c r="B694" s="99"/>
      <c r="C694" s="12"/>
      <c r="D694" s="2"/>
      <c r="E694" s="13"/>
    </row>
    <row r="695" spans="2:5" x14ac:dyDescent="0.3">
      <c r="B695" s="99"/>
      <c r="C695" s="12"/>
      <c r="D695" s="2"/>
      <c r="E695" s="13"/>
    </row>
    <row r="696" spans="2:5" x14ac:dyDescent="0.3">
      <c r="B696" s="99"/>
      <c r="C696" s="12"/>
      <c r="D696" s="2"/>
      <c r="E696" s="13"/>
    </row>
    <row r="697" spans="2:5" x14ac:dyDescent="0.3">
      <c r="B697" s="99"/>
      <c r="C697" s="12"/>
      <c r="D697" s="2"/>
      <c r="E697" s="13"/>
    </row>
    <row r="698" spans="2:5" x14ac:dyDescent="0.3">
      <c r="B698" s="99"/>
      <c r="C698" s="12"/>
      <c r="D698" s="2"/>
      <c r="E698" s="13"/>
    </row>
    <row r="699" spans="2:5" x14ac:dyDescent="0.3">
      <c r="B699" s="99"/>
      <c r="C699" s="12"/>
      <c r="D699" s="2"/>
      <c r="E699" s="13"/>
    </row>
    <row r="700" spans="2:5" x14ac:dyDescent="0.3">
      <c r="B700" s="99"/>
      <c r="C700" s="12"/>
      <c r="D700" s="2"/>
      <c r="E700" s="13"/>
    </row>
    <row r="701" spans="2:5" x14ac:dyDescent="0.3">
      <c r="B701" s="99"/>
      <c r="C701" s="12"/>
      <c r="D701" s="2"/>
      <c r="E701" s="13"/>
    </row>
    <row r="702" spans="2:5" x14ac:dyDescent="0.3">
      <c r="B702" s="99"/>
      <c r="C702" s="12"/>
      <c r="D702" s="2"/>
      <c r="E702" s="13"/>
    </row>
    <row r="703" spans="2:5" x14ac:dyDescent="0.3">
      <c r="B703" s="99"/>
      <c r="C703" s="12"/>
      <c r="D703" s="2"/>
      <c r="E703" s="13"/>
    </row>
    <row r="704" spans="2:5" x14ac:dyDescent="0.3">
      <c r="B704" s="99"/>
      <c r="C704" s="12"/>
      <c r="D704" s="2"/>
      <c r="E704" s="13"/>
    </row>
    <row r="705" spans="1:5" x14ac:dyDescent="0.3">
      <c r="B705" s="99"/>
      <c r="C705" s="12"/>
      <c r="D705" s="2"/>
      <c r="E705" s="13"/>
    </row>
    <row r="706" spans="1:5" x14ac:dyDescent="0.3">
      <c r="B706" s="99"/>
      <c r="C706" s="12"/>
      <c r="D706" s="2"/>
      <c r="E706" s="13"/>
    </row>
    <row r="707" spans="1:5" x14ac:dyDescent="0.3">
      <c r="B707" s="99"/>
      <c r="C707" s="12"/>
      <c r="D707" s="2"/>
      <c r="E707" s="13"/>
    </row>
    <row r="708" spans="1:5" x14ac:dyDescent="0.3">
      <c r="B708" s="99"/>
      <c r="C708" s="12"/>
      <c r="D708" s="2"/>
      <c r="E708" s="13"/>
    </row>
    <row r="709" spans="1:5" x14ac:dyDescent="0.3">
      <c r="B709" s="99"/>
      <c r="C709" s="12"/>
      <c r="D709" s="2"/>
      <c r="E709" s="13"/>
    </row>
    <row r="710" spans="1:5" x14ac:dyDescent="0.3">
      <c r="B710" s="99"/>
      <c r="C710" s="12"/>
      <c r="D710" s="2"/>
      <c r="E710" s="13"/>
    </row>
    <row r="711" spans="1:5" x14ac:dyDescent="0.3">
      <c r="B711" s="99"/>
      <c r="C711" s="12"/>
      <c r="D711" s="2"/>
      <c r="E711" s="13"/>
    </row>
    <row r="712" spans="1:5" ht="15" thickBot="1" x14ac:dyDescent="0.35">
      <c r="B712" s="97"/>
      <c r="C712" s="14"/>
      <c r="D712" s="3"/>
      <c r="E712" s="15"/>
    </row>
    <row r="714" spans="1:5" x14ac:dyDescent="0.3">
      <c r="A714" t="s">
        <v>6</v>
      </c>
    </row>
    <row r="715" spans="1:5" x14ac:dyDescent="0.3">
      <c r="A715" t="s">
        <v>7</v>
      </c>
    </row>
    <row r="716" spans="1:5" x14ac:dyDescent="0.3">
      <c r="A716" t="s">
        <v>8</v>
      </c>
    </row>
    <row r="718" spans="1:5" x14ac:dyDescent="0.3">
      <c r="A718" t="s">
        <v>9</v>
      </c>
    </row>
    <row r="719" spans="1:5" x14ac:dyDescent="0.3">
      <c r="A719" t="s">
        <v>10</v>
      </c>
    </row>
    <row r="721" spans="1:1" x14ac:dyDescent="0.3">
      <c r="A721" t="s">
        <v>61</v>
      </c>
    </row>
  </sheetData>
  <pageMargins left="0.7" right="0.7" top="0.75" bottom="0.75" header="0.3" footer="0.3"/>
  <pageSetup paperSize="9"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workbookViewId="0">
      <selection activeCell="N2" sqref="N2"/>
    </sheetView>
  </sheetViews>
  <sheetFormatPr defaultRowHeight="14.4" x14ac:dyDescent="0.3"/>
  <cols>
    <col min="4" max="4" width="6" customWidth="1"/>
    <col min="5" max="5" width="11.5546875" customWidth="1"/>
    <col min="8" max="8" width="6" customWidth="1"/>
    <col min="9" max="9" width="15" customWidth="1"/>
    <col min="12" max="12" width="6" customWidth="1"/>
    <col min="13" max="13" width="14.6640625" customWidth="1"/>
  </cols>
  <sheetData>
    <row r="1" spans="1:16" x14ac:dyDescent="0.3">
      <c r="A1" s="6" t="s">
        <v>44</v>
      </c>
      <c r="B1" t="s">
        <v>62</v>
      </c>
    </row>
    <row r="2" spans="1:16" x14ac:dyDescent="0.3">
      <c r="A2" t="s">
        <v>11</v>
      </c>
    </row>
    <row r="4" spans="1:16" x14ac:dyDescent="0.3">
      <c r="A4" s="9" t="s">
        <v>28</v>
      </c>
      <c r="E4" s="9" t="s">
        <v>29</v>
      </c>
      <c r="I4" s="9" t="s">
        <v>30</v>
      </c>
      <c r="M4" s="9" t="s">
        <v>35</v>
      </c>
    </row>
    <row r="5" spans="1:16" ht="15" thickBot="1" x14ac:dyDescent="0.35">
      <c r="B5" t="s">
        <v>27</v>
      </c>
      <c r="F5" t="s">
        <v>27</v>
      </c>
      <c r="J5" t="s">
        <v>27</v>
      </c>
      <c r="N5" t="s">
        <v>27</v>
      </c>
    </row>
    <row r="6" spans="1:16" s="21" customFormat="1" ht="39.9" customHeight="1" x14ac:dyDescent="0.3">
      <c r="A6" s="23" t="s">
        <v>63</v>
      </c>
      <c r="B6" s="24"/>
      <c r="C6" s="24"/>
      <c r="D6" s="27"/>
      <c r="E6" s="23" t="s">
        <v>63</v>
      </c>
      <c r="F6" s="24"/>
      <c r="G6" s="24"/>
      <c r="H6" s="27"/>
      <c r="I6" s="23" t="s">
        <v>63</v>
      </c>
      <c r="J6" s="24"/>
      <c r="K6" s="24"/>
      <c r="L6" s="27"/>
      <c r="M6" s="23" t="s">
        <v>63</v>
      </c>
      <c r="N6" s="24"/>
      <c r="O6" s="24"/>
    </row>
    <row r="7" spans="1:16" s="21" customFormat="1" ht="39.9" customHeight="1" x14ac:dyDescent="0.3">
      <c r="A7" s="23" t="s">
        <v>64</v>
      </c>
      <c r="B7" s="25"/>
      <c r="C7" s="25"/>
      <c r="D7" s="27"/>
      <c r="E7" s="23" t="s">
        <v>64</v>
      </c>
      <c r="F7" s="25"/>
      <c r="G7" s="25"/>
      <c r="H7" s="27"/>
      <c r="I7" s="23" t="s">
        <v>64</v>
      </c>
      <c r="J7" s="25"/>
      <c r="K7" s="25"/>
      <c r="L7" s="27"/>
      <c r="M7" s="23" t="s">
        <v>64</v>
      </c>
      <c r="N7" s="25"/>
      <c r="O7" s="25"/>
    </row>
    <row r="8" spans="1:16" s="21" customFormat="1" ht="39.9" customHeight="1" x14ac:dyDescent="0.3">
      <c r="A8" s="23" t="s">
        <v>65</v>
      </c>
      <c r="B8" s="25"/>
      <c r="C8" s="25"/>
      <c r="D8" s="27"/>
      <c r="E8" s="23" t="s">
        <v>65</v>
      </c>
      <c r="F8" s="25"/>
      <c r="G8" s="25"/>
      <c r="H8" s="27"/>
      <c r="I8" s="23" t="s">
        <v>65</v>
      </c>
      <c r="J8" s="25"/>
      <c r="K8" s="25"/>
      <c r="L8" s="27"/>
      <c r="M8" s="23" t="s">
        <v>65</v>
      </c>
      <c r="N8" s="25"/>
      <c r="O8" s="25"/>
    </row>
    <row r="9" spans="1:16" s="21" customFormat="1" ht="39.9" customHeight="1" x14ac:dyDescent="0.3">
      <c r="A9" s="23" t="s">
        <v>66</v>
      </c>
      <c r="B9" s="25"/>
      <c r="C9" s="25"/>
      <c r="D9" s="27"/>
      <c r="E9" s="23" t="s">
        <v>66</v>
      </c>
      <c r="F9" s="25"/>
      <c r="G9" s="25"/>
      <c r="H9" s="27"/>
      <c r="I9" s="23" t="s">
        <v>66</v>
      </c>
      <c r="J9" s="25"/>
      <c r="K9" s="25"/>
      <c r="L9" s="27"/>
      <c r="M9" s="23" t="s">
        <v>66</v>
      </c>
      <c r="N9" s="25"/>
      <c r="O9" s="25"/>
    </row>
    <row r="10" spans="1:16" s="21" customFormat="1" ht="39.9" customHeight="1" thickBot="1" x14ac:dyDescent="0.35">
      <c r="A10" s="23" t="s">
        <v>67</v>
      </c>
      <c r="B10" s="26"/>
      <c r="C10" s="26"/>
      <c r="D10" s="27"/>
      <c r="E10" s="23" t="s">
        <v>67</v>
      </c>
      <c r="F10" s="26"/>
      <c r="G10" s="26"/>
      <c r="H10" s="27"/>
      <c r="I10" s="23" t="s">
        <v>67</v>
      </c>
      <c r="J10" s="26"/>
      <c r="K10" s="26"/>
      <c r="L10" s="27"/>
      <c r="M10" s="23" t="s">
        <v>67</v>
      </c>
      <c r="N10" s="26"/>
      <c r="O10" s="26"/>
    </row>
    <row r="11" spans="1:16" x14ac:dyDescent="0.3">
      <c r="A11" s="22" t="s">
        <v>68</v>
      </c>
      <c r="B11" s="19"/>
      <c r="C11" s="19"/>
      <c r="D11" s="19"/>
      <c r="E11" s="22" t="s">
        <v>68</v>
      </c>
      <c r="F11" s="19"/>
      <c r="G11" s="19"/>
      <c r="H11" s="19"/>
      <c r="I11" s="22" t="s">
        <v>68</v>
      </c>
      <c r="J11" s="19"/>
      <c r="K11" s="19"/>
      <c r="L11" s="19"/>
      <c r="M11" s="22" t="s">
        <v>68</v>
      </c>
      <c r="N11" s="19"/>
      <c r="O11" s="19"/>
      <c r="P11" s="19"/>
    </row>
    <row r="15" spans="1:16" x14ac:dyDescent="0.3">
      <c r="A15" s="9" t="s">
        <v>28</v>
      </c>
      <c r="E15" s="9" t="s">
        <v>29</v>
      </c>
      <c r="I15" s="9" t="s">
        <v>30</v>
      </c>
      <c r="M15" s="9" t="s">
        <v>35</v>
      </c>
    </row>
    <row r="16" spans="1:16" ht="15" thickBot="1" x14ac:dyDescent="0.35">
      <c r="B16" t="s">
        <v>43</v>
      </c>
      <c r="F16" t="s">
        <v>43</v>
      </c>
      <c r="J16" t="s">
        <v>43</v>
      </c>
      <c r="N16" t="s">
        <v>43</v>
      </c>
    </row>
    <row r="17" spans="1:16" s="21" customFormat="1" ht="39.9" customHeight="1" x14ac:dyDescent="0.3">
      <c r="A17" s="23" t="s">
        <v>63</v>
      </c>
      <c r="B17" s="24"/>
      <c r="C17" s="24"/>
      <c r="D17" s="27"/>
      <c r="E17" s="23" t="s">
        <v>63</v>
      </c>
      <c r="F17" s="24"/>
      <c r="G17" s="24"/>
      <c r="H17" s="27"/>
      <c r="I17" s="23" t="s">
        <v>63</v>
      </c>
      <c r="J17" s="24"/>
      <c r="K17" s="24"/>
      <c r="L17" s="27"/>
      <c r="M17" s="23" t="s">
        <v>63</v>
      </c>
      <c r="N17" s="24"/>
      <c r="O17" s="24"/>
    </row>
    <row r="18" spans="1:16" s="21" customFormat="1" ht="39.9" customHeight="1" x14ac:dyDescent="0.3">
      <c r="A18" s="23" t="s">
        <v>64</v>
      </c>
      <c r="B18" s="25"/>
      <c r="C18" s="25"/>
      <c r="D18" s="27"/>
      <c r="E18" s="23" t="s">
        <v>64</v>
      </c>
      <c r="F18" s="25"/>
      <c r="G18" s="25"/>
      <c r="H18" s="27"/>
      <c r="I18" s="23" t="s">
        <v>64</v>
      </c>
      <c r="J18" s="25"/>
      <c r="K18" s="25"/>
      <c r="L18" s="27"/>
      <c r="M18" s="23" t="s">
        <v>64</v>
      </c>
      <c r="N18" s="25"/>
      <c r="O18" s="25"/>
    </row>
    <row r="19" spans="1:16" s="21" customFormat="1" ht="39.9" customHeight="1" x14ac:dyDescent="0.3">
      <c r="A19" s="23" t="s">
        <v>65</v>
      </c>
      <c r="B19" s="25"/>
      <c r="C19" s="25"/>
      <c r="D19" s="27"/>
      <c r="E19" s="23" t="s">
        <v>65</v>
      </c>
      <c r="F19" s="25"/>
      <c r="G19" s="25"/>
      <c r="H19" s="27"/>
      <c r="I19" s="23" t="s">
        <v>65</v>
      </c>
      <c r="J19" s="25"/>
      <c r="K19" s="25"/>
      <c r="L19" s="27"/>
      <c r="M19" s="23" t="s">
        <v>65</v>
      </c>
      <c r="N19" s="25"/>
      <c r="O19" s="25"/>
    </row>
    <row r="20" spans="1:16" s="21" customFormat="1" ht="39.9" customHeight="1" x14ac:dyDescent="0.3">
      <c r="A20" s="23" t="s">
        <v>66</v>
      </c>
      <c r="B20" s="25"/>
      <c r="C20" s="25"/>
      <c r="D20" s="27"/>
      <c r="E20" s="23" t="s">
        <v>66</v>
      </c>
      <c r="F20" s="25"/>
      <c r="G20" s="25"/>
      <c r="H20" s="27"/>
      <c r="I20" s="23" t="s">
        <v>66</v>
      </c>
      <c r="J20" s="25"/>
      <c r="K20" s="25"/>
      <c r="L20" s="27"/>
      <c r="M20" s="23" t="s">
        <v>66</v>
      </c>
      <c r="N20" s="25"/>
      <c r="O20" s="25"/>
    </row>
    <row r="21" spans="1:16" s="21" customFormat="1" ht="39.9" customHeight="1" thickBot="1" x14ac:dyDescent="0.35">
      <c r="A21" s="23" t="s">
        <v>67</v>
      </c>
      <c r="B21" s="26"/>
      <c r="C21" s="26"/>
      <c r="D21" s="27"/>
      <c r="E21" s="23" t="s">
        <v>67</v>
      </c>
      <c r="F21" s="26"/>
      <c r="G21" s="26"/>
      <c r="H21" s="27"/>
      <c r="I21" s="23" t="s">
        <v>67</v>
      </c>
      <c r="J21" s="26"/>
      <c r="K21" s="26"/>
      <c r="L21" s="27"/>
      <c r="M21" s="23" t="s">
        <v>67</v>
      </c>
      <c r="N21" s="26"/>
      <c r="O21" s="26"/>
    </row>
    <row r="22" spans="1:16" x14ac:dyDescent="0.3">
      <c r="A22" s="22" t="s">
        <v>68</v>
      </c>
      <c r="B22" s="19"/>
      <c r="C22" s="19"/>
      <c r="D22" s="19"/>
      <c r="E22" s="22" t="s">
        <v>68</v>
      </c>
      <c r="F22" s="19"/>
      <c r="G22" s="19"/>
      <c r="H22" s="19"/>
      <c r="I22" s="22" t="s">
        <v>68</v>
      </c>
      <c r="J22" s="19"/>
      <c r="K22" s="19"/>
      <c r="L22" s="19"/>
      <c r="M22" s="22" t="s">
        <v>68</v>
      </c>
      <c r="N22" s="19"/>
      <c r="O22" s="19"/>
      <c r="P22" s="19"/>
    </row>
  </sheetData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6"/>
  <sheetViews>
    <sheetView workbookViewId="0">
      <selection activeCell="I14" sqref="I14"/>
    </sheetView>
  </sheetViews>
  <sheetFormatPr defaultRowHeight="14.4" x14ac:dyDescent="0.3"/>
  <cols>
    <col min="2" max="2" width="10.6640625" bestFit="1" customWidth="1"/>
    <col min="5" max="5" width="6" customWidth="1"/>
    <col min="6" max="6" width="11.5546875" customWidth="1"/>
    <col min="10" max="10" width="6" customWidth="1"/>
    <col min="11" max="11" width="15" customWidth="1"/>
    <col min="15" max="15" width="6" customWidth="1"/>
    <col min="16" max="16" width="14.6640625" customWidth="1"/>
  </cols>
  <sheetData>
    <row r="1" spans="1:20" ht="23.4" x14ac:dyDescent="0.45">
      <c r="A1" s="31" t="s">
        <v>26</v>
      </c>
    </row>
    <row r="3" spans="1:20" x14ac:dyDescent="0.3">
      <c r="A3" s="6" t="s">
        <v>44</v>
      </c>
      <c r="B3" t="s">
        <v>62</v>
      </c>
    </row>
    <row r="4" spans="1:20" x14ac:dyDescent="0.3">
      <c r="A4" t="s">
        <v>11</v>
      </c>
      <c r="B4" s="28"/>
    </row>
    <row r="6" spans="1:20" ht="21" x14ac:dyDescent="0.4">
      <c r="A6" s="29" t="s">
        <v>27</v>
      </c>
    </row>
    <row r="7" spans="1:20" x14ac:dyDescent="0.3">
      <c r="A7" s="9" t="s">
        <v>28</v>
      </c>
      <c r="F7" s="9" t="s">
        <v>29</v>
      </c>
      <c r="K7" s="9" t="s">
        <v>30</v>
      </c>
      <c r="P7" s="9" t="s">
        <v>35</v>
      </c>
    </row>
    <row r="8" spans="1:20" ht="15" thickBot="1" x14ac:dyDescent="0.35">
      <c r="B8" s="30" t="s">
        <v>71</v>
      </c>
      <c r="C8" s="30" t="s">
        <v>70</v>
      </c>
      <c r="D8" s="30" t="s">
        <v>13</v>
      </c>
      <c r="G8" s="30" t="s">
        <v>71</v>
      </c>
      <c r="H8" s="30" t="s">
        <v>70</v>
      </c>
      <c r="I8" s="30" t="s">
        <v>13</v>
      </c>
      <c r="L8" s="30" t="s">
        <v>71</v>
      </c>
      <c r="M8" s="30" t="s">
        <v>70</v>
      </c>
      <c r="N8" s="30" t="s">
        <v>13</v>
      </c>
      <c r="Q8" s="30" t="s">
        <v>71</v>
      </c>
      <c r="R8" s="30" t="s">
        <v>70</v>
      </c>
      <c r="S8" s="30" t="s">
        <v>13</v>
      </c>
    </row>
    <row r="9" spans="1:20" s="21" customFormat="1" ht="39.9" customHeight="1" x14ac:dyDescent="0.3">
      <c r="A9" s="23" t="s">
        <v>63</v>
      </c>
      <c r="B9" s="36"/>
      <c r="C9" s="36"/>
      <c r="D9" s="37" t="e">
        <f>AVERAGE(B9:C9)</f>
        <v>#DIV/0!</v>
      </c>
      <c r="E9" s="27"/>
      <c r="F9" s="23" t="s">
        <v>63</v>
      </c>
      <c r="G9" s="36"/>
      <c r="H9" s="36"/>
      <c r="I9" s="37" t="e">
        <f>AVERAGE(G9:H9)</f>
        <v>#DIV/0!</v>
      </c>
      <c r="J9" s="27"/>
      <c r="K9" s="23" t="s">
        <v>63</v>
      </c>
      <c r="L9" s="36"/>
      <c r="M9" s="36"/>
      <c r="N9" s="37" t="e">
        <f>AVERAGE(L9:M9)</f>
        <v>#DIV/0!</v>
      </c>
      <c r="O9" s="27"/>
      <c r="P9" s="23" t="s">
        <v>63</v>
      </c>
      <c r="Q9" s="36"/>
      <c r="R9" s="36"/>
      <c r="S9" s="37" t="e">
        <f>AVERAGE(Q9:R9)</f>
        <v>#DIV/0!</v>
      </c>
    </row>
    <row r="10" spans="1:20" s="21" customFormat="1" ht="39.9" customHeight="1" x14ac:dyDescent="0.3">
      <c r="A10" s="23" t="s">
        <v>64</v>
      </c>
      <c r="B10" s="38"/>
      <c r="C10" s="38"/>
      <c r="D10" s="37" t="e">
        <f>AVERAGE(B10:C10)</f>
        <v>#DIV/0!</v>
      </c>
      <c r="E10" s="27"/>
      <c r="F10" s="23" t="s">
        <v>64</v>
      </c>
      <c r="G10" s="38"/>
      <c r="H10" s="38"/>
      <c r="I10" s="37" t="e">
        <f>AVERAGE(G10:H10)</f>
        <v>#DIV/0!</v>
      </c>
      <c r="J10" s="27"/>
      <c r="K10" s="23" t="s">
        <v>64</v>
      </c>
      <c r="L10" s="38"/>
      <c r="M10" s="38"/>
      <c r="N10" s="37" t="e">
        <f>AVERAGE(L10:M10)</f>
        <v>#DIV/0!</v>
      </c>
      <c r="O10" s="27"/>
      <c r="P10" s="23" t="s">
        <v>64</v>
      </c>
      <c r="Q10" s="38"/>
      <c r="R10" s="38"/>
      <c r="S10" s="37" t="e">
        <f>AVERAGE(Q10:R10)</f>
        <v>#DIV/0!</v>
      </c>
    </row>
    <row r="11" spans="1:20" s="21" customFormat="1" ht="39.9" customHeight="1" x14ac:dyDescent="0.3">
      <c r="A11" s="23" t="s">
        <v>65</v>
      </c>
      <c r="B11" s="38"/>
      <c r="C11" s="38"/>
      <c r="D11" s="37" t="e">
        <f>AVERAGE(B11:C11)</f>
        <v>#DIV/0!</v>
      </c>
      <c r="E11" s="27"/>
      <c r="F11" s="23" t="s">
        <v>65</v>
      </c>
      <c r="G11" s="38"/>
      <c r="H11" s="38"/>
      <c r="I11" s="37" t="e">
        <f>AVERAGE(G11:H11)</f>
        <v>#DIV/0!</v>
      </c>
      <c r="J11" s="27"/>
      <c r="K11" s="23" t="s">
        <v>65</v>
      </c>
      <c r="L11" s="38"/>
      <c r="M11" s="38"/>
      <c r="N11" s="37" t="e">
        <f>AVERAGE(L11:M11)</f>
        <v>#DIV/0!</v>
      </c>
      <c r="O11" s="27"/>
      <c r="P11" s="23" t="s">
        <v>65</v>
      </c>
      <c r="Q11" s="38"/>
      <c r="R11" s="38"/>
      <c r="S11" s="37" t="e">
        <f>AVERAGE(Q11:R11)</f>
        <v>#DIV/0!</v>
      </c>
    </row>
    <row r="12" spans="1:20" s="21" customFormat="1" ht="39.9" customHeight="1" x14ac:dyDescent="0.3">
      <c r="A12" s="23" t="s">
        <v>66</v>
      </c>
      <c r="B12" s="38"/>
      <c r="C12" s="38"/>
      <c r="D12" s="37" t="e">
        <f>AVERAGE(B12:C12)</f>
        <v>#DIV/0!</v>
      </c>
      <c r="E12" s="27"/>
      <c r="F12" s="23" t="s">
        <v>66</v>
      </c>
      <c r="G12" s="38"/>
      <c r="H12" s="38"/>
      <c r="I12" s="37" t="e">
        <f>AVERAGE(G12:H12)</f>
        <v>#DIV/0!</v>
      </c>
      <c r="J12" s="27"/>
      <c r="K12" s="23" t="s">
        <v>66</v>
      </c>
      <c r="L12" s="38"/>
      <c r="M12" s="38"/>
      <c r="N12" s="37" t="e">
        <f>AVERAGE(L12:M12)</f>
        <v>#DIV/0!</v>
      </c>
      <c r="O12" s="27"/>
      <c r="P12" s="23" t="s">
        <v>66</v>
      </c>
      <c r="Q12" s="38"/>
      <c r="R12" s="38"/>
      <c r="S12" s="37" t="e">
        <f>AVERAGE(Q12:R12)</f>
        <v>#DIV/0!</v>
      </c>
    </row>
    <row r="13" spans="1:20" s="21" customFormat="1" ht="39.9" customHeight="1" thickBot="1" x14ac:dyDescent="0.35">
      <c r="A13" s="23" t="s">
        <v>67</v>
      </c>
      <c r="B13" s="39"/>
      <c r="C13" s="39"/>
      <c r="D13" s="37" t="e">
        <f>AVERAGE(B13:C13)</f>
        <v>#DIV/0!</v>
      </c>
      <c r="E13" s="27"/>
      <c r="F13" s="23" t="s">
        <v>67</v>
      </c>
      <c r="G13" s="39"/>
      <c r="H13" s="39"/>
      <c r="I13" s="37" t="e">
        <f>AVERAGE(G13:H13)</f>
        <v>#DIV/0!</v>
      </c>
      <c r="J13" s="27"/>
      <c r="K13" s="23" t="s">
        <v>67</v>
      </c>
      <c r="L13" s="39"/>
      <c r="M13" s="39"/>
      <c r="N13" s="37" t="e">
        <f>AVERAGE(L13:M13)</f>
        <v>#DIV/0!</v>
      </c>
      <c r="O13" s="27"/>
      <c r="P13" s="23" t="s">
        <v>67</v>
      </c>
      <c r="Q13" s="39"/>
      <c r="R13" s="39"/>
      <c r="S13" s="37" t="e">
        <f>AVERAGE(Q13:R13)</f>
        <v>#DIV/0!</v>
      </c>
    </row>
    <row r="14" spans="1:20" ht="57.6" x14ac:dyDescent="0.3">
      <c r="A14" s="22"/>
      <c r="B14" s="19"/>
      <c r="C14" s="33" t="s">
        <v>72</v>
      </c>
      <c r="D14" s="35"/>
      <c r="E14" s="34"/>
      <c r="F14" s="33"/>
      <c r="G14" s="34"/>
      <c r="H14" s="33" t="s">
        <v>72</v>
      </c>
      <c r="I14" s="35"/>
      <c r="J14" s="34"/>
      <c r="K14" s="33"/>
      <c r="L14" s="34"/>
      <c r="M14" s="33" t="s">
        <v>72</v>
      </c>
      <c r="N14" s="35"/>
      <c r="O14" s="34"/>
      <c r="P14" s="33"/>
      <c r="Q14" s="34"/>
      <c r="R14" s="33" t="s">
        <v>72</v>
      </c>
      <c r="S14" s="35"/>
      <c r="T14" s="19"/>
    </row>
    <row r="18" spans="1:20" ht="21" x14ac:dyDescent="0.4">
      <c r="A18" s="29" t="s">
        <v>43</v>
      </c>
    </row>
    <row r="19" spans="1:20" x14ac:dyDescent="0.3">
      <c r="A19" s="9" t="s">
        <v>28</v>
      </c>
      <c r="F19" s="9" t="s">
        <v>29</v>
      </c>
      <c r="K19" s="9" t="s">
        <v>30</v>
      </c>
      <c r="P19" s="9" t="s">
        <v>35</v>
      </c>
    </row>
    <row r="20" spans="1:20" ht="15" thickBot="1" x14ac:dyDescent="0.35">
      <c r="B20" s="30" t="s">
        <v>71</v>
      </c>
      <c r="C20" s="30" t="s">
        <v>70</v>
      </c>
      <c r="D20" s="30" t="s">
        <v>13</v>
      </c>
      <c r="G20" s="30" t="s">
        <v>71</v>
      </c>
      <c r="H20" s="30" t="s">
        <v>70</v>
      </c>
      <c r="I20" s="30" t="s">
        <v>13</v>
      </c>
      <c r="L20" s="30" t="s">
        <v>71</v>
      </c>
      <c r="M20" s="30" t="s">
        <v>70</v>
      </c>
      <c r="N20" s="30" t="s">
        <v>13</v>
      </c>
      <c r="Q20" s="30" t="s">
        <v>71</v>
      </c>
      <c r="R20" s="30" t="s">
        <v>70</v>
      </c>
      <c r="S20" s="30" t="s">
        <v>13</v>
      </c>
    </row>
    <row r="21" spans="1:20" s="21" customFormat="1" ht="39.9" customHeight="1" x14ac:dyDescent="0.3">
      <c r="A21" s="23" t="s">
        <v>63</v>
      </c>
      <c r="B21" s="36"/>
      <c r="C21" s="36"/>
      <c r="D21" s="37" t="e">
        <f>AVERAGE(B21:C21)</f>
        <v>#DIV/0!</v>
      </c>
      <c r="E21" s="27"/>
      <c r="F21" s="23" t="s">
        <v>63</v>
      </c>
      <c r="G21" s="36"/>
      <c r="H21" s="36"/>
      <c r="I21" s="37" t="e">
        <f>AVERAGE(G21:H21)</f>
        <v>#DIV/0!</v>
      </c>
      <c r="J21" s="27"/>
      <c r="K21" s="23" t="s">
        <v>63</v>
      </c>
      <c r="L21" s="36"/>
      <c r="M21" s="36"/>
      <c r="N21" s="37" t="e">
        <f>AVERAGE(L21:M21)</f>
        <v>#DIV/0!</v>
      </c>
      <c r="O21" s="27"/>
      <c r="P21" s="23" t="s">
        <v>63</v>
      </c>
      <c r="Q21" s="36"/>
      <c r="R21" s="36"/>
      <c r="S21" s="37" t="e">
        <f>AVERAGE(Q21:R21)</f>
        <v>#DIV/0!</v>
      </c>
    </row>
    <row r="22" spans="1:20" s="21" customFormat="1" ht="39.9" customHeight="1" x14ac:dyDescent="0.3">
      <c r="A22" s="23" t="s">
        <v>64</v>
      </c>
      <c r="B22" s="38"/>
      <c r="C22" s="38"/>
      <c r="D22" s="37" t="e">
        <f>AVERAGE(B22:C22)</f>
        <v>#DIV/0!</v>
      </c>
      <c r="E22" s="27"/>
      <c r="F22" s="23" t="s">
        <v>64</v>
      </c>
      <c r="G22" s="38"/>
      <c r="H22" s="38"/>
      <c r="I22" s="37" t="e">
        <f>AVERAGE(G22:H22)</f>
        <v>#DIV/0!</v>
      </c>
      <c r="J22" s="27"/>
      <c r="K22" s="23" t="s">
        <v>64</v>
      </c>
      <c r="L22" s="38"/>
      <c r="M22" s="38"/>
      <c r="N22" s="37" t="e">
        <f>AVERAGE(L22:M22)</f>
        <v>#DIV/0!</v>
      </c>
      <c r="O22" s="27"/>
      <c r="P22" s="23" t="s">
        <v>64</v>
      </c>
      <c r="Q22" s="38"/>
      <c r="R22" s="38"/>
      <c r="S22" s="37" t="e">
        <f>AVERAGE(Q22:R22)</f>
        <v>#DIV/0!</v>
      </c>
    </row>
    <row r="23" spans="1:20" s="21" customFormat="1" ht="39.9" customHeight="1" x14ac:dyDescent="0.3">
      <c r="A23" s="23" t="s">
        <v>65</v>
      </c>
      <c r="B23" s="38"/>
      <c r="C23" s="38"/>
      <c r="D23" s="37" t="e">
        <f>AVERAGE(B23:C23)</f>
        <v>#DIV/0!</v>
      </c>
      <c r="E23" s="27"/>
      <c r="F23" s="23" t="s">
        <v>65</v>
      </c>
      <c r="G23" s="38"/>
      <c r="H23" s="38"/>
      <c r="I23" s="37" t="e">
        <f>AVERAGE(G23:H23)</f>
        <v>#DIV/0!</v>
      </c>
      <c r="J23" s="27"/>
      <c r="K23" s="23" t="s">
        <v>65</v>
      </c>
      <c r="L23" s="38"/>
      <c r="M23" s="38"/>
      <c r="N23" s="37" t="e">
        <f>AVERAGE(L23:M23)</f>
        <v>#DIV/0!</v>
      </c>
      <c r="O23" s="27"/>
      <c r="P23" s="23" t="s">
        <v>65</v>
      </c>
      <c r="Q23" s="38"/>
      <c r="R23" s="38"/>
      <c r="S23" s="37" t="e">
        <f>AVERAGE(Q23:R23)</f>
        <v>#DIV/0!</v>
      </c>
    </row>
    <row r="24" spans="1:20" s="21" customFormat="1" ht="39.9" customHeight="1" x14ac:dyDescent="0.3">
      <c r="A24" s="23" t="s">
        <v>66</v>
      </c>
      <c r="B24" s="38"/>
      <c r="C24" s="38"/>
      <c r="D24" s="37" t="e">
        <f>AVERAGE(B24:C24)</f>
        <v>#DIV/0!</v>
      </c>
      <c r="E24" s="27"/>
      <c r="F24" s="23" t="s">
        <v>66</v>
      </c>
      <c r="G24" s="38"/>
      <c r="H24" s="38"/>
      <c r="I24" s="37" t="e">
        <f>AVERAGE(G24:H24)</f>
        <v>#DIV/0!</v>
      </c>
      <c r="J24" s="27"/>
      <c r="K24" s="23" t="s">
        <v>66</v>
      </c>
      <c r="L24" s="38"/>
      <c r="M24" s="38"/>
      <c r="N24" s="37" t="e">
        <f>AVERAGE(L24:M24)</f>
        <v>#DIV/0!</v>
      </c>
      <c r="O24" s="27"/>
      <c r="P24" s="23" t="s">
        <v>66</v>
      </c>
      <c r="Q24" s="38"/>
      <c r="R24" s="38"/>
      <c r="S24" s="37" t="e">
        <f>AVERAGE(Q24:R24)</f>
        <v>#DIV/0!</v>
      </c>
    </row>
    <row r="25" spans="1:20" s="21" customFormat="1" ht="39.9" customHeight="1" thickBot="1" x14ac:dyDescent="0.35">
      <c r="A25" s="23" t="s">
        <v>67</v>
      </c>
      <c r="B25" s="39"/>
      <c r="C25" s="39"/>
      <c r="D25" s="37" t="e">
        <f>AVERAGE(B25:C25)</f>
        <v>#DIV/0!</v>
      </c>
      <c r="E25" s="27"/>
      <c r="F25" s="23" t="s">
        <v>67</v>
      </c>
      <c r="G25" s="39"/>
      <c r="H25" s="39"/>
      <c r="I25" s="37" t="e">
        <f>AVERAGE(G25:H25)</f>
        <v>#DIV/0!</v>
      </c>
      <c r="J25" s="27"/>
      <c r="K25" s="23" t="s">
        <v>67</v>
      </c>
      <c r="L25" s="39"/>
      <c r="M25" s="39"/>
      <c r="N25" s="37" t="e">
        <f>AVERAGE(L25:M25)</f>
        <v>#DIV/0!</v>
      </c>
      <c r="O25" s="27"/>
      <c r="P25" s="23" t="s">
        <v>67</v>
      </c>
      <c r="Q25" s="39"/>
      <c r="R25" s="39"/>
      <c r="S25" s="37" t="e">
        <f>AVERAGE(Q25:R25)</f>
        <v>#DIV/0!</v>
      </c>
    </row>
    <row r="26" spans="1:20" ht="57.6" x14ac:dyDescent="0.3">
      <c r="A26" s="22"/>
      <c r="B26" s="19"/>
      <c r="C26" s="33" t="s">
        <v>72</v>
      </c>
      <c r="D26" s="40"/>
      <c r="E26" s="32"/>
      <c r="F26" s="32"/>
      <c r="G26" s="32"/>
      <c r="H26" s="33" t="s">
        <v>72</v>
      </c>
      <c r="I26" s="40"/>
      <c r="J26" s="32"/>
      <c r="K26" s="32"/>
      <c r="L26" s="32"/>
      <c r="M26" s="33" t="s">
        <v>72</v>
      </c>
      <c r="N26" s="40"/>
      <c r="O26" s="32"/>
      <c r="P26" s="32"/>
      <c r="Q26" s="32"/>
      <c r="R26" s="33" t="s">
        <v>72</v>
      </c>
      <c r="S26" s="40"/>
      <c r="T26" s="19"/>
    </row>
  </sheetData>
  <pageMargins left="0.7" right="0.7" top="0.75" bottom="0.75" header="0.3" footer="0.3"/>
  <pageSetup paperSize="9" scale="8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topLeftCell="A7" workbookViewId="0">
      <selection activeCell="P10" sqref="P10"/>
    </sheetView>
  </sheetViews>
  <sheetFormatPr defaultRowHeight="14.4" x14ac:dyDescent="0.3"/>
  <cols>
    <col min="2" max="2" width="10.6640625" bestFit="1" customWidth="1"/>
    <col min="5" max="5" width="6" customWidth="1"/>
    <col min="6" max="6" width="11.5546875" customWidth="1"/>
    <col min="10" max="10" width="6" customWidth="1"/>
    <col min="11" max="11" width="15" customWidth="1"/>
    <col min="15" max="15" width="6" customWidth="1"/>
    <col min="16" max="16" width="14.6640625" customWidth="1"/>
  </cols>
  <sheetData>
    <row r="1" spans="1:22" ht="23.4" x14ac:dyDescent="0.45">
      <c r="A1" s="31" t="s">
        <v>26</v>
      </c>
    </row>
    <row r="3" spans="1:22" x14ac:dyDescent="0.3">
      <c r="A3" s="6" t="s">
        <v>44</v>
      </c>
      <c r="B3" t="s">
        <v>62</v>
      </c>
    </row>
    <row r="4" spans="1:22" x14ac:dyDescent="0.3">
      <c r="A4" t="s">
        <v>11</v>
      </c>
      <c r="B4" s="28">
        <v>42100</v>
      </c>
    </row>
    <row r="6" spans="1:22" ht="21" x14ac:dyDescent="0.4">
      <c r="A6" s="29" t="s">
        <v>27</v>
      </c>
    </row>
    <row r="7" spans="1:22" x14ac:dyDescent="0.3">
      <c r="A7" s="9" t="s">
        <v>28</v>
      </c>
      <c r="F7" s="9" t="s">
        <v>29</v>
      </c>
      <c r="K7" s="9" t="s">
        <v>30</v>
      </c>
      <c r="P7" s="9" t="s">
        <v>35</v>
      </c>
    </row>
    <row r="8" spans="1:22" ht="15" thickBot="1" x14ac:dyDescent="0.35">
      <c r="B8" s="30" t="s">
        <v>71</v>
      </c>
      <c r="C8" s="30" t="s">
        <v>70</v>
      </c>
      <c r="D8" s="30" t="s">
        <v>13</v>
      </c>
      <c r="G8" s="30" t="s">
        <v>71</v>
      </c>
      <c r="H8" s="30" t="s">
        <v>70</v>
      </c>
      <c r="I8" s="30" t="s">
        <v>13</v>
      </c>
      <c r="L8" s="30" t="s">
        <v>71</v>
      </c>
      <c r="M8" s="30" t="s">
        <v>70</v>
      </c>
      <c r="N8" s="30" t="s">
        <v>13</v>
      </c>
      <c r="Q8" s="30" t="s">
        <v>71</v>
      </c>
      <c r="R8" s="30" t="s">
        <v>70</v>
      </c>
      <c r="S8" s="30" t="s">
        <v>13</v>
      </c>
    </row>
    <row r="9" spans="1:22" s="21" customFormat="1" ht="39.9" customHeight="1" x14ac:dyDescent="0.3">
      <c r="A9" s="23" t="s">
        <v>63</v>
      </c>
      <c r="B9" s="36">
        <v>0</v>
      </c>
      <c r="C9" s="36">
        <v>0</v>
      </c>
      <c r="D9" s="37">
        <f>AVERAGE(B9:C9)</f>
        <v>0</v>
      </c>
      <c r="E9" s="27"/>
      <c r="F9" s="23" t="s">
        <v>63</v>
      </c>
      <c r="G9" s="36">
        <v>0</v>
      </c>
      <c r="H9" s="36">
        <v>0</v>
      </c>
      <c r="I9" s="37">
        <f>AVERAGE(G9:H9)</f>
        <v>0</v>
      </c>
      <c r="J9" s="27"/>
      <c r="K9" s="23" t="s">
        <v>63</v>
      </c>
      <c r="L9" s="36">
        <f>13/290</f>
        <v>4.4827586206896551E-2</v>
      </c>
      <c r="M9" s="36">
        <f>13/380</f>
        <v>3.4210526315789476E-2</v>
      </c>
      <c r="N9" s="37">
        <f>AVERAGE(L9:M9)</f>
        <v>3.9519056261343014E-2</v>
      </c>
      <c r="O9" s="27"/>
      <c r="P9" s="23" t="s">
        <v>63</v>
      </c>
      <c r="Q9" s="116">
        <f>6/350</f>
        <v>1.7142857142857144E-2</v>
      </c>
      <c r="R9" s="116">
        <f>13/350</f>
        <v>3.7142857142857144E-2</v>
      </c>
      <c r="S9" s="37">
        <f>AVERAGE(Q9:R9)</f>
        <v>2.7142857142857142E-2</v>
      </c>
      <c r="V9" s="21" t="s">
        <v>73</v>
      </c>
    </row>
    <row r="10" spans="1:22" s="21" customFormat="1" ht="39.9" customHeight="1" x14ac:dyDescent="0.3">
      <c r="A10" s="23" t="s">
        <v>64</v>
      </c>
      <c r="B10" s="38">
        <v>0</v>
      </c>
      <c r="C10" s="38">
        <v>0</v>
      </c>
      <c r="D10" s="37">
        <f>AVERAGE(B10:C10)</f>
        <v>0</v>
      </c>
      <c r="E10" s="27"/>
      <c r="F10" s="23" t="s">
        <v>64</v>
      </c>
      <c r="G10" s="38">
        <f>20/410</f>
        <v>4.878048780487805E-2</v>
      </c>
      <c r="H10" s="38">
        <f>13/340</f>
        <v>3.8235294117647062E-2</v>
      </c>
      <c r="I10" s="37">
        <f>AVERAGE(G10:H10)</f>
        <v>4.3507890961262556E-2</v>
      </c>
      <c r="J10" s="27"/>
      <c r="K10" s="23" t="s">
        <v>90</v>
      </c>
      <c r="L10" s="114">
        <f>16/250</f>
        <v>6.4000000000000001E-2</v>
      </c>
      <c r="M10" s="114">
        <f>22/230</f>
        <v>9.5652173913043481E-2</v>
      </c>
      <c r="N10" s="37">
        <f>AVERAGE(L10:M10)</f>
        <v>7.9826086956521741E-2</v>
      </c>
      <c r="O10" s="27"/>
      <c r="P10" s="23" t="s">
        <v>89</v>
      </c>
      <c r="Q10" s="114">
        <f>43/450</f>
        <v>9.555555555555556E-2</v>
      </c>
      <c r="R10" s="114">
        <f>36/490</f>
        <v>7.3469387755102047E-2</v>
      </c>
      <c r="S10" s="37">
        <f>AVERAGE(Q10:R10)</f>
        <v>8.4512471655328797E-2</v>
      </c>
      <c r="V10" s="21" t="s">
        <v>75</v>
      </c>
    </row>
    <row r="11" spans="1:22" s="21" customFormat="1" ht="39.9" customHeight="1" x14ac:dyDescent="0.3">
      <c r="A11" s="23" t="s">
        <v>65</v>
      </c>
      <c r="B11" s="114">
        <v>0</v>
      </c>
      <c r="C11" s="114">
        <v>0</v>
      </c>
      <c r="D11" s="37">
        <f>AVERAGE(B11:C11)</f>
        <v>0</v>
      </c>
      <c r="E11" s="27"/>
      <c r="F11" s="23" t="s">
        <v>65</v>
      </c>
      <c r="G11" s="38">
        <v>0</v>
      </c>
      <c r="H11" s="38">
        <v>0</v>
      </c>
      <c r="I11" s="37">
        <f>AVERAGE(G11:H11)</f>
        <v>0</v>
      </c>
      <c r="J11" s="27"/>
      <c r="K11" s="23" t="s">
        <v>65</v>
      </c>
      <c r="L11" s="114">
        <v>0</v>
      </c>
      <c r="M11" s="114">
        <v>0</v>
      </c>
      <c r="N11" s="37">
        <f>AVERAGE(L11:M11)</f>
        <v>0</v>
      </c>
      <c r="O11" s="27"/>
      <c r="P11" s="23" t="s">
        <v>65</v>
      </c>
      <c r="Q11" s="114">
        <f>13/350</f>
        <v>3.7142857142857144E-2</v>
      </c>
      <c r="R11" s="114">
        <f>23/390</f>
        <v>5.8974358974358973E-2</v>
      </c>
      <c r="S11" s="37">
        <f>AVERAGE(Q11:R11)</f>
        <v>4.8058608058608059E-2</v>
      </c>
    </row>
    <row r="12" spans="1:22" s="21" customFormat="1" ht="39.9" customHeight="1" x14ac:dyDescent="0.3">
      <c r="A12" s="23" t="s">
        <v>66</v>
      </c>
      <c r="B12" s="114">
        <f>19/430</f>
        <v>4.4186046511627906E-2</v>
      </c>
      <c r="C12" s="114">
        <f>18/350</f>
        <v>5.1428571428571428E-2</v>
      </c>
      <c r="D12" s="37">
        <f>AVERAGE(B12:C12)</f>
        <v>4.7807308970099667E-2</v>
      </c>
      <c r="E12" s="27"/>
      <c r="F12" s="23" t="s">
        <v>66</v>
      </c>
      <c r="G12" s="38">
        <v>0</v>
      </c>
      <c r="H12" s="38">
        <v>0</v>
      </c>
      <c r="I12" s="37">
        <f>AVERAGE(G12:H12)</f>
        <v>0</v>
      </c>
      <c r="J12" s="27"/>
      <c r="K12" s="23" t="s">
        <v>66</v>
      </c>
      <c r="L12" s="114">
        <f>10/280</f>
        <v>3.5714285714285712E-2</v>
      </c>
      <c r="M12" s="114">
        <f>7/320</f>
        <v>2.1874999999999999E-2</v>
      </c>
      <c r="N12" s="37">
        <f>AVERAGE(L12:M12)</f>
        <v>2.8794642857142855E-2</v>
      </c>
      <c r="O12" s="27"/>
      <c r="P12" s="23" t="s">
        <v>79</v>
      </c>
      <c r="Q12" s="114">
        <f>31/470</f>
        <v>6.5957446808510636E-2</v>
      </c>
      <c r="R12" s="114">
        <f>19/460</f>
        <v>4.1304347826086954E-2</v>
      </c>
      <c r="S12" s="37">
        <f>AVERAGE(Q12:R12)</f>
        <v>5.3630897317298795E-2</v>
      </c>
    </row>
    <row r="13" spans="1:22" s="21" customFormat="1" ht="39.9" customHeight="1" thickBot="1" x14ac:dyDescent="0.35">
      <c r="A13" s="23" t="s">
        <v>67</v>
      </c>
      <c r="B13" s="39">
        <f>0/370</f>
        <v>0</v>
      </c>
      <c r="C13" s="39">
        <f>0/220</f>
        <v>0</v>
      </c>
      <c r="D13" s="37">
        <f>AVERAGE(B13:C13)</f>
        <v>0</v>
      </c>
      <c r="E13" s="27"/>
      <c r="F13" s="23" t="s">
        <v>67</v>
      </c>
      <c r="G13" s="39">
        <v>0</v>
      </c>
      <c r="H13" s="39">
        <v>0</v>
      </c>
      <c r="I13" s="37">
        <f>AVERAGE(G13:H13)</f>
        <v>0</v>
      </c>
      <c r="J13" s="27"/>
      <c r="K13" s="23" t="s">
        <v>74</v>
      </c>
      <c r="L13" s="115">
        <f>43/300</f>
        <v>0.14333333333333334</v>
      </c>
      <c r="M13" s="115">
        <f>31/430</f>
        <v>7.2093023255813959E-2</v>
      </c>
      <c r="N13" s="37">
        <f>AVERAGE(L13:M13)</f>
        <v>0.10771317829457365</v>
      </c>
      <c r="O13" s="27"/>
      <c r="P13" s="23" t="s">
        <v>67</v>
      </c>
      <c r="Q13" s="115">
        <f>6/400</f>
        <v>1.4999999999999999E-2</v>
      </c>
      <c r="R13" s="115">
        <f>13/320</f>
        <v>4.0625000000000001E-2</v>
      </c>
      <c r="S13" s="37">
        <f>AVERAGE(Q13:R13)</f>
        <v>2.78125E-2</v>
      </c>
    </row>
    <row r="14" spans="1:22" ht="57.6" x14ac:dyDescent="0.3">
      <c r="A14" s="22"/>
      <c r="B14" s="19"/>
      <c r="C14" s="33" t="s">
        <v>72</v>
      </c>
      <c r="D14" s="35">
        <f>AVERAGE(D12)</f>
        <v>4.7807308970099667E-2</v>
      </c>
      <c r="E14" s="34"/>
      <c r="F14" s="33"/>
      <c r="G14" s="34"/>
      <c r="H14" s="33" t="s">
        <v>72</v>
      </c>
      <c r="I14" s="35">
        <f>AVERAGE(I10)</f>
        <v>4.3507890961262556E-2</v>
      </c>
      <c r="J14" s="34"/>
      <c r="K14" s="33"/>
      <c r="L14" s="34"/>
      <c r="M14" s="33" t="s">
        <v>72</v>
      </c>
      <c r="N14" s="35">
        <f>AVERAGE(N9:N10,N12:N13)</f>
        <v>6.3963241092395318E-2</v>
      </c>
      <c r="O14" s="34"/>
      <c r="P14" s="33"/>
      <c r="Q14" s="34"/>
      <c r="R14" s="33" t="s">
        <v>72</v>
      </c>
      <c r="S14" s="35">
        <f>AVERAGE(S9:S13)</f>
        <v>4.8231466834818555E-2</v>
      </c>
      <c r="T14" s="19"/>
    </row>
    <row r="18" spans="1:20" ht="21" x14ac:dyDescent="0.4">
      <c r="A18" s="29" t="s">
        <v>43</v>
      </c>
    </row>
    <row r="19" spans="1:20" x14ac:dyDescent="0.3">
      <c r="A19" s="9" t="s">
        <v>28</v>
      </c>
      <c r="F19" s="9" t="s">
        <v>29</v>
      </c>
      <c r="K19" s="9" t="s">
        <v>30</v>
      </c>
      <c r="P19" s="9" t="s">
        <v>35</v>
      </c>
    </row>
    <row r="20" spans="1:20" ht="15" thickBot="1" x14ac:dyDescent="0.35">
      <c r="B20" s="30" t="s">
        <v>71</v>
      </c>
      <c r="C20" s="30" t="s">
        <v>70</v>
      </c>
      <c r="D20" s="30" t="s">
        <v>13</v>
      </c>
      <c r="G20" s="30" t="s">
        <v>71</v>
      </c>
      <c r="H20" s="30" t="s">
        <v>70</v>
      </c>
      <c r="I20" s="30" t="s">
        <v>13</v>
      </c>
      <c r="L20" s="30" t="s">
        <v>71</v>
      </c>
      <c r="M20" s="30" t="s">
        <v>70</v>
      </c>
      <c r="N20" s="30" t="s">
        <v>13</v>
      </c>
      <c r="Q20" s="30" t="s">
        <v>71</v>
      </c>
      <c r="R20" s="30" t="s">
        <v>70</v>
      </c>
      <c r="S20" s="30" t="s">
        <v>13</v>
      </c>
    </row>
    <row r="21" spans="1:20" s="21" customFormat="1" ht="39.9" customHeight="1" x14ac:dyDescent="0.3">
      <c r="A21" s="23" t="s">
        <v>63</v>
      </c>
      <c r="B21" s="36">
        <v>0</v>
      </c>
      <c r="C21" s="36">
        <v>0</v>
      </c>
      <c r="D21" s="37">
        <f>AVERAGE(B21:C21)</f>
        <v>0</v>
      </c>
      <c r="E21" s="27"/>
      <c r="F21" s="23" t="s">
        <v>63</v>
      </c>
      <c r="G21" s="36">
        <v>0</v>
      </c>
      <c r="H21" s="36">
        <v>0</v>
      </c>
      <c r="I21" s="37">
        <f>AVERAGE(G21:H21)</f>
        <v>0</v>
      </c>
      <c r="J21" s="27"/>
      <c r="K21" s="23" t="s">
        <v>63</v>
      </c>
      <c r="L21" s="36">
        <f>1/290</f>
        <v>3.4482758620689655E-3</v>
      </c>
      <c r="M21" s="36">
        <f>0/380</f>
        <v>0</v>
      </c>
      <c r="N21" s="37">
        <f>AVERAGE(L21:M21)</f>
        <v>1.7241379310344827E-3</v>
      </c>
      <c r="O21" s="27"/>
      <c r="P21" s="23" t="s">
        <v>63</v>
      </c>
      <c r="Q21" s="36">
        <f>0/350</f>
        <v>0</v>
      </c>
      <c r="R21" s="36">
        <f>1/350</f>
        <v>2.8571428571428571E-3</v>
      </c>
      <c r="S21" s="37">
        <f>AVERAGE(Q21:R21)</f>
        <v>1.4285714285714286E-3</v>
      </c>
    </row>
    <row r="22" spans="1:20" s="21" customFormat="1" ht="39.9" customHeight="1" x14ac:dyDescent="0.3">
      <c r="A22" s="23" t="s">
        <v>64</v>
      </c>
      <c r="B22" s="38">
        <v>0</v>
      </c>
      <c r="C22" s="38">
        <v>0</v>
      </c>
      <c r="D22" s="37">
        <f>AVERAGE(B22:C22)</f>
        <v>0</v>
      </c>
      <c r="E22" s="27"/>
      <c r="F22" s="23" t="s">
        <v>64</v>
      </c>
      <c r="G22" s="38">
        <f>1/410</f>
        <v>2.4390243902439024E-3</v>
      </c>
      <c r="H22" s="38">
        <f>0/340</f>
        <v>0</v>
      </c>
      <c r="I22" s="37">
        <f>AVERAGE(G22:H22)</f>
        <v>1.2195121951219512E-3</v>
      </c>
      <c r="J22" s="27"/>
      <c r="K22" s="23" t="s">
        <v>90</v>
      </c>
      <c r="L22" s="114">
        <f>0/250</f>
        <v>0</v>
      </c>
      <c r="M22" s="114">
        <f>0/230</f>
        <v>0</v>
      </c>
      <c r="N22" s="37">
        <f>AVERAGE(L22:M22)</f>
        <v>0</v>
      </c>
      <c r="O22" s="27"/>
      <c r="P22" s="23" t="s">
        <v>89</v>
      </c>
      <c r="Q22" s="114">
        <f>0/450</f>
        <v>0</v>
      </c>
      <c r="R22" s="114">
        <f>2/490</f>
        <v>4.0816326530612249E-3</v>
      </c>
      <c r="S22" s="37">
        <f>AVERAGE(Q22:R22)</f>
        <v>2.0408163265306124E-3</v>
      </c>
    </row>
    <row r="23" spans="1:20" s="21" customFormat="1" ht="39.9" customHeight="1" x14ac:dyDescent="0.3">
      <c r="A23" s="23" t="s">
        <v>65</v>
      </c>
      <c r="B23" s="114">
        <v>0</v>
      </c>
      <c r="C23" s="114">
        <v>0</v>
      </c>
      <c r="D23" s="37">
        <f>AVERAGE(B23:C23)</f>
        <v>0</v>
      </c>
      <c r="E23" s="27"/>
      <c r="F23" s="23" t="s">
        <v>65</v>
      </c>
      <c r="G23" s="38">
        <v>0</v>
      </c>
      <c r="H23" s="38">
        <v>0</v>
      </c>
      <c r="I23" s="37">
        <f>AVERAGE(G23:H23)</f>
        <v>0</v>
      </c>
      <c r="J23" s="27"/>
      <c r="K23" s="23" t="s">
        <v>65</v>
      </c>
      <c r="L23" s="114">
        <v>0</v>
      </c>
      <c r="M23" s="114">
        <v>0</v>
      </c>
      <c r="N23" s="37">
        <f>AVERAGE(L23:M23)</f>
        <v>0</v>
      </c>
      <c r="O23" s="27"/>
      <c r="P23" s="23" t="s">
        <v>65</v>
      </c>
      <c r="Q23" s="114">
        <f>0/350</f>
        <v>0</v>
      </c>
      <c r="R23" s="114">
        <f>1/390</f>
        <v>2.5641025641025641E-3</v>
      </c>
      <c r="S23" s="37">
        <f>AVERAGE(Q23:R23)</f>
        <v>1.2820512820512821E-3</v>
      </c>
    </row>
    <row r="24" spans="1:20" s="21" customFormat="1" ht="39.9" customHeight="1" x14ac:dyDescent="0.3">
      <c r="A24" s="23" t="s">
        <v>66</v>
      </c>
      <c r="B24" s="38">
        <f>0/430</f>
        <v>0</v>
      </c>
      <c r="C24" s="38">
        <f>0/350</f>
        <v>0</v>
      </c>
      <c r="D24" s="37">
        <f>AVERAGE(B24:C24)</f>
        <v>0</v>
      </c>
      <c r="E24" s="27"/>
      <c r="F24" s="23" t="s">
        <v>66</v>
      </c>
      <c r="G24" s="38">
        <v>0</v>
      </c>
      <c r="H24" s="38">
        <v>0</v>
      </c>
      <c r="I24" s="37">
        <f>AVERAGE(G24:H24)</f>
        <v>0</v>
      </c>
      <c r="J24" s="27"/>
      <c r="K24" s="23" t="s">
        <v>66</v>
      </c>
      <c r="L24" s="114">
        <f>0/280</f>
        <v>0</v>
      </c>
      <c r="M24" s="114">
        <f>0/320</f>
        <v>0</v>
      </c>
      <c r="N24" s="37">
        <f>AVERAGE(L24:M24)</f>
        <v>0</v>
      </c>
      <c r="O24" s="27"/>
      <c r="P24" s="23" t="s">
        <v>79</v>
      </c>
      <c r="Q24" s="114">
        <f>0/470</f>
        <v>0</v>
      </c>
      <c r="R24" s="114">
        <f>0/460</f>
        <v>0</v>
      </c>
      <c r="S24" s="37">
        <f>AVERAGE(Q24:R24)</f>
        <v>0</v>
      </c>
    </row>
    <row r="25" spans="1:20" s="21" customFormat="1" ht="39.9" customHeight="1" thickBot="1" x14ac:dyDescent="0.35">
      <c r="A25" s="23" t="s">
        <v>67</v>
      </c>
      <c r="B25" s="39">
        <f>0/370</f>
        <v>0</v>
      </c>
      <c r="C25" s="39">
        <f>0/220</f>
        <v>0</v>
      </c>
      <c r="D25" s="37">
        <f>AVERAGE(B25:C25)</f>
        <v>0</v>
      </c>
      <c r="E25" s="27"/>
      <c r="F25" s="23" t="s">
        <v>67</v>
      </c>
      <c r="G25" s="39">
        <v>0</v>
      </c>
      <c r="H25" s="39">
        <v>0</v>
      </c>
      <c r="I25" s="37">
        <f>AVERAGE(G25:H25)</f>
        <v>0</v>
      </c>
      <c r="J25" s="27"/>
      <c r="K25" s="23" t="s">
        <v>74</v>
      </c>
      <c r="L25" s="115">
        <f>0/300</f>
        <v>0</v>
      </c>
      <c r="M25" s="115">
        <f>0/430</f>
        <v>0</v>
      </c>
      <c r="N25" s="37">
        <f>AVERAGE(L25:M25)</f>
        <v>0</v>
      </c>
      <c r="O25" s="27"/>
      <c r="P25" s="23" t="s">
        <v>67</v>
      </c>
      <c r="Q25" s="39">
        <f>0/400</f>
        <v>0</v>
      </c>
      <c r="R25" s="39">
        <f>0/320</f>
        <v>0</v>
      </c>
      <c r="S25" s="37">
        <f>AVERAGE(Q25:R25)</f>
        <v>0</v>
      </c>
    </row>
    <row r="26" spans="1:20" ht="57.6" x14ac:dyDescent="0.3">
      <c r="A26" s="22"/>
      <c r="B26" s="19"/>
      <c r="C26" s="33" t="s">
        <v>72</v>
      </c>
      <c r="D26" s="40">
        <f>AVERAGE(D24)</f>
        <v>0</v>
      </c>
      <c r="E26" s="32"/>
      <c r="F26" s="32"/>
      <c r="G26" s="32"/>
      <c r="H26" s="33" t="s">
        <v>72</v>
      </c>
      <c r="I26" s="40">
        <f>AVERAGE(I22)</f>
        <v>1.2195121951219512E-3</v>
      </c>
      <c r="J26" s="32"/>
      <c r="K26" s="32"/>
      <c r="L26" s="32"/>
      <c r="M26" s="33" t="s">
        <v>72</v>
      </c>
      <c r="N26" s="40">
        <f>AVERAGE(N21:N22,N24:N25)</f>
        <v>4.3103448275862068E-4</v>
      </c>
      <c r="O26" s="32"/>
      <c r="P26" s="32"/>
      <c r="Q26" s="32"/>
      <c r="R26" s="33" t="s">
        <v>72</v>
      </c>
      <c r="S26" s="40">
        <f>AVERAGE(S21:S25)</f>
        <v>9.502878074306645E-4</v>
      </c>
      <c r="T26" s="19"/>
    </row>
  </sheetData>
  <pageMargins left="0.7" right="0.7" top="0.75" bottom="0.75" header="0.3" footer="0.3"/>
  <pageSetup paperSize="9" scale="8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topLeftCell="A4" zoomScaleNormal="100" workbookViewId="0">
      <selection activeCell="V10" sqref="V10"/>
    </sheetView>
  </sheetViews>
  <sheetFormatPr defaultRowHeight="14.4" x14ac:dyDescent="0.3"/>
  <cols>
    <col min="2" max="2" width="10.6640625" bestFit="1" customWidth="1"/>
    <col min="5" max="5" width="6" customWidth="1"/>
    <col min="6" max="6" width="11.5546875" customWidth="1"/>
    <col min="10" max="10" width="6" customWidth="1"/>
    <col min="11" max="11" width="15" customWidth="1"/>
    <col min="15" max="15" width="6" customWidth="1"/>
    <col min="16" max="16" width="14.6640625" customWidth="1"/>
  </cols>
  <sheetData>
    <row r="1" spans="1:22" ht="23.4" x14ac:dyDescent="0.45">
      <c r="A1" s="31" t="s">
        <v>47</v>
      </c>
    </row>
    <row r="3" spans="1:22" x14ac:dyDescent="0.3">
      <c r="A3" s="6" t="s">
        <v>44</v>
      </c>
      <c r="B3" t="s">
        <v>62</v>
      </c>
    </row>
    <row r="4" spans="1:22" x14ac:dyDescent="0.3">
      <c r="A4" t="s">
        <v>11</v>
      </c>
      <c r="B4" s="28">
        <v>42131</v>
      </c>
    </row>
    <row r="6" spans="1:22" ht="21" x14ac:dyDescent="0.4">
      <c r="A6" s="29" t="s">
        <v>27</v>
      </c>
    </row>
    <row r="7" spans="1:22" x14ac:dyDescent="0.3">
      <c r="A7" s="9" t="s">
        <v>28</v>
      </c>
      <c r="F7" s="9" t="s">
        <v>29</v>
      </c>
      <c r="K7" s="9" t="s">
        <v>30</v>
      </c>
      <c r="P7" s="9" t="s">
        <v>35</v>
      </c>
    </row>
    <row r="8" spans="1:22" ht="15" thickBot="1" x14ac:dyDescent="0.35">
      <c r="B8" s="30" t="s">
        <v>71</v>
      </c>
      <c r="C8" s="30" t="s">
        <v>70</v>
      </c>
      <c r="D8" s="30" t="s">
        <v>13</v>
      </c>
      <c r="G8" s="30" t="s">
        <v>71</v>
      </c>
      <c r="H8" s="30" t="s">
        <v>70</v>
      </c>
      <c r="I8" s="30" t="s">
        <v>13</v>
      </c>
      <c r="L8" s="30" t="s">
        <v>71</v>
      </c>
      <c r="M8" s="30" t="s">
        <v>70</v>
      </c>
      <c r="N8" s="30" t="s">
        <v>13</v>
      </c>
      <c r="Q8" s="30" t="s">
        <v>71</v>
      </c>
      <c r="R8" s="30" t="s">
        <v>70</v>
      </c>
      <c r="S8" s="30" t="s">
        <v>13</v>
      </c>
    </row>
    <row r="9" spans="1:22" s="21" customFormat="1" ht="39.9" customHeight="1" x14ac:dyDescent="0.3">
      <c r="A9" s="23" t="s">
        <v>63</v>
      </c>
      <c r="B9" s="36">
        <v>0</v>
      </c>
      <c r="C9" s="36">
        <v>0</v>
      </c>
      <c r="D9" s="37">
        <f>AVERAGE(B9:C9)</f>
        <v>0</v>
      </c>
      <c r="E9" s="27"/>
      <c r="F9" s="23" t="s">
        <v>63</v>
      </c>
      <c r="G9" s="36">
        <v>0</v>
      </c>
      <c r="H9" s="36">
        <v>0</v>
      </c>
      <c r="I9" s="37">
        <f>AVERAGE(G9:H9)</f>
        <v>0</v>
      </c>
      <c r="J9" s="27"/>
      <c r="K9" s="23" t="s">
        <v>63</v>
      </c>
      <c r="L9" s="36">
        <v>0</v>
      </c>
      <c r="M9" s="36">
        <v>0</v>
      </c>
      <c r="N9" s="37">
        <f>AVERAGE(L9:M9)</f>
        <v>0</v>
      </c>
      <c r="O9" s="27"/>
      <c r="P9" s="118" t="s">
        <v>101</v>
      </c>
      <c r="Q9" s="36">
        <f>25/370</f>
        <v>6.7567567567567571E-2</v>
      </c>
      <c r="R9" s="36">
        <f>35/490</f>
        <v>7.1428571428571425E-2</v>
      </c>
      <c r="S9" s="37">
        <f>AVERAGE(Q9:R9)</f>
        <v>6.9498069498069498E-2</v>
      </c>
    </row>
    <row r="10" spans="1:22" s="21" customFormat="1" ht="39.9" customHeight="1" x14ac:dyDescent="0.3">
      <c r="A10" s="23" t="s">
        <v>64</v>
      </c>
      <c r="B10" s="38">
        <v>0</v>
      </c>
      <c r="C10" s="38">
        <v>0</v>
      </c>
      <c r="D10" s="37">
        <f>AVERAGE(B10:C10)</f>
        <v>0</v>
      </c>
      <c r="E10" s="27"/>
      <c r="F10" s="23" t="s">
        <v>64</v>
      </c>
      <c r="G10" s="38">
        <v>0</v>
      </c>
      <c r="H10" s="38">
        <v>0</v>
      </c>
      <c r="I10" s="37">
        <f>AVERAGE(G10:H10)</f>
        <v>0</v>
      </c>
      <c r="J10" s="27"/>
      <c r="K10" s="23" t="s">
        <v>64</v>
      </c>
      <c r="L10" s="38">
        <v>0</v>
      </c>
      <c r="M10" s="38">
        <v>0</v>
      </c>
      <c r="N10" s="37">
        <f>AVERAGE(L10:M10)</f>
        <v>0</v>
      </c>
      <c r="O10" s="27"/>
      <c r="P10" s="23" t="s">
        <v>64</v>
      </c>
      <c r="Q10" s="38">
        <f>12/330</f>
        <v>3.6363636363636362E-2</v>
      </c>
      <c r="R10" s="38">
        <f>15/380</f>
        <v>3.9473684210526314E-2</v>
      </c>
      <c r="S10" s="37">
        <f>AVERAGE(Q10:R10)</f>
        <v>3.7918660287081338E-2</v>
      </c>
      <c r="V10" s="21" t="s">
        <v>98</v>
      </c>
    </row>
    <row r="11" spans="1:22" s="21" customFormat="1" ht="39.9" customHeight="1" x14ac:dyDescent="0.3">
      <c r="A11" s="23" t="s">
        <v>65</v>
      </c>
      <c r="B11" s="38">
        <v>0</v>
      </c>
      <c r="C11" s="38">
        <v>0</v>
      </c>
      <c r="D11" s="37">
        <f>AVERAGE(B11:C11)</f>
        <v>0</v>
      </c>
      <c r="E11" s="27"/>
      <c r="F11" s="23" t="s">
        <v>65</v>
      </c>
      <c r="G11" s="38">
        <f>16/390</f>
        <v>4.1025641025641026E-2</v>
      </c>
      <c r="H11" s="38">
        <f>19/420</f>
        <v>4.5238095238095237E-2</v>
      </c>
      <c r="I11" s="37">
        <f>AVERAGE(G11:H11)</f>
        <v>4.3131868131868131E-2</v>
      </c>
      <c r="J11" s="27"/>
      <c r="K11" s="23" t="s">
        <v>65</v>
      </c>
      <c r="L11" s="38">
        <f>8/260</f>
        <v>3.0769230769230771E-2</v>
      </c>
      <c r="M11" s="38">
        <f>15/460</f>
        <v>3.2608695652173912E-2</v>
      </c>
      <c r="N11" s="37">
        <f>AVERAGE(L11:M11)</f>
        <v>3.1688963210702345E-2</v>
      </c>
      <c r="O11" s="27"/>
      <c r="P11" s="23" t="s">
        <v>65</v>
      </c>
      <c r="Q11" s="38">
        <v>0</v>
      </c>
      <c r="R11" s="38">
        <v>0</v>
      </c>
      <c r="S11" s="37">
        <f>AVERAGE(Q11:R11)</f>
        <v>0</v>
      </c>
    </row>
    <row r="12" spans="1:22" s="21" customFormat="1" ht="39.9" customHeight="1" x14ac:dyDescent="0.3">
      <c r="A12" s="23" t="s">
        <v>66</v>
      </c>
      <c r="B12" s="38">
        <v>0</v>
      </c>
      <c r="C12" s="38">
        <v>0</v>
      </c>
      <c r="D12" s="37">
        <f>AVERAGE(B12:C12)</f>
        <v>0</v>
      </c>
      <c r="E12" s="27"/>
      <c r="F12" s="23" t="s">
        <v>66</v>
      </c>
      <c r="G12" s="38">
        <v>0</v>
      </c>
      <c r="H12" s="38">
        <v>0</v>
      </c>
      <c r="I12" s="37">
        <f>AVERAGE(G12:H12)</f>
        <v>0</v>
      </c>
      <c r="J12" s="27"/>
      <c r="K12" s="23" t="s">
        <v>66</v>
      </c>
      <c r="L12" s="38">
        <v>0</v>
      </c>
      <c r="M12" s="38">
        <v>0</v>
      </c>
      <c r="N12" s="37">
        <f>AVERAGE(L12:M12)</f>
        <v>0</v>
      </c>
      <c r="O12" s="27"/>
      <c r="P12" s="23" t="s">
        <v>66</v>
      </c>
      <c r="Q12" s="38">
        <f>29/470</f>
        <v>6.1702127659574467E-2</v>
      </c>
      <c r="R12" s="38">
        <f>34/490</f>
        <v>6.9387755102040816E-2</v>
      </c>
      <c r="S12" s="37">
        <f>AVERAGE(Q12:R12)</f>
        <v>6.5544941380807645E-2</v>
      </c>
    </row>
    <row r="13" spans="1:22" s="21" customFormat="1" ht="39.9" customHeight="1" thickBot="1" x14ac:dyDescent="0.35">
      <c r="A13" s="23" t="s">
        <v>67</v>
      </c>
      <c r="B13" s="39">
        <v>0</v>
      </c>
      <c r="C13" s="39">
        <v>0</v>
      </c>
      <c r="D13" s="37">
        <f>AVERAGE(B13:C13)</f>
        <v>0</v>
      </c>
      <c r="E13" s="27"/>
      <c r="F13" s="23" t="s">
        <v>67</v>
      </c>
      <c r="G13" s="39">
        <v>0</v>
      </c>
      <c r="H13" s="39">
        <v>0</v>
      </c>
      <c r="I13" s="37">
        <f>AVERAGE(G13:H13)</f>
        <v>0</v>
      </c>
      <c r="J13" s="27"/>
      <c r="K13" s="23" t="s">
        <v>67</v>
      </c>
      <c r="L13" s="39">
        <f>30/330</f>
        <v>9.0909090909090912E-2</v>
      </c>
      <c r="M13" s="39">
        <f>49/390</f>
        <v>0.12564102564102564</v>
      </c>
      <c r="N13" s="37">
        <f>AVERAGE(L13:M13)</f>
        <v>0.10827505827505828</v>
      </c>
      <c r="O13" s="27"/>
      <c r="P13" s="23" t="s">
        <v>67</v>
      </c>
      <c r="Q13" s="39">
        <v>0</v>
      </c>
      <c r="R13" s="39">
        <v>0</v>
      </c>
      <c r="S13" s="37">
        <f>AVERAGE(Q13:R13)</f>
        <v>0</v>
      </c>
    </row>
    <row r="14" spans="1:22" ht="57.6" x14ac:dyDescent="0.3">
      <c r="A14" s="22"/>
      <c r="B14" s="19"/>
      <c r="C14" s="33" t="s">
        <v>72</v>
      </c>
      <c r="D14" s="35">
        <f>AVERAGE(D9:D13)</f>
        <v>0</v>
      </c>
      <c r="E14" s="34"/>
      <c r="F14" s="33"/>
      <c r="G14" s="34"/>
      <c r="H14" s="33" t="s">
        <v>72</v>
      </c>
      <c r="I14" s="35">
        <f>AVERAGE(I11)</f>
        <v>4.3131868131868131E-2</v>
      </c>
      <c r="J14" s="34"/>
      <c r="K14" s="33"/>
      <c r="L14" s="34"/>
      <c r="M14" s="33" t="s">
        <v>72</v>
      </c>
      <c r="N14" s="35">
        <f>AVERAGE(N11,N13)</f>
        <v>6.998201074288031E-2</v>
      </c>
      <c r="O14" s="34"/>
      <c r="P14" s="33"/>
      <c r="Q14" s="34"/>
      <c r="R14" s="33" t="s">
        <v>72</v>
      </c>
      <c r="S14" s="35">
        <f>AVERAGE(S9:S10, S12)</f>
        <v>5.7653890388652825E-2</v>
      </c>
      <c r="T14" s="19"/>
    </row>
    <row r="18" spans="1:20" ht="21" x14ac:dyDescent="0.4">
      <c r="A18" s="29" t="s">
        <v>43</v>
      </c>
    </row>
    <row r="19" spans="1:20" x14ac:dyDescent="0.3">
      <c r="A19" s="9" t="s">
        <v>28</v>
      </c>
      <c r="F19" s="9" t="s">
        <v>29</v>
      </c>
      <c r="K19" s="9" t="s">
        <v>30</v>
      </c>
      <c r="P19" s="9" t="s">
        <v>35</v>
      </c>
    </row>
    <row r="20" spans="1:20" ht="15" thickBot="1" x14ac:dyDescent="0.35">
      <c r="B20" s="30" t="s">
        <v>71</v>
      </c>
      <c r="C20" s="30" t="s">
        <v>70</v>
      </c>
      <c r="D20" s="30" t="s">
        <v>13</v>
      </c>
      <c r="G20" s="30" t="s">
        <v>71</v>
      </c>
      <c r="H20" s="30" t="s">
        <v>70</v>
      </c>
      <c r="I20" s="30" t="s">
        <v>13</v>
      </c>
      <c r="L20" s="30" t="s">
        <v>71</v>
      </c>
      <c r="M20" s="30" t="s">
        <v>70</v>
      </c>
      <c r="N20" s="30" t="s">
        <v>13</v>
      </c>
      <c r="Q20" s="30" t="s">
        <v>71</v>
      </c>
      <c r="R20" s="30" t="s">
        <v>70</v>
      </c>
      <c r="S20" s="30" t="s">
        <v>13</v>
      </c>
    </row>
    <row r="21" spans="1:20" s="21" customFormat="1" ht="39.9" customHeight="1" x14ac:dyDescent="0.3">
      <c r="A21" s="23" t="s">
        <v>63</v>
      </c>
      <c r="B21" s="36">
        <v>0</v>
      </c>
      <c r="C21" s="36">
        <v>0</v>
      </c>
      <c r="D21" s="37">
        <f>AVERAGE(B21:C21)</f>
        <v>0</v>
      </c>
      <c r="E21" s="27"/>
      <c r="F21" s="23" t="s">
        <v>63</v>
      </c>
      <c r="G21" s="36">
        <v>0</v>
      </c>
      <c r="H21" s="36">
        <v>0</v>
      </c>
      <c r="I21" s="37">
        <f>AVERAGE(G21:H21)</f>
        <v>0</v>
      </c>
      <c r="J21" s="27"/>
      <c r="K21" s="23" t="s">
        <v>63</v>
      </c>
      <c r="L21" s="36">
        <v>0</v>
      </c>
      <c r="M21" s="36">
        <v>0</v>
      </c>
      <c r="N21" s="37">
        <f>AVERAGE(L21:M21)</f>
        <v>0</v>
      </c>
      <c r="O21" s="27"/>
      <c r="P21" s="23" t="s">
        <v>102</v>
      </c>
      <c r="Q21" s="36">
        <f>0/370</f>
        <v>0</v>
      </c>
      <c r="R21" s="36">
        <f>0/490</f>
        <v>0</v>
      </c>
      <c r="S21" s="37">
        <f>AVERAGE(Q21:R21)</f>
        <v>0</v>
      </c>
    </row>
    <row r="22" spans="1:20" s="21" customFormat="1" ht="39.9" customHeight="1" x14ac:dyDescent="0.3">
      <c r="A22" s="23" t="s">
        <v>64</v>
      </c>
      <c r="B22" s="38">
        <v>0</v>
      </c>
      <c r="C22" s="38">
        <v>0</v>
      </c>
      <c r="D22" s="37">
        <f>AVERAGE(B22:C22)</f>
        <v>0</v>
      </c>
      <c r="E22" s="27"/>
      <c r="F22" s="23" t="s">
        <v>64</v>
      </c>
      <c r="G22" s="38">
        <v>0</v>
      </c>
      <c r="H22" s="38">
        <v>0</v>
      </c>
      <c r="I22" s="37">
        <f>AVERAGE(G22:H22)</f>
        <v>0</v>
      </c>
      <c r="J22" s="27"/>
      <c r="K22" s="23" t="s">
        <v>64</v>
      </c>
      <c r="L22" s="38">
        <v>0</v>
      </c>
      <c r="M22" s="38">
        <v>0</v>
      </c>
      <c r="N22" s="37">
        <f>AVERAGE(L22:M22)</f>
        <v>0</v>
      </c>
      <c r="O22" s="27"/>
      <c r="P22" s="23" t="s">
        <v>64</v>
      </c>
      <c r="Q22" s="38">
        <f>0/330</f>
        <v>0</v>
      </c>
      <c r="R22" s="38">
        <f>0/380</f>
        <v>0</v>
      </c>
      <c r="S22" s="37">
        <f>AVERAGE(Q22:R22)</f>
        <v>0</v>
      </c>
    </row>
    <row r="23" spans="1:20" s="21" customFormat="1" ht="39.9" customHeight="1" x14ac:dyDescent="0.3">
      <c r="A23" s="23" t="s">
        <v>65</v>
      </c>
      <c r="B23" s="38">
        <v>0</v>
      </c>
      <c r="C23" s="38">
        <v>0</v>
      </c>
      <c r="D23" s="37">
        <f>AVERAGE(B23:C23)</f>
        <v>0</v>
      </c>
      <c r="E23" s="27"/>
      <c r="F23" s="23" t="s">
        <v>65</v>
      </c>
      <c r="G23" s="38">
        <f>0/390</f>
        <v>0</v>
      </c>
      <c r="H23" s="38">
        <f>0/420</f>
        <v>0</v>
      </c>
      <c r="I23" s="37">
        <f>AVERAGE(G23:H23)</f>
        <v>0</v>
      </c>
      <c r="J23" s="27"/>
      <c r="K23" s="23" t="s">
        <v>65</v>
      </c>
      <c r="L23" s="38">
        <f>0/260</f>
        <v>0</v>
      </c>
      <c r="M23" s="38">
        <f>0/460</f>
        <v>0</v>
      </c>
      <c r="N23" s="37">
        <f>AVERAGE(L23:M23)</f>
        <v>0</v>
      </c>
      <c r="O23" s="27"/>
      <c r="P23" s="23" t="s">
        <v>65</v>
      </c>
      <c r="Q23" s="38">
        <v>0</v>
      </c>
      <c r="R23" s="38">
        <v>0</v>
      </c>
      <c r="S23" s="37">
        <f>AVERAGE(Q23:R23)</f>
        <v>0</v>
      </c>
    </row>
    <row r="24" spans="1:20" s="21" customFormat="1" ht="39.9" customHeight="1" x14ac:dyDescent="0.3">
      <c r="A24" s="23" t="s">
        <v>66</v>
      </c>
      <c r="B24" s="38">
        <v>0</v>
      </c>
      <c r="C24" s="38">
        <v>0</v>
      </c>
      <c r="D24" s="37">
        <f>AVERAGE(B24:C24)</f>
        <v>0</v>
      </c>
      <c r="E24" s="27"/>
      <c r="F24" s="23" t="s">
        <v>66</v>
      </c>
      <c r="G24" s="38">
        <v>0</v>
      </c>
      <c r="H24" s="38">
        <v>0</v>
      </c>
      <c r="I24" s="37">
        <f>AVERAGE(G24:H24)</f>
        <v>0</v>
      </c>
      <c r="J24" s="27"/>
      <c r="K24" s="23" t="s">
        <v>66</v>
      </c>
      <c r="L24" s="38">
        <v>0</v>
      </c>
      <c r="M24" s="38">
        <v>0</v>
      </c>
      <c r="N24" s="37">
        <f>AVERAGE(L24:M24)</f>
        <v>0</v>
      </c>
      <c r="O24" s="27"/>
      <c r="P24" s="23" t="s">
        <v>66</v>
      </c>
      <c r="Q24" s="38">
        <f>1/470</f>
        <v>2.1276595744680851E-3</v>
      </c>
      <c r="R24" s="38">
        <f>1/490</f>
        <v>2.0408163265306124E-3</v>
      </c>
      <c r="S24" s="37">
        <f>AVERAGE(Q24:R24)</f>
        <v>2.0842379504993486E-3</v>
      </c>
    </row>
    <row r="25" spans="1:20" s="21" customFormat="1" ht="39.9" customHeight="1" thickBot="1" x14ac:dyDescent="0.35">
      <c r="A25" s="23" t="s">
        <v>67</v>
      </c>
      <c r="B25" s="39">
        <v>0</v>
      </c>
      <c r="C25" s="39">
        <v>0</v>
      </c>
      <c r="D25" s="37">
        <f>AVERAGE(B25:C25)</f>
        <v>0</v>
      </c>
      <c r="E25" s="27"/>
      <c r="F25" s="23" t="s">
        <v>67</v>
      </c>
      <c r="G25" s="39">
        <v>0</v>
      </c>
      <c r="H25" s="39">
        <v>0</v>
      </c>
      <c r="I25" s="37">
        <f>AVERAGE(G25:H25)</f>
        <v>0</v>
      </c>
      <c r="J25" s="27"/>
      <c r="K25" s="23" t="s">
        <v>67</v>
      </c>
      <c r="L25" s="39">
        <f>1/330</f>
        <v>3.0303030303030303E-3</v>
      </c>
      <c r="M25" s="39">
        <f>0/390</f>
        <v>0</v>
      </c>
      <c r="N25" s="37">
        <f>AVERAGE(L25:M25)</f>
        <v>1.5151515151515152E-3</v>
      </c>
      <c r="O25" s="27"/>
      <c r="P25" s="23" t="s">
        <v>67</v>
      </c>
      <c r="Q25" s="39">
        <v>0</v>
      </c>
      <c r="R25" s="39">
        <v>0</v>
      </c>
      <c r="S25" s="37">
        <f>AVERAGE(Q25:R25)</f>
        <v>0</v>
      </c>
    </row>
    <row r="26" spans="1:20" ht="57.6" x14ac:dyDescent="0.3">
      <c r="A26" s="22"/>
      <c r="B26" s="19"/>
      <c r="C26" s="33" t="s">
        <v>72</v>
      </c>
      <c r="D26" s="40">
        <f>AVERAGE(D21:D25)</f>
        <v>0</v>
      </c>
      <c r="E26" s="32"/>
      <c r="F26" s="32"/>
      <c r="G26" s="32"/>
      <c r="H26" s="33" t="s">
        <v>72</v>
      </c>
      <c r="I26" s="40">
        <f>AVERAGE(I21:I25)</f>
        <v>0</v>
      </c>
      <c r="J26" s="32"/>
      <c r="K26" s="32"/>
      <c r="L26" s="32"/>
      <c r="M26" s="33" t="s">
        <v>72</v>
      </c>
      <c r="N26" s="40">
        <f>AVERAGE(N25, N23)</f>
        <v>7.5757575757575758E-4</v>
      </c>
      <c r="O26" s="32"/>
      <c r="P26" s="32"/>
      <c r="Q26" s="32"/>
      <c r="R26" s="33" t="s">
        <v>72</v>
      </c>
      <c r="S26" s="40">
        <f>AVERAGE(S21:S22, S24)</f>
        <v>6.9474598349978289E-4</v>
      </c>
      <c r="T26" s="19"/>
    </row>
  </sheetData>
  <pageMargins left="0.7" right="0.7" top="0.75" bottom="0.75" header="0.3" footer="0.3"/>
  <pageSetup paperSize="9" scale="8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6"/>
  <sheetViews>
    <sheetView topLeftCell="A16" workbookViewId="0">
      <selection activeCell="V14" sqref="V14"/>
    </sheetView>
  </sheetViews>
  <sheetFormatPr defaultRowHeight="14.4" x14ac:dyDescent="0.3"/>
  <cols>
    <col min="2" max="2" width="10.6640625" bestFit="1" customWidth="1"/>
    <col min="5" max="5" width="6" customWidth="1"/>
    <col min="6" max="6" width="11.5546875" customWidth="1"/>
    <col min="10" max="10" width="6" customWidth="1"/>
    <col min="11" max="11" width="15" customWidth="1"/>
    <col min="15" max="15" width="6" customWidth="1"/>
    <col min="16" max="16" width="14.6640625" customWidth="1"/>
  </cols>
  <sheetData>
    <row r="1" spans="1:21" ht="23.4" x14ac:dyDescent="0.45">
      <c r="A1" s="31" t="s">
        <v>51</v>
      </c>
    </row>
    <row r="3" spans="1:21" x14ac:dyDescent="0.3">
      <c r="A3" s="6" t="s">
        <v>44</v>
      </c>
      <c r="B3" t="s">
        <v>62</v>
      </c>
    </row>
    <row r="4" spans="1:21" x14ac:dyDescent="0.3">
      <c r="A4" t="s">
        <v>11</v>
      </c>
      <c r="B4" s="28">
        <v>42162</v>
      </c>
    </row>
    <row r="6" spans="1:21" ht="21" x14ac:dyDescent="0.4">
      <c r="A6" s="29" t="s">
        <v>27</v>
      </c>
    </row>
    <row r="7" spans="1:21" x14ac:dyDescent="0.3">
      <c r="A7" s="9" t="s">
        <v>28</v>
      </c>
      <c r="F7" s="9" t="s">
        <v>29</v>
      </c>
      <c r="K7" s="9" t="s">
        <v>30</v>
      </c>
      <c r="P7" s="9" t="s">
        <v>35</v>
      </c>
    </row>
    <row r="8" spans="1:21" ht="15" thickBot="1" x14ac:dyDescent="0.35">
      <c r="B8" s="30" t="s">
        <v>71</v>
      </c>
      <c r="C8" s="30" t="s">
        <v>70</v>
      </c>
      <c r="D8" s="30" t="s">
        <v>13</v>
      </c>
      <c r="G8" s="30" t="s">
        <v>71</v>
      </c>
      <c r="H8" s="30" t="s">
        <v>70</v>
      </c>
      <c r="I8" s="30" t="s">
        <v>13</v>
      </c>
      <c r="L8" s="30" t="s">
        <v>71</v>
      </c>
      <c r="M8" s="30" t="s">
        <v>70</v>
      </c>
      <c r="N8" s="30" t="s">
        <v>13</v>
      </c>
      <c r="Q8" s="30" t="s">
        <v>71</v>
      </c>
      <c r="R8" s="30" t="s">
        <v>70</v>
      </c>
      <c r="S8" s="30" t="s">
        <v>13</v>
      </c>
    </row>
    <row r="9" spans="1:21" s="21" customFormat="1" ht="39.9" customHeight="1" x14ac:dyDescent="0.3">
      <c r="A9" s="23" t="s">
        <v>63</v>
      </c>
      <c r="B9" s="36">
        <v>0</v>
      </c>
      <c r="C9" s="36">
        <v>0</v>
      </c>
      <c r="D9" s="37">
        <f>AVERAGE(B9:C9)</f>
        <v>0</v>
      </c>
      <c r="E9" s="27"/>
      <c r="F9" s="23" t="s">
        <v>63</v>
      </c>
      <c r="G9" s="36">
        <v>0</v>
      </c>
      <c r="H9" s="36">
        <v>0</v>
      </c>
      <c r="I9" s="37">
        <f>AVERAGE(G9:H9)</f>
        <v>0</v>
      </c>
      <c r="J9" s="27"/>
      <c r="K9" s="23" t="s">
        <v>63</v>
      </c>
      <c r="L9" s="36">
        <v>0</v>
      </c>
      <c r="M9" s="36">
        <v>0</v>
      </c>
      <c r="N9" s="37">
        <f>AVERAGE(L9:M9)</f>
        <v>0</v>
      </c>
      <c r="O9" s="27"/>
      <c r="P9" s="23" t="s">
        <v>63</v>
      </c>
      <c r="Q9" s="36">
        <v>0</v>
      </c>
      <c r="R9" s="36">
        <v>0</v>
      </c>
      <c r="S9" s="37">
        <f>AVERAGE(Q9:R9)</f>
        <v>0</v>
      </c>
    </row>
    <row r="10" spans="1:21" s="21" customFormat="1" ht="39.9" customHeight="1" x14ac:dyDescent="0.3">
      <c r="A10" s="23" t="s">
        <v>64</v>
      </c>
      <c r="B10" s="38">
        <v>0</v>
      </c>
      <c r="C10" s="38">
        <v>0</v>
      </c>
      <c r="D10" s="37">
        <f>AVERAGE(B10:C10)</f>
        <v>0</v>
      </c>
      <c r="E10" s="27"/>
      <c r="F10" s="23" t="s">
        <v>64</v>
      </c>
      <c r="G10" s="38">
        <v>0</v>
      </c>
      <c r="H10" s="38">
        <v>0</v>
      </c>
      <c r="I10" s="37">
        <f>AVERAGE(G10:H10)</f>
        <v>0</v>
      </c>
      <c r="J10" s="27"/>
      <c r="K10" s="23" t="s">
        <v>64</v>
      </c>
      <c r="L10" s="38">
        <v>0</v>
      </c>
      <c r="M10" s="38">
        <v>0</v>
      </c>
      <c r="N10" s="37">
        <f>AVERAGE(L10:M10)</f>
        <v>0</v>
      </c>
      <c r="O10" s="27"/>
      <c r="P10" s="23" t="s">
        <v>89</v>
      </c>
      <c r="Q10" s="38">
        <f>23/260</f>
        <v>8.8461538461538466E-2</v>
      </c>
      <c r="R10" s="38">
        <f>43/340</f>
        <v>0.12647058823529411</v>
      </c>
      <c r="S10" s="37">
        <f>AVERAGE(Q10:R10)</f>
        <v>0.1074660633484163</v>
      </c>
      <c r="U10" s="21" t="s">
        <v>98</v>
      </c>
    </row>
    <row r="11" spans="1:21" s="21" customFormat="1" ht="39.9" customHeight="1" x14ac:dyDescent="0.3">
      <c r="A11" s="23" t="s">
        <v>65</v>
      </c>
      <c r="B11" s="38">
        <f>19/350</f>
        <v>5.4285714285714284E-2</v>
      </c>
      <c r="C11" s="38">
        <f>18/320</f>
        <v>5.6250000000000001E-2</v>
      </c>
      <c r="D11" s="37">
        <f>AVERAGE(B11:C11)</f>
        <v>5.5267857142857146E-2</v>
      </c>
      <c r="E11" s="27"/>
      <c r="F11" s="23" t="s">
        <v>65</v>
      </c>
      <c r="G11" s="38">
        <f>2/280</f>
        <v>7.1428571428571426E-3</v>
      </c>
      <c r="H11" s="38">
        <f>1/370</f>
        <v>2.7027027027027029E-3</v>
      </c>
      <c r="I11" s="37">
        <f>AVERAGE(G11:H11)</f>
        <v>4.9227799227799223E-3</v>
      </c>
      <c r="J11" s="27"/>
      <c r="K11" s="23" t="s">
        <v>65</v>
      </c>
      <c r="L11" s="38">
        <v>0</v>
      </c>
      <c r="M11" s="38">
        <v>0</v>
      </c>
      <c r="N11" s="37">
        <f>AVERAGE(L11:M11)</f>
        <v>0</v>
      </c>
      <c r="O11" s="27"/>
      <c r="P11" s="23" t="s">
        <v>65</v>
      </c>
      <c r="Q11" s="38">
        <v>0</v>
      </c>
      <c r="R11" s="38">
        <v>0</v>
      </c>
      <c r="S11" s="37">
        <f>AVERAGE(Q11:R11)</f>
        <v>0</v>
      </c>
    </row>
    <row r="12" spans="1:21" s="21" customFormat="1" ht="39.9" customHeight="1" x14ac:dyDescent="0.3">
      <c r="A12" s="23" t="s">
        <v>66</v>
      </c>
      <c r="B12" s="38">
        <v>0</v>
      </c>
      <c r="C12" s="38">
        <v>0</v>
      </c>
      <c r="D12" s="37">
        <f>AVERAGE(B12:C12)</f>
        <v>0</v>
      </c>
      <c r="E12" s="27"/>
      <c r="F12" s="23" t="s">
        <v>66</v>
      </c>
      <c r="G12" s="38">
        <f>46/320</f>
        <v>0.14374999999999999</v>
      </c>
      <c r="H12" s="38">
        <f>30/280</f>
        <v>0.10714285714285714</v>
      </c>
      <c r="I12" s="37">
        <f>AVERAGE(G12:H12)</f>
        <v>0.12544642857142857</v>
      </c>
      <c r="J12" s="27"/>
      <c r="K12" s="23" t="s">
        <v>79</v>
      </c>
      <c r="L12" s="38">
        <f>46/420</f>
        <v>0.10952380952380952</v>
      </c>
      <c r="M12" s="38">
        <f>28/380</f>
        <v>7.3684210526315783E-2</v>
      </c>
      <c r="N12" s="37">
        <f>AVERAGE(L12:M12)</f>
        <v>9.160401002506266E-2</v>
      </c>
      <c r="O12" s="27"/>
      <c r="P12" s="23" t="s">
        <v>66</v>
      </c>
      <c r="Q12" s="38">
        <v>0</v>
      </c>
      <c r="R12" s="38">
        <v>0</v>
      </c>
      <c r="S12" s="37">
        <f>AVERAGE(Q12:R12)</f>
        <v>0</v>
      </c>
    </row>
    <row r="13" spans="1:21" s="21" customFormat="1" ht="39.9" customHeight="1" thickBot="1" x14ac:dyDescent="0.35">
      <c r="A13" s="23" t="s">
        <v>67</v>
      </c>
      <c r="B13" s="39">
        <v>0</v>
      </c>
      <c r="C13" s="39">
        <v>0</v>
      </c>
      <c r="D13" s="37">
        <f>AVERAGE(B13:C13)</f>
        <v>0</v>
      </c>
      <c r="E13" s="27"/>
      <c r="F13" s="23" t="s">
        <v>67</v>
      </c>
      <c r="G13" s="39">
        <v>0</v>
      </c>
      <c r="H13" s="39">
        <v>0</v>
      </c>
      <c r="I13" s="37">
        <f>AVERAGE(G13:H13)</f>
        <v>0</v>
      </c>
      <c r="J13" s="27"/>
      <c r="K13" s="23" t="s">
        <v>67</v>
      </c>
      <c r="L13" s="39">
        <v>0</v>
      </c>
      <c r="M13" s="39">
        <v>0</v>
      </c>
      <c r="N13" s="37">
        <f>AVERAGE(L13:M13)</f>
        <v>0</v>
      </c>
      <c r="O13" s="27"/>
      <c r="P13" s="23" t="s">
        <v>67</v>
      </c>
      <c r="Q13" s="39">
        <v>0</v>
      </c>
      <c r="R13" s="39">
        <v>0</v>
      </c>
      <c r="S13" s="37">
        <f>AVERAGE(Q13:R13)</f>
        <v>0</v>
      </c>
    </row>
    <row r="14" spans="1:21" ht="57.6" x14ac:dyDescent="0.3">
      <c r="A14" s="22"/>
      <c r="B14" s="19"/>
      <c r="C14" s="33" t="s">
        <v>72</v>
      </c>
      <c r="D14" s="35">
        <f>AVERAGE(D11)</f>
        <v>5.5267857142857146E-2</v>
      </c>
      <c r="E14" s="34"/>
      <c r="F14" s="33"/>
      <c r="G14" s="34"/>
      <c r="H14" s="33" t="s">
        <v>72</v>
      </c>
      <c r="I14" s="35">
        <f>AVERAGE(I11:I12)</f>
        <v>6.5184604247104247E-2</v>
      </c>
      <c r="J14" s="34"/>
      <c r="K14" s="33"/>
      <c r="L14" s="34"/>
      <c r="M14" s="33" t="s">
        <v>72</v>
      </c>
      <c r="N14" s="35">
        <f>AVERAGE(N12)</f>
        <v>9.160401002506266E-2</v>
      </c>
      <c r="O14" s="34"/>
      <c r="P14" s="33"/>
      <c r="Q14" s="34"/>
      <c r="R14" s="33" t="s">
        <v>72</v>
      </c>
      <c r="S14" s="35">
        <f>AVERAGE(S10)</f>
        <v>0.1074660633484163</v>
      </c>
      <c r="T14" s="19"/>
    </row>
    <row r="18" spans="1:20" ht="21" x14ac:dyDescent="0.4">
      <c r="A18" s="29" t="s">
        <v>43</v>
      </c>
    </row>
    <row r="19" spans="1:20" x14ac:dyDescent="0.3">
      <c r="A19" s="9" t="s">
        <v>28</v>
      </c>
      <c r="F19" s="9" t="s">
        <v>29</v>
      </c>
      <c r="K19" s="9" t="s">
        <v>30</v>
      </c>
      <c r="P19" s="9" t="s">
        <v>35</v>
      </c>
    </row>
    <row r="20" spans="1:20" ht="15" thickBot="1" x14ac:dyDescent="0.35">
      <c r="B20" s="30" t="s">
        <v>71</v>
      </c>
      <c r="C20" s="30" t="s">
        <v>70</v>
      </c>
      <c r="D20" s="30" t="s">
        <v>13</v>
      </c>
      <c r="G20" s="30" t="s">
        <v>71</v>
      </c>
      <c r="H20" s="30" t="s">
        <v>70</v>
      </c>
      <c r="I20" s="30" t="s">
        <v>13</v>
      </c>
      <c r="L20" s="30" t="s">
        <v>71</v>
      </c>
      <c r="M20" s="30" t="s">
        <v>70</v>
      </c>
      <c r="N20" s="30" t="s">
        <v>13</v>
      </c>
      <c r="Q20" s="30" t="s">
        <v>71</v>
      </c>
      <c r="R20" s="30" t="s">
        <v>70</v>
      </c>
      <c r="S20" s="30" t="s">
        <v>13</v>
      </c>
    </row>
    <row r="21" spans="1:20" s="21" customFormat="1" ht="39.9" customHeight="1" x14ac:dyDescent="0.3">
      <c r="A21" s="23" t="s">
        <v>63</v>
      </c>
      <c r="B21" s="36">
        <v>0</v>
      </c>
      <c r="C21" s="36">
        <v>0</v>
      </c>
      <c r="D21" s="37">
        <f>AVERAGE(B21:C21)</f>
        <v>0</v>
      </c>
      <c r="E21" s="27"/>
      <c r="F21" s="23" t="s">
        <v>63</v>
      </c>
      <c r="G21" s="36">
        <v>0</v>
      </c>
      <c r="H21" s="36">
        <v>0</v>
      </c>
      <c r="I21" s="37">
        <f>AVERAGE(G21:H21)</f>
        <v>0</v>
      </c>
      <c r="J21" s="27"/>
      <c r="K21" s="23" t="s">
        <v>63</v>
      </c>
      <c r="L21" s="36">
        <v>0</v>
      </c>
      <c r="M21" s="36">
        <v>0</v>
      </c>
      <c r="N21" s="37">
        <f>AVERAGE(L21:M21)</f>
        <v>0</v>
      </c>
      <c r="O21" s="27"/>
      <c r="P21" s="23" t="s">
        <v>63</v>
      </c>
      <c r="Q21" s="36">
        <v>0</v>
      </c>
      <c r="R21" s="36">
        <v>0</v>
      </c>
      <c r="S21" s="37">
        <f>AVERAGE(Q21:R21)</f>
        <v>0</v>
      </c>
    </row>
    <row r="22" spans="1:20" s="21" customFormat="1" ht="39.9" customHeight="1" x14ac:dyDescent="0.3">
      <c r="A22" s="23" t="s">
        <v>64</v>
      </c>
      <c r="B22" s="38">
        <v>0</v>
      </c>
      <c r="C22" s="38">
        <v>0</v>
      </c>
      <c r="D22" s="37">
        <f>AVERAGE(B22:C22)</f>
        <v>0</v>
      </c>
      <c r="E22" s="27"/>
      <c r="F22" s="23" t="s">
        <v>64</v>
      </c>
      <c r="G22" s="38">
        <v>0</v>
      </c>
      <c r="H22" s="38">
        <v>0</v>
      </c>
      <c r="I22" s="37">
        <f>AVERAGE(G22:H22)</f>
        <v>0</v>
      </c>
      <c r="J22" s="27"/>
      <c r="K22" s="23" t="s">
        <v>64</v>
      </c>
      <c r="L22" s="38">
        <v>0</v>
      </c>
      <c r="M22" s="38">
        <v>0</v>
      </c>
      <c r="N22" s="37">
        <f>AVERAGE(L22:M22)</f>
        <v>0</v>
      </c>
      <c r="O22" s="27"/>
      <c r="P22" s="23" t="s">
        <v>89</v>
      </c>
      <c r="Q22" s="38">
        <f>0/260</f>
        <v>0</v>
      </c>
      <c r="R22" s="38">
        <f>2/340</f>
        <v>5.8823529411764705E-3</v>
      </c>
      <c r="S22" s="37">
        <f>AVERAGE(Q22:R22)</f>
        <v>2.9411764705882353E-3</v>
      </c>
    </row>
    <row r="23" spans="1:20" s="21" customFormat="1" ht="39.9" customHeight="1" x14ac:dyDescent="0.3">
      <c r="A23" s="23" t="s">
        <v>65</v>
      </c>
      <c r="B23" s="38">
        <f>0/350</f>
        <v>0</v>
      </c>
      <c r="C23" s="38">
        <f>0/320</f>
        <v>0</v>
      </c>
      <c r="D23" s="37">
        <f>AVERAGE(B23:C23)</f>
        <v>0</v>
      </c>
      <c r="E23" s="27"/>
      <c r="F23" s="23" t="s">
        <v>65</v>
      </c>
      <c r="G23" s="38">
        <f>0/280</f>
        <v>0</v>
      </c>
      <c r="H23" s="38">
        <f>0/370</f>
        <v>0</v>
      </c>
      <c r="I23" s="37">
        <f>AVERAGE(G23:H23)</f>
        <v>0</v>
      </c>
      <c r="J23" s="27"/>
      <c r="K23" s="23" t="s">
        <v>65</v>
      </c>
      <c r="L23" s="38">
        <v>0</v>
      </c>
      <c r="M23" s="38">
        <v>0</v>
      </c>
      <c r="N23" s="37">
        <f>AVERAGE(L23:M23)</f>
        <v>0</v>
      </c>
      <c r="O23" s="27"/>
      <c r="P23" s="23" t="s">
        <v>65</v>
      </c>
      <c r="Q23" s="38">
        <v>0</v>
      </c>
      <c r="R23" s="38">
        <v>0</v>
      </c>
      <c r="S23" s="37">
        <f>AVERAGE(Q23:R23)</f>
        <v>0</v>
      </c>
    </row>
    <row r="24" spans="1:20" s="21" customFormat="1" ht="39.9" customHeight="1" x14ac:dyDescent="0.3">
      <c r="A24" s="23" t="s">
        <v>66</v>
      </c>
      <c r="B24" s="38">
        <v>0</v>
      </c>
      <c r="C24" s="38">
        <v>0</v>
      </c>
      <c r="D24" s="37">
        <f>AVERAGE(B24:C24)</f>
        <v>0</v>
      </c>
      <c r="E24" s="27"/>
      <c r="F24" s="23" t="s">
        <v>66</v>
      </c>
      <c r="G24" s="38">
        <f>1/320</f>
        <v>3.1250000000000002E-3</v>
      </c>
      <c r="H24" s="38">
        <f>1/280</f>
        <v>3.5714285714285713E-3</v>
      </c>
      <c r="I24" s="37">
        <f>AVERAGE(G24:H24)</f>
        <v>3.348214285714286E-3</v>
      </c>
      <c r="J24" s="27"/>
      <c r="K24" s="23" t="s">
        <v>79</v>
      </c>
      <c r="L24" s="38">
        <f>2/420</f>
        <v>4.7619047619047623E-3</v>
      </c>
      <c r="M24" s="38">
        <f>1/380</f>
        <v>2.631578947368421E-3</v>
      </c>
      <c r="N24" s="37">
        <f>AVERAGE(L24:M24)</f>
        <v>3.6967418546365914E-3</v>
      </c>
      <c r="O24" s="27"/>
      <c r="P24" s="23" t="s">
        <v>66</v>
      </c>
      <c r="Q24" s="38">
        <v>0</v>
      </c>
      <c r="R24" s="38">
        <v>0</v>
      </c>
      <c r="S24" s="37">
        <f>AVERAGE(Q24:R24)</f>
        <v>0</v>
      </c>
    </row>
    <row r="25" spans="1:20" s="21" customFormat="1" ht="39.9" customHeight="1" thickBot="1" x14ac:dyDescent="0.35">
      <c r="A25" s="23" t="s">
        <v>67</v>
      </c>
      <c r="B25" s="39">
        <v>0</v>
      </c>
      <c r="C25" s="39">
        <v>0</v>
      </c>
      <c r="D25" s="37">
        <f>AVERAGE(B25:C25)</f>
        <v>0</v>
      </c>
      <c r="E25" s="27"/>
      <c r="F25" s="23" t="s">
        <v>67</v>
      </c>
      <c r="G25" s="39">
        <v>0</v>
      </c>
      <c r="H25" s="39">
        <v>0</v>
      </c>
      <c r="I25" s="37">
        <f>AVERAGE(G25:H25)</f>
        <v>0</v>
      </c>
      <c r="J25" s="27"/>
      <c r="K25" s="23" t="s">
        <v>67</v>
      </c>
      <c r="L25" s="39">
        <v>0</v>
      </c>
      <c r="M25" s="39">
        <v>0</v>
      </c>
      <c r="N25" s="37">
        <f>AVERAGE(L25:M25)</f>
        <v>0</v>
      </c>
      <c r="O25" s="27"/>
      <c r="P25" s="23" t="s">
        <v>67</v>
      </c>
      <c r="Q25" s="39">
        <v>0</v>
      </c>
      <c r="R25" s="39">
        <v>0</v>
      </c>
      <c r="S25" s="37">
        <f>AVERAGE(Q25:R25)</f>
        <v>0</v>
      </c>
    </row>
    <row r="26" spans="1:20" ht="57.6" x14ac:dyDescent="0.3">
      <c r="A26" s="22"/>
      <c r="B26" s="19"/>
      <c r="C26" s="33" t="s">
        <v>72</v>
      </c>
      <c r="D26" s="40">
        <f>AVERAGE(D23)</f>
        <v>0</v>
      </c>
      <c r="E26" s="32"/>
      <c r="F26" s="32"/>
      <c r="G26" s="32"/>
      <c r="H26" s="33" t="s">
        <v>72</v>
      </c>
      <c r="I26" s="40">
        <f>AVERAGE(I23:I24)</f>
        <v>1.674107142857143E-3</v>
      </c>
      <c r="J26" s="32"/>
      <c r="K26" s="32"/>
      <c r="L26" s="32"/>
      <c r="M26" s="33" t="s">
        <v>72</v>
      </c>
      <c r="N26" s="40">
        <f>AVERAGE(N24)</f>
        <v>3.6967418546365914E-3</v>
      </c>
      <c r="O26" s="32"/>
      <c r="P26" s="32"/>
      <c r="Q26" s="32"/>
      <c r="R26" s="33" t="s">
        <v>72</v>
      </c>
      <c r="S26" s="40">
        <f>AVERAGE(S22)</f>
        <v>2.9411764705882353E-3</v>
      </c>
      <c r="T26" s="19"/>
    </row>
  </sheetData>
  <pageMargins left="0.7" right="0.7" top="0.75" bottom="0.75" header="0.3" footer="0.3"/>
  <pageSetup paperSize="9" scale="8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6"/>
  <sheetViews>
    <sheetView zoomScaleNormal="100" workbookViewId="0">
      <selection activeCell="V17" sqref="V17"/>
    </sheetView>
  </sheetViews>
  <sheetFormatPr defaultRowHeight="14.4" x14ac:dyDescent="0.3"/>
  <cols>
    <col min="2" max="3" width="9.109375" customWidth="1"/>
    <col min="5" max="5" width="6" customWidth="1"/>
    <col min="6" max="6" width="11.5546875" customWidth="1"/>
    <col min="8" max="8" width="9.109375" customWidth="1"/>
    <col min="10" max="10" width="6" customWidth="1"/>
    <col min="11" max="11" width="15" customWidth="1"/>
    <col min="12" max="13" width="9.109375" customWidth="1"/>
    <col min="15" max="15" width="6" customWidth="1"/>
    <col min="16" max="16" width="14.6640625" customWidth="1"/>
    <col min="17" max="18" width="9.109375" customWidth="1"/>
  </cols>
  <sheetData>
    <row r="1" spans="1:20" ht="23.4" x14ac:dyDescent="0.45">
      <c r="A1" s="31" t="s">
        <v>55</v>
      </c>
    </row>
    <row r="3" spans="1:20" x14ac:dyDescent="0.3">
      <c r="A3" s="6" t="s">
        <v>44</v>
      </c>
      <c r="B3" t="s">
        <v>62</v>
      </c>
    </row>
    <row r="4" spans="1:20" x14ac:dyDescent="0.3">
      <c r="A4" t="s">
        <v>11</v>
      </c>
      <c r="B4" s="28"/>
    </row>
    <row r="6" spans="1:20" ht="21" x14ac:dyDescent="0.4">
      <c r="A6" s="29" t="s">
        <v>27</v>
      </c>
    </row>
    <row r="7" spans="1:20" x14ac:dyDescent="0.3">
      <c r="A7" s="9" t="s">
        <v>28</v>
      </c>
      <c r="F7" s="9" t="s">
        <v>29</v>
      </c>
      <c r="K7" s="9" t="s">
        <v>30</v>
      </c>
      <c r="P7" s="9" t="s">
        <v>35</v>
      </c>
    </row>
    <row r="8" spans="1:20" ht="15" thickBot="1" x14ac:dyDescent="0.35">
      <c r="B8" s="30" t="s">
        <v>71</v>
      </c>
      <c r="C8" s="30" t="s">
        <v>70</v>
      </c>
      <c r="D8" s="30" t="s">
        <v>13</v>
      </c>
      <c r="G8" s="30" t="s">
        <v>71</v>
      </c>
      <c r="H8" s="30" t="s">
        <v>70</v>
      </c>
      <c r="I8" s="30" t="s">
        <v>13</v>
      </c>
      <c r="L8" s="30" t="s">
        <v>71</v>
      </c>
      <c r="M8" s="30" t="s">
        <v>70</v>
      </c>
      <c r="N8" s="30" t="s">
        <v>13</v>
      </c>
      <c r="Q8" s="30" t="s">
        <v>71</v>
      </c>
      <c r="R8" s="30" t="s">
        <v>70</v>
      </c>
      <c r="S8" s="30" t="s">
        <v>13</v>
      </c>
    </row>
    <row r="9" spans="1:20" s="21" customFormat="1" ht="39.9" customHeight="1" x14ac:dyDescent="0.3">
      <c r="A9" s="23" t="s">
        <v>63</v>
      </c>
      <c r="B9" s="36"/>
      <c r="C9" s="36"/>
      <c r="D9" s="37" t="e">
        <f>AVERAGE(B9:C9)</f>
        <v>#DIV/0!</v>
      </c>
      <c r="E9" s="27"/>
      <c r="F9" s="23" t="s">
        <v>63</v>
      </c>
      <c r="G9" s="36"/>
      <c r="H9" s="36"/>
      <c r="I9" s="37" t="e">
        <f>AVERAGE(G9:H9)</f>
        <v>#DIV/0!</v>
      </c>
      <c r="J9" s="27"/>
      <c r="K9" s="23" t="s">
        <v>63</v>
      </c>
      <c r="L9" s="36"/>
      <c r="M9" s="36"/>
      <c r="N9" s="37" t="e">
        <f>AVERAGE(L9:M9)</f>
        <v>#DIV/0!</v>
      </c>
      <c r="O9" s="27"/>
      <c r="P9" s="23" t="s">
        <v>63</v>
      </c>
      <c r="Q9" s="36"/>
      <c r="R9" s="36"/>
      <c r="S9" s="37" t="e">
        <f>AVERAGE(Q9:R9)</f>
        <v>#DIV/0!</v>
      </c>
    </row>
    <row r="10" spans="1:20" s="21" customFormat="1" ht="39.9" customHeight="1" x14ac:dyDescent="0.3">
      <c r="A10" s="23" t="s">
        <v>64</v>
      </c>
      <c r="B10" s="38"/>
      <c r="C10" s="38"/>
      <c r="D10" s="37" t="e">
        <f>AVERAGE(B10:C10)</f>
        <v>#DIV/0!</v>
      </c>
      <c r="E10" s="27"/>
      <c r="F10" s="23" t="s">
        <v>64</v>
      </c>
      <c r="G10" s="38"/>
      <c r="H10" s="38"/>
      <c r="I10" s="37" t="e">
        <f>AVERAGE(G10:H10)</f>
        <v>#DIV/0!</v>
      </c>
      <c r="J10" s="27"/>
      <c r="K10" s="23" t="s">
        <v>64</v>
      </c>
      <c r="L10" s="38"/>
      <c r="M10" s="38"/>
      <c r="N10" s="37" t="e">
        <f>AVERAGE(L10:M10)</f>
        <v>#DIV/0!</v>
      </c>
      <c r="O10" s="27"/>
      <c r="P10" s="23" t="s">
        <v>64</v>
      </c>
      <c r="Q10" s="38"/>
      <c r="R10" s="38"/>
      <c r="S10" s="37" t="e">
        <f>AVERAGE(Q10:R10)</f>
        <v>#DIV/0!</v>
      </c>
    </row>
    <row r="11" spans="1:20" s="21" customFormat="1" ht="39.9" customHeight="1" x14ac:dyDescent="0.3">
      <c r="A11" s="23" t="s">
        <v>65</v>
      </c>
      <c r="B11" s="38"/>
      <c r="C11" s="38"/>
      <c r="D11" s="37" t="e">
        <f>AVERAGE(B11:C11)</f>
        <v>#DIV/0!</v>
      </c>
      <c r="E11" s="27"/>
      <c r="F11" s="23" t="s">
        <v>65</v>
      </c>
      <c r="G11" s="38"/>
      <c r="H11" s="38"/>
      <c r="I11" s="37" t="e">
        <f>AVERAGE(G11:H11)</f>
        <v>#DIV/0!</v>
      </c>
      <c r="J11" s="27"/>
      <c r="K11" s="23" t="s">
        <v>65</v>
      </c>
      <c r="L11" s="38"/>
      <c r="M11" s="38"/>
      <c r="N11" s="37" t="e">
        <f>AVERAGE(L11:M11)</f>
        <v>#DIV/0!</v>
      </c>
      <c r="O11" s="27"/>
      <c r="P11" s="23" t="s">
        <v>65</v>
      </c>
      <c r="Q11" s="38"/>
      <c r="R11" s="38"/>
      <c r="S11" s="37" t="e">
        <f>AVERAGE(Q11:R11)</f>
        <v>#DIV/0!</v>
      </c>
    </row>
    <row r="12" spans="1:20" s="21" customFormat="1" ht="39.9" customHeight="1" x14ac:dyDescent="0.3">
      <c r="A12" s="23" t="s">
        <v>66</v>
      </c>
      <c r="B12" s="38"/>
      <c r="C12" s="38"/>
      <c r="D12" s="37" t="e">
        <f>AVERAGE(B12:C12)</f>
        <v>#DIV/0!</v>
      </c>
      <c r="E12" s="27"/>
      <c r="F12" s="23" t="s">
        <v>66</v>
      </c>
      <c r="G12" s="38"/>
      <c r="H12" s="38"/>
      <c r="I12" s="37" t="e">
        <f>AVERAGE(G12:H12)</f>
        <v>#DIV/0!</v>
      </c>
      <c r="J12" s="27"/>
      <c r="K12" s="23" t="s">
        <v>66</v>
      </c>
      <c r="L12" s="38"/>
      <c r="M12" s="38"/>
      <c r="N12" s="37" t="e">
        <f>AVERAGE(L12:M12)</f>
        <v>#DIV/0!</v>
      </c>
      <c r="O12" s="27"/>
      <c r="P12" s="23" t="s">
        <v>66</v>
      </c>
      <c r="Q12" s="38"/>
      <c r="R12" s="38"/>
      <c r="S12" s="37" t="e">
        <f>AVERAGE(Q12:R12)</f>
        <v>#DIV/0!</v>
      </c>
    </row>
    <row r="13" spans="1:20" s="21" customFormat="1" ht="39.9" customHeight="1" thickBot="1" x14ac:dyDescent="0.35">
      <c r="A13" s="23" t="s">
        <v>67</v>
      </c>
      <c r="B13" s="39"/>
      <c r="C13" s="39"/>
      <c r="D13" s="37" t="e">
        <f>AVERAGE(B13:C13)</f>
        <v>#DIV/0!</v>
      </c>
      <c r="E13" s="27"/>
      <c r="F13" s="23" t="s">
        <v>67</v>
      </c>
      <c r="G13" s="39"/>
      <c r="H13" s="39"/>
      <c r="I13" s="37" t="e">
        <f>AVERAGE(G13:H13)</f>
        <v>#DIV/0!</v>
      </c>
      <c r="J13" s="27"/>
      <c r="K13" s="23" t="s">
        <v>67</v>
      </c>
      <c r="L13" s="39"/>
      <c r="M13" s="39"/>
      <c r="N13" s="37" t="e">
        <f>AVERAGE(L13:M13)</f>
        <v>#DIV/0!</v>
      </c>
      <c r="O13" s="27"/>
      <c r="P13" s="23" t="s">
        <v>67</v>
      </c>
      <c r="Q13" s="39"/>
      <c r="R13" s="39"/>
      <c r="S13" s="37" t="e">
        <f>AVERAGE(Q13:R13)</f>
        <v>#DIV/0!</v>
      </c>
    </row>
    <row r="14" spans="1:20" ht="57.6" x14ac:dyDescent="0.3">
      <c r="A14" s="22"/>
      <c r="B14" s="19"/>
      <c r="C14" s="33" t="s">
        <v>72</v>
      </c>
      <c r="D14" s="35" t="e">
        <f>AVERAGE(D13)</f>
        <v>#DIV/0!</v>
      </c>
      <c r="E14" s="34"/>
      <c r="F14" s="33"/>
      <c r="G14" s="34"/>
      <c r="H14" s="33" t="s">
        <v>72</v>
      </c>
      <c r="I14" s="35" t="e">
        <f>AVERAGE(I9:I13)</f>
        <v>#DIV/0!</v>
      </c>
      <c r="J14" s="34"/>
      <c r="K14" s="33"/>
      <c r="L14" s="34"/>
      <c r="M14" s="33" t="s">
        <v>72</v>
      </c>
      <c r="N14" s="35" t="e">
        <f>AVERAGE(N9:N13)</f>
        <v>#DIV/0!</v>
      </c>
      <c r="O14" s="34"/>
      <c r="P14" s="33"/>
      <c r="Q14" s="34"/>
      <c r="R14" s="33" t="s">
        <v>72</v>
      </c>
      <c r="S14" s="35" t="e">
        <f>AVERAGE(S9:S13)</f>
        <v>#DIV/0!</v>
      </c>
      <c r="T14" s="19"/>
    </row>
    <row r="18" spans="1:20" ht="21" x14ac:dyDescent="0.4">
      <c r="A18" s="29" t="s">
        <v>43</v>
      </c>
    </row>
    <row r="19" spans="1:20" x14ac:dyDescent="0.3">
      <c r="A19" s="9" t="s">
        <v>28</v>
      </c>
      <c r="F19" s="9" t="s">
        <v>29</v>
      </c>
      <c r="K19" s="9" t="s">
        <v>30</v>
      </c>
      <c r="P19" s="9" t="s">
        <v>35</v>
      </c>
    </row>
    <row r="20" spans="1:20" ht="15" thickBot="1" x14ac:dyDescent="0.35">
      <c r="B20" s="30" t="s">
        <v>71</v>
      </c>
      <c r="C20" s="30" t="s">
        <v>70</v>
      </c>
      <c r="D20" s="30" t="s">
        <v>13</v>
      </c>
      <c r="G20" s="30" t="s">
        <v>71</v>
      </c>
      <c r="H20" s="30" t="s">
        <v>70</v>
      </c>
      <c r="I20" s="30" t="s">
        <v>13</v>
      </c>
      <c r="L20" s="30" t="s">
        <v>71</v>
      </c>
      <c r="M20" s="30" t="s">
        <v>70</v>
      </c>
      <c r="N20" s="30" t="s">
        <v>13</v>
      </c>
      <c r="Q20" s="30" t="s">
        <v>71</v>
      </c>
      <c r="R20" s="30" t="s">
        <v>70</v>
      </c>
      <c r="S20" s="30" t="s">
        <v>13</v>
      </c>
    </row>
    <row r="21" spans="1:20" s="21" customFormat="1" ht="39.9" customHeight="1" x14ac:dyDescent="0.3">
      <c r="A21" s="23" t="s">
        <v>63</v>
      </c>
      <c r="B21" s="36"/>
      <c r="C21" s="36"/>
      <c r="D21" s="37" t="e">
        <f>AVERAGE(B21:C21)</f>
        <v>#DIV/0!</v>
      </c>
      <c r="E21" s="27"/>
      <c r="F21" s="23" t="s">
        <v>63</v>
      </c>
      <c r="G21" s="36"/>
      <c r="H21" s="36"/>
      <c r="I21" s="37" t="e">
        <f>AVERAGE(G21:H21)</f>
        <v>#DIV/0!</v>
      </c>
      <c r="J21" s="27"/>
      <c r="K21" s="23" t="s">
        <v>63</v>
      </c>
      <c r="L21" s="36"/>
      <c r="M21" s="36"/>
      <c r="N21" s="37" t="e">
        <f>AVERAGE(L21:M21)</f>
        <v>#DIV/0!</v>
      </c>
      <c r="O21" s="27"/>
      <c r="P21" s="23" t="s">
        <v>63</v>
      </c>
      <c r="Q21" s="36"/>
      <c r="R21" s="36"/>
      <c r="S21" s="37" t="e">
        <f>AVERAGE(Q21:R21)</f>
        <v>#DIV/0!</v>
      </c>
    </row>
    <row r="22" spans="1:20" s="21" customFormat="1" ht="39.9" customHeight="1" x14ac:dyDescent="0.3">
      <c r="A22" s="23" t="s">
        <v>64</v>
      </c>
      <c r="B22" s="38"/>
      <c r="C22" s="38"/>
      <c r="D22" s="37" t="e">
        <f>AVERAGE(B22:C22)</f>
        <v>#DIV/0!</v>
      </c>
      <c r="E22" s="27"/>
      <c r="F22" s="23" t="s">
        <v>64</v>
      </c>
      <c r="G22" s="38"/>
      <c r="H22" s="38"/>
      <c r="I22" s="37" t="e">
        <f>AVERAGE(G22:H22)</f>
        <v>#DIV/0!</v>
      </c>
      <c r="J22" s="27"/>
      <c r="K22" s="23" t="s">
        <v>64</v>
      </c>
      <c r="L22" s="38"/>
      <c r="M22" s="38"/>
      <c r="N22" s="37" t="e">
        <f>AVERAGE(L22:M22)</f>
        <v>#DIV/0!</v>
      </c>
      <c r="O22" s="27"/>
      <c r="P22" s="23" t="s">
        <v>64</v>
      </c>
      <c r="Q22" s="38"/>
      <c r="R22" s="38"/>
      <c r="S22" s="37" t="e">
        <f>AVERAGE(Q22:R22)</f>
        <v>#DIV/0!</v>
      </c>
    </row>
    <row r="23" spans="1:20" s="21" customFormat="1" ht="39.9" customHeight="1" x14ac:dyDescent="0.3">
      <c r="A23" s="23" t="s">
        <v>65</v>
      </c>
      <c r="B23" s="38"/>
      <c r="C23" s="38"/>
      <c r="D23" s="37" t="e">
        <f>AVERAGE(B23:C23)</f>
        <v>#DIV/0!</v>
      </c>
      <c r="E23" s="27"/>
      <c r="F23" s="23" t="s">
        <v>65</v>
      </c>
      <c r="G23" s="38"/>
      <c r="H23" s="38"/>
      <c r="I23" s="37" t="e">
        <f>AVERAGE(G23:H23)</f>
        <v>#DIV/0!</v>
      </c>
      <c r="J23" s="27"/>
      <c r="K23" s="23" t="s">
        <v>65</v>
      </c>
      <c r="L23" s="38"/>
      <c r="M23" s="38"/>
      <c r="N23" s="37" t="e">
        <f>AVERAGE(L23:M23)</f>
        <v>#DIV/0!</v>
      </c>
      <c r="O23" s="27"/>
      <c r="P23" s="23" t="s">
        <v>65</v>
      </c>
      <c r="Q23" s="38"/>
      <c r="R23" s="38"/>
      <c r="S23" s="37" t="e">
        <f>AVERAGE(Q23:R23)</f>
        <v>#DIV/0!</v>
      </c>
    </row>
    <row r="24" spans="1:20" s="21" customFormat="1" ht="39.9" customHeight="1" x14ac:dyDescent="0.3">
      <c r="A24" s="23" t="s">
        <v>66</v>
      </c>
      <c r="B24" s="38"/>
      <c r="C24" s="38"/>
      <c r="D24" s="37" t="e">
        <f>AVERAGE(B24:C24)</f>
        <v>#DIV/0!</v>
      </c>
      <c r="E24" s="27"/>
      <c r="F24" s="23" t="s">
        <v>66</v>
      </c>
      <c r="G24" s="38"/>
      <c r="H24" s="38"/>
      <c r="I24" s="37" t="e">
        <f>AVERAGE(G24:H24)</f>
        <v>#DIV/0!</v>
      </c>
      <c r="J24" s="27"/>
      <c r="K24" s="23" t="s">
        <v>66</v>
      </c>
      <c r="L24" s="38"/>
      <c r="M24" s="38"/>
      <c r="N24" s="37" t="e">
        <f>AVERAGE(L24:M24)</f>
        <v>#DIV/0!</v>
      </c>
      <c r="O24" s="27"/>
      <c r="P24" s="23" t="s">
        <v>66</v>
      </c>
      <c r="Q24" s="38"/>
      <c r="R24" s="38"/>
      <c r="S24" s="37" t="e">
        <f>AVERAGE(Q24:R24)</f>
        <v>#DIV/0!</v>
      </c>
    </row>
    <row r="25" spans="1:20" s="21" customFormat="1" ht="39.9" customHeight="1" thickBot="1" x14ac:dyDescent="0.35">
      <c r="A25" s="23" t="s">
        <v>67</v>
      </c>
      <c r="B25" s="39"/>
      <c r="C25" s="39"/>
      <c r="D25" s="37" t="e">
        <f>AVERAGE(B25:C25)</f>
        <v>#DIV/0!</v>
      </c>
      <c r="E25" s="27"/>
      <c r="F25" s="23" t="s">
        <v>67</v>
      </c>
      <c r="G25" s="39"/>
      <c r="H25" s="39"/>
      <c r="I25" s="37" t="e">
        <f>AVERAGE(G25:H25)</f>
        <v>#DIV/0!</v>
      </c>
      <c r="J25" s="27"/>
      <c r="K25" s="23" t="s">
        <v>67</v>
      </c>
      <c r="L25" s="39"/>
      <c r="M25" s="39"/>
      <c r="N25" s="37" t="e">
        <f>AVERAGE(L25:M25)</f>
        <v>#DIV/0!</v>
      </c>
      <c r="O25" s="27"/>
      <c r="P25" s="23" t="s">
        <v>67</v>
      </c>
      <c r="Q25" s="39"/>
      <c r="R25" s="39"/>
      <c r="S25" s="37" t="e">
        <f>AVERAGE(Q25:R25)</f>
        <v>#DIV/0!</v>
      </c>
    </row>
    <row r="26" spans="1:20" ht="57.6" x14ac:dyDescent="0.3">
      <c r="A26" s="22"/>
      <c r="B26" s="19"/>
      <c r="C26" s="33" t="s">
        <v>72</v>
      </c>
      <c r="D26" s="40" t="e">
        <f>AVERAGE(D21:D25)</f>
        <v>#DIV/0!</v>
      </c>
      <c r="E26" s="32"/>
      <c r="F26" s="32"/>
      <c r="G26" s="32"/>
      <c r="H26" s="33" t="s">
        <v>72</v>
      </c>
      <c r="I26" s="40" t="e">
        <f>AVERAGE(I21:I25)</f>
        <v>#DIV/0!</v>
      </c>
      <c r="J26" s="32"/>
      <c r="K26" s="32"/>
      <c r="L26" s="32"/>
      <c r="M26" s="33" t="s">
        <v>72</v>
      </c>
      <c r="N26" s="40" t="e">
        <f>AVERAGE(N21:N25)</f>
        <v>#DIV/0!</v>
      </c>
      <c r="O26" s="32"/>
      <c r="P26" s="32"/>
      <c r="Q26" s="32"/>
      <c r="R26" s="33" t="s">
        <v>72</v>
      </c>
      <c r="S26" s="40" t="e">
        <f>AVERAGE(S21:S25)</f>
        <v>#DIV/0!</v>
      </c>
      <c r="T26" s="19"/>
    </row>
  </sheetData>
  <pageMargins left="0.7" right="0.7" top="0.75" bottom="0.75" header="0.3" footer="0.3"/>
  <pageSetup paperSize="9"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Template 1</vt:lpstr>
      <vt:lpstr>Template 2</vt:lpstr>
      <vt:lpstr>G2 smears</vt:lpstr>
      <vt:lpstr>G3 smears</vt:lpstr>
      <vt:lpstr>G4 smears</vt:lpstr>
      <vt:lpstr>G5 smears</vt:lpstr>
    </vt:vector>
  </TitlesOfParts>
  <Company>Imperial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Blagborough, Andrew M</dc:creator>
  <cp:lastModifiedBy>Ellie</cp:lastModifiedBy>
  <cp:lastPrinted>2014-06-05T13:23:58Z</cp:lastPrinted>
  <dcterms:created xsi:type="dcterms:W3CDTF">2014-02-05T16:18:05Z</dcterms:created>
  <dcterms:modified xsi:type="dcterms:W3CDTF">2015-06-29T15:32:46Z</dcterms:modified>
</cp:coreProperties>
</file>